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aholste\Documents\AgDM\2-23\"/>
    </mc:Choice>
  </mc:AlternateContent>
  <bookViews>
    <workbookView xWindow="0" yWindow="0" windowWidth="14190" windowHeight="14010"/>
  </bookViews>
  <sheets>
    <sheet name="Example" sheetId="12" r:id="rId1"/>
    <sheet name="Blank" sheetId="13" r:id="rId2"/>
    <sheet name="Data" sheetId="2" r:id="rId3"/>
    <sheet name="Sheet3" sheetId="3" state="hidden" r:id="rId4"/>
  </sheets>
  <definedNames>
    <definedName name="_xlnm.Print_Area" localSheetId="1">Blank!$A$1:$K$122</definedName>
    <definedName name="_xlnm.Print_Area" localSheetId="0">Example!$A$1:$K$122</definedName>
  </definedNames>
  <calcPr calcId="162913"/>
</workbook>
</file>

<file path=xl/calcChain.xml><?xml version="1.0" encoding="utf-8"?>
<calcChain xmlns="http://schemas.openxmlformats.org/spreadsheetml/2006/main">
  <c r="B119" i="13" l="1"/>
  <c r="I88" i="13"/>
  <c r="H88" i="13"/>
  <c r="G88" i="13"/>
  <c r="D88" i="13"/>
  <c r="C88" i="13"/>
  <c r="I87" i="13"/>
  <c r="H87" i="13"/>
  <c r="G87" i="13"/>
  <c r="D87" i="13"/>
  <c r="C87" i="13"/>
  <c r="I86" i="13"/>
  <c r="H86" i="13"/>
  <c r="G86" i="13"/>
  <c r="D86" i="13"/>
  <c r="C86" i="13"/>
  <c r="I85" i="13"/>
  <c r="H85" i="13"/>
  <c r="G85" i="13"/>
  <c r="D85" i="13"/>
  <c r="C85" i="13"/>
  <c r="I84" i="13"/>
  <c r="H84" i="13"/>
  <c r="G84" i="13"/>
  <c r="D84" i="13"/>
  <c r="C84" i="13"/>
  <c r="I83" i="13"/>
  <c r="H83" i="13"/>
  <c r="G83" i="13"/>
  <c r="D83" i="13"/>
  <c r="C83" i="13"/>
  <c r="I82" i="13"/>
  <c r="H82" i="13"/>
  <c r="G82" i="13"/>
  <c r="D82" i="13"/>
  <c r="C82" i="13"/>
  <c r="I81" i="13"/>
  <c r="H81" i="13"/>
  <c r="G81" i="13"/>
  <c r="D81" i="13"/>
  <c r="C81" i="13"/>
  <c r="I80" i="13"/>
  <c r="H80" i="13"/>
  <c r="G80" i="13"/>
  <c r="D80" i="13"/>
  <c r="C80" i="13"/>
  <c r="I79" i="13"/>
  <c r="H79" i="13"/>
  <c r="G79" i="13"/>
  <c r="D79" i="13"/>
  <c r="C79" i="13"/>
  <c r="I78" i="13"/>
  <c r="H78" i="13"/>
  <c r="G78" i="13"/>
  <c r="D78" i="13"/>
  <c r="C78" i="13"/>
  <c r="I72" i="13"/>
  <c r="F88" i="13" s="1"/>
  <c r="H72" i="13"/>
  <c r="G72" i="13"/>
  <c r="I71" i="13"/>
  <c r="F87" i="13" s="1"/>
  <c r="H71" i="13"/>
  <c r="G71" i="13"/>
  <c r="D71" i="13"/>
  <c r="I70" i="13"/>
  <c r="F86" i="13" s="1"/>
  <c r="H70" i="13"/>
  <c r="G70" i="13"/>
  <c r="I69" i="13"/>
  <c r="F85" i="13" s="1"/>
  <c r="H69" i="13"/>
  <c r="G69" i="13"/>
  <c r="I68" i="13"/>
  <c r="F84" i="13" s="1"/>
  <c r="H68" i="13"/>
  <c r="G68" i="13"/>
  <c r="I67" i="13"/>
  <c r="F83" i="13" s="1"/>
  <c r="H67" i="13"/>
  <c r="G67" i="13"/>
  <c r="I66" i="13"/>
  <c r="F82" i="13" s="1"/>
  <c r="H66" i="13"/>
  <c r="G66" i="13"/>
  <c r="I65" i="13"/>
  <c r="F81" i="13" s="1"/>
  <c r="H65" i="13"/>
  <c r="G65" i="13"/>
  <c r="I64" i="13"/>
  <c r="F80" i="13" s="1"/>
  <c r="H64" i="13"/>
  <c r="G64" i="13"/>
  <c r="I63" i="13"/>
  <c r="F79" i="13" s="1"/>
  <c r="H63" i="13"/>
  <c r="G63" i="13"/>
  <c r="I62" i="13"/>
  <c r="H62" i="13"/>
  <c r="G62" i="13"/>
  <c r="K61" i="13"/>
  <c r="H10" i="13" s="1"/>
  <c r="G61" i="13"/>
  <c r="D59" i="13"/>
  <c r="I56" i="13"/>
  <c r="H56" i="13"/>
  <c r="G56" i="13"/>
  <c r="D56" i="13"/>
  <c r="I55" i="13"/>
  <c r="H55" i="13"/>
  <c r="G55" i="13"/>
  <c r="F55" i="13"/>
  <c r="J55" i="13" s="1"/>
  <c r="J39" i="13" s="1"/>
  <c r="D55" i="13"/>
  <c r="I54" i="13"/>
  <c r="H54" i="13"/>
  <c r="G54" i="13"/>
  <c r="D54" i="13"/>
  <c r="I53" i="13"/>
  <c r="H53" i="13"/>
  <c r="G53" i="13"/>
  <c r="D53" i="13"/>
  <c r="I52" i="13"/>
  <c r="H52" i="13"/>
  <c r="G52" i="13"/>
  <c r="D52" i="13"/>
  <c r="G51" i="13"/>
  <c r="F51" i="13"/>
  <c r="D51" i="13"/>
  <c r="I50" i="13"/>
  <c r="H50" i="13"/>
  <c r="G50" i="13"/>
  <c r="I49" i="13"/>
  <c r="H49" i="13"/>
  <c r="G49" i="13"/>
  <c r="I48" i="13"/>
  <c r="H48" i="13"/>
  <c r="G48" i="13"/>
  <c r="I47" i="13"/>
  <c r="H47" i="13"/>
  <c r="G47" i="13"/>
  <c r="C46" i="13"/>
  <c r="D47" i="13" s="1"/>
  <c r="I40" i="13"/>
  <c r="F56" i="13" s="1"/>
  <c r="H40" i="13"/>
  <c r="G40" i="13"/>
  <c r="I39" i="13"/>
  <c r="H39" i="13"/>
  <c r="G39" i="13"/>
  <c r="D39" i="13"/>
  <c r="I38" i="13"/>
  <c r="F54" i="13" s="1"/>
  <c r="H38" i="13"/>
  <c r="G38" i="13"/>
  <c r="I37" i="13"/>
  <c r="F53" i="13" s="1"/>
  <c r="H37" i="13"/>
  <c r="G37" i="13"/>
  <c r="I36" i="13"/>
  <c r="F52" i="13" s="1"/>
  <c r="H36" i="13"/>
  <c r="G36" i="13"/>
  <c r="I35" i="13"/>
  <c r="H35" i="13"/>
  <c r="G35" i="13"/>
  <c r="I34" i="13"/>
  <c r="F50" i="13" s="1"/>
  <c r="G34" i="13"/>
  <c r="I33" i="13"/>
  <c r="F49" i="13" s="1"/>
  <c r="H33" i="13"/>
  <c r="G33" i="13"/>
  <c r="I32" i="13"/>
  <c r="H32" i="13"/>
  <c r="G32" i="13"/>
  <c r="I31" i="13"/>
  <c r="F47" i="13" s="1"/>
  <c r="H31" i="13"/>
  <c r="G31" i="13"/>
  <c r="I30" i="13"/>
  <c r="I41" i="13" s="1"/>
  <c r="H30" i="13"/>
  <c r="G30" i="13"/>
  <c r="G29" i="13"/>
  <c r="D27" i="13"/>
  <c r="D17" i="13"/>
  <c r="H73" i="13" l="1"/>
  <c r="G73" i="13"/>
  <c r="I46" i="13"/>
  <c r="J81" i="13"/>
  <c r="J65" i="13" s="1"/>
  <c r="K65" i="13" s="1"/>
  <c r="H14" i="13" s="1"/>
  <c r="G41" i="13"/>
  <c r="I73" i="13"/>
  <c r="J53" i="13"/>
  <c r="J37" i="13" s="1"/>
  <c r="J83" i="13"/>
  <c r="J67" i="13" s="1"/>
  <c r="K67" i="13" s="1"/>
  <c r="H16" i="13" s="1"/>
  <c r="J52" i="13"/>
  <c r="J36" i="13" s="1"/>
  <c r="K37" i="13"/>
  <c r="G18" i="13" s="1"/>
  <c r="J54" i="13"/>
  <c r="J38" i="13" s="1"/>
  <c r="K38" i="13" s="1"/>
  <c r="G19" i="13" s="1"/>
  <c r="J88" i="13"/>
  <c r="J72" i="13" s="1"/>
  <c r="K72" i="13" s="1"/>
  <c r="H21" i="13" s="1"/>
  <c r="J82" i="13"/>
  <c r="J66" i="13" s="1"/>
  <c r="K66" i="13" s="1"/>
  <c r="H15" i="13" s="1"/>
  <c r="J56" i="13"/>
  <c r="J40" i="13" s="1"/>
  <c r="K40" i="13" s="1"/>
  <c r="G21" i="13" s="1"/>
  <c r="J86" i="13"/>
  <c r="J70" i="13" s="1"/>
  <c r="K70" i="13" s="1"/>
  <c r="H19" i="13" s="1"/>
  <c r="J47" i="13"/>
  <c r="J31" i="13" s="1"/>
  <c r="K31" i="13" s="1"/>
  <c r="G12" i="13" s="1"/>
  <c r="J85" i="13"/>
  <c r="J69" i="13" s="1"/>
  <c r="K69" i="13" s="1"/>
  <c r="H18" i="13" s="1"/>
  <c r="K39" i="13"/>
  <c r="G20" i="13" s="1"/>
  <c r="J79" i="13"/>
  <c r="J63" i="13" s="1"/>
  <c r="K63" i="13" s="1"/>
  <c r="H12" i="13" s="1"/>
  <c r="J84" i="13"/>
  <c r="J68" i="13" s="1"/>
  <c r="K68" i="13" s="1"/>
  <c r="H17" i="13" s="1"/>
  <c r="J87" i="13"/>
  <c r="J71" i="13" s="1"/>
  <c r="K71" i="13" s="1"/>
  <c r="H20" i="13" s="1"/>
  <c r="K36" i="13"/>
  <c r="G17" i="13" s="1"/>
  <c r="J80" i="13"/>
  <c r="J64" i="13" s="1"/>
  <c r="K64" i="13" s="1"/>
  <c r="H13" i="13" s="1"/>
  <c r="H34" i="13"/>
  <c r="F46" i="13"/>
  <c r="D49" i="13"/>
  <c r="J49" i="13" s="1"/>
  <c r="J33" i="13" s="1"/>
  <c r="K33" i="13" s="1"/>
  <c r="G14" i="13" s="1"/>
  <c r="K29" i="13"/>
  <c r="D50" i="13"/>
  <c r="J50" i="13" s="1"/>
  <c r="J34" i="13" s="1"/>
  <c r="D48" i="13"/>
  <c r="F78" i="13"/>
  <c r="J78" i="13" s="1"/>
  <c r="J62" i="13" s="1"/>
  <c r="D46" i="13"/>
  <c r="F48" i="13"/>
  <c r="B119" i="12"/>
  <c r="I88" i="12"/>
  <c r="H88" i="12"/>
  <c r="G88" i="12"/>
  <c r="D88" i="12"/>
  <c r="C88" i="12"/>
  <c r="I87" i="12"/>
  <c r="H87" i="12"/>
  <c r="G87" i="12"/>
  <c r="D87" i="12"/>
  <c r="C87" i="12"/>
  <c r="I86" i="12"/>
  <c r="H86" i="12"/>
  <c r="G86" i="12"/>
  <c r="D86" i="12"/>
  <c r="C86" i="12"/>
  <c r="I85" i="12"/>
  <c r="H85" i="12"/>
  <c r="G85" i="12"/>
  <c r="D85" i="12"/>
  <c r="C85" i="12"/>
  <c r="I84" i="12"/>
  <c r="H84" i="12"/>
  <c r="G84" i="12"/>
  <c r="D84" i="12"/>
  <c r="C84" i="12"/>
  <c r="I83" i="12"/>
  <c r="H83" i="12"/>
  <c r="G83" i="12"/>
  <c r="D83" i="12"/>
  <c r="C83" i="12"/>
  <c r="I82" i="12"/>
  <c r="H82" i="12"/>
  <c r="G82" i="12"/>
  <c r="D82" i="12"/>
  <c r="C82" i="12"/>
  <c r="I81" i="12"/>
  <c r="H81" i="12"/>
  <c r="G81" i="12"/>
  <c r="D81" i="12"/>
  <c r="C81" i="12"/>
  <c r="I80" i="12"/>
  <c r="H80" i="12"/>
  <c r="G80" i="12"/>
  <c r="D80" i="12"/>
  <c r="C80" i="12"/>
  <c r="I79" i="12"/>
  <c r="H79" i="12"/>
  <c r="G79" i="12"/>
  <c r="D79" i="12"/>
  <c r="C79" i="12"/>
  <c r="I78" i="12"/>
  <c r="H78" i="12"/>
  <c r="G78" i="12"/>
  <c r="D78" i="12"/>
  <c r="C78" i="12"/>
  <c r="I72" i="12"/>
  <c r="F88" i="12" s="1"/>
  <c r="H72" i="12"/>
  <c r="G72" i="12"/>
  <c r="I71" i="12"/>
  <c r="F87" i="12" s="1"/>
  <c r="H71" i="12"/>
  <c r="G71" i="12"/>
  <c r="D71" i="12"/>
  <c r="I70" i="12"/>
  <c r="F86" i="12" s="1"/>
  <c r="H70" i="12"/>
  <c r="G70" i="12"/>
  <c r="I69" i="12"/>
  <c r="F85" i="12" s="1"/>
  <c r="H69" i="12"/>
  <c r="G69" i="12"/>
  <c r="I68" i="12"/>
  <c r="F84" i="12" s="1"/>
  <c r="H68" i="12"/>
  <c r="G68" i="12"/>
  <c r="I67" i="12"/>
  <c r="F83" i="12" s="1"/>
  <c r="H67" i="12"/>
  <c r="G67" i="12"/>
  <c r="I66" i="12"/>
  <c r="F82" i="12" s="1"/>
  <c r="H66" i="12"/>
  <c r="G66" i="12"/>
  <c r="I65" i="12"/>
  <c r="F81" i="12" s="1"/>
  <c r="H65" i="12"/>
  <c r="G65" i="12"/>
  <c r="I64" i="12"/>
  <c r="F80" i="12" s="1"/>
  <c r="H64" i="12"/>
  <c r="G64" i="12"/>
  <c r="I63" i="12"/>
  <c r="F79" i="12" s="1"/>
  <c r="H63" i="12"/>
  <c r="G63" i="12"/>
  <c r="I62" i="12"/>
  <c r="H62" i="12"/>
  <c r="G62" i="12"/>
  <c r="G61" i="12"/>
  <c r="D59" i="12"/>
  <c r="I56" i="12"/>
  <c r="H56" i="12"/>
  <c r="G56" i="12"/>
  <c r="D56" i="12"/>
  <c r="I55" i="12"/>
  <c r="H55" i="12"/>
  <c r="G55" i="12"/>
  <c r="D55" i="12"/>
  <c r="I54" i="12"/>
  <c r="H54" i="12"/>
  <c r="G54" i="12"/>
  <c r="D54" i="12"/>
  <c r="I53" i="12"/>
  <c r="H53" i="12"/>
  <c r="G53" i="12"/>
  <c r="D53" i="12"/>
  <c r="I52" i="12"/>
  <c r="H52" i="12"/>
  <c r="G52" i="12"/>
  <c r="D52" i="12"/>
  <c r="G51" i="12"/>
  <c r="D51" i="12"/>
  <c r="I50" i="12"/>
  <c r="H50" i="12"/>
  <c r="G50" i="12"/>
  <c r="I49" i="12"/>
  <c r="H49" i="12"/>
  <c r="G49" i="12"/>
  <c r="I48" i="12"/>
  <c r="H48" i="12"/>
  <c r="G48" i="12"/>
  <c r="I47" i="12"/>
  <c r="H47" i="12"/>
  <c r="G47" i="12"/>
  <c r="I46" i="12"/>
  <c r="H46" i="12"/>
  <c r="C46" i="12"/>
  <c r="D50" i="12" s="1"/>
  <c r="I40" i="12"/>
  <c r="F56" i="12" s="1"/>
  <c r="H40" i="12"/>
  <c r="G40" i="12"/>
  <c r="I39" i="12"/>
  <c r="F55" i="12" s="1"/>
  <c r="H39" i="12"/>
  <c r="G39" i="12"/>
  <c r="D39" i="12"/>
  <c r="H34" i="12" s="1"/>
  <c r="I38" i="12"/>
  <c r="F54" i="12" s="1"/>
  <c r="H38" i="12"/>
  <c r="G38" i="12"/>
  <c r="I37" i="12"/>
  <c r="F53" i="12" s="1"/>
  <c r="H37" i="12"/>
  <c r="G37" i="12"/>
  <c r="I36" i="12"/>
  <c r="F52" i="12" s="1"/>
  <c r="H36" i="12"/>
  <c r="G36" i="12"/>
  <c r="I35" i="12"/>
  <c r="F51" i="12" s="1"/>
  <c r="H35" i="12"/>
  <c r="G35" i="12"/>
  <c r="I34" i="12"/>
  <c r="F50" i="12" s="1"/>
  <c r="G34" i="12"/>
  <c r="I33" i="12"/>
  <c r="F49" i="12" s="1"/>
  <c r="H33" i="12"/>
  <c r="G33" i="12"/>
  <c r="I32" i="12"/>
  <c r="H32" i="12"/>
  <c r="G32" i="12"/>
  <c r="I31" i="12"/>
  <c r="F47" i="12" s="1"/>
  <c r="H31" i="12"/>
  <c r="G31" i="12"/>
  <c r="I30" i="12"/>
  <c r="H30" i="12"/>
  <c r="G30" i="12"/>
  <c r="G29" i="12"/>
  <c r="D27" i="12"/>
  <c r="D17" i="12"/>
  <c r="I51" i="13" l="1"/>
  <c r="H46" i="13"/>
  <c r="J46" i="13" s="1"/>
  <c r="J30" i="13" s="1"/>
  <c r="K30" i="13" s="1"/>
  <c r="G11" i="13" s="1"/>
  <c r="J48" i="13"/>
  <c r="J32" i="13" s="1"/>
  <c r="K32" i="13" s="1"/>
  <c r="G13" i="13" s="1"/>
  <c r="K34" i="13"/>
  <c r="G15" i="13" s="1"/>
  <c r="H51" i="13"/>
  <c r="J51" i="13" s="1"/>
  <c r="J35" i="13" s="1"/>
  <c r="K35" i="13" s="1"/>
  <c r="G16" i="13" s="1"/>
  <c r="H41" i="13"/>
  <c r="K62" i="13"/>
  <c r="J73" i="13"/>
  <c r="G10" i="13"/>
  <c r="J53" i="12"/>
  <c r="J37" i="12" s="1"/>
  <c r="K37" i="12" s="1"/>
  <c r="G18" i="12" s="1"/>
  <c r="J55" i="12"/>
  <c r="J39" i="12" s="1"/>
  <c r="K39" i="12" s="1"/>
  <c r="G20" i="12" s="1"/>
  <c r="J87" i="12"/>
  <c r="J71" i="12" s="1"/>
  <c r="J56" i="12"/>
  <c r="J40" i="12" s="1"/>
  <c r="K40" i="12" s="1"/>
  <c r="G21" i="12" s="1"/>
  <c r="H73" i="12"/>
  <c r="J83" i="12"/>
  <c r="J67" i="12" s="1"/>
  <c r="K67" i="12" s="1"/>
  <c r="H16" i="12" s="1"/>
  <c r="J54" i="12"/>
  <c r="J38" i="12" s="1"/>
  <c r="K38" i="12" s="1"/>
  <c r="G19" i="12" s="1"/>
  <c r="J81" i="12"/>
  <c r="J65" i="12" s="1"/>
  <c r="K65" i="12" s="1"/>
  <c r="H14" i="12" s="1"/>
  <c r="J84" i="12"/>
  <c r="J68" i="12" s="1"/>
  <c r="K68" i="12" s="1"/>
  <c r="H17" i="12" s="1"/>
  <c r="G41" i="12"/>
  <c r="I73" i="12"/>
  <c r="J86" i="12"/>
  <c r="J70" i="12" s="1"/>
  <c r="K70" i="12" s="1"/>
  <c r="H19" i="12" s="1"/>
  <c r="K36" i="12"/>
  <c r="G17" i="12" s="1"/>
  <c r="I41" i="12"/>
  <c r="F46" i="12"/>
  <c r="H41" i="12"/>
  <c r="J52" i="12"/>
  <c r="J36" i="12" s="1"/>
  <c r="G73" i="12"/>
  <c r="J85" i="12"/>
  <c r="J69" i="12" s="1"/>
  <c r="K69" i="12" s="1"/>
  <c r="H18" i="12" s="1"/>
  <c r="J79" i="12"/>
  <c r="J63" i="12" s="1"/>
  <c r="K63" i="12" s="1"/>
  <c r="H12" i="12" s="1"/>
  <c r="J88" i="12"/>
  <c r="J72" i="12" s="1"/>
  <c r="K72" i="12" s="1"/>
  <c r="H21" i="12" s="1"/>
  <c r="J82" i="12"/>
  <c r="J66" i="12" s="1"/>
  <c r="K66" i="12"/>
  <c r="H15" i="12" s="1"/>
  <c r="K71" i="12"/>
  <c r="H20" i="12" s="1"/>
  <c r="J80" i="12"/>
  <c r="J64" i="12" s="1"/>
  <c r="K64" i="12" s="1"/>
  <c r="H13" i="12" s="1"/>
  <c r="J50" i="12"/>
  <c r="J34" i="12" s="1"/>
  <c r="K34" i="12" s="1"/>
  <c r="G15" i="12" s="1"/>
  <c r="K29" i="12"/>
  <c r="D49" i="12"/>
  <c r="J49" i="12" s="1"/>
  <c r="J33" i="12" s="1"/>
  <c r="K33" i="12" s="1"/>
  <c r="G14" i="12" s="1"/>
  <c r="D46" i="12"/>
  <c r="F78" i="12"/>
  <c r="J78" i="12" s="1"/>
  <c r="J62" i="12" s="1"/>
  <c r="K61" i="12"/>
  <c r="F48" i="12"/>
  <c r="D48" i="12"/>
  <c r="D47" i="12"/>
  <c r="J47" i="12" s="1"/>
  <c r="J31" i="12" s="1"/>
  <c r="K31" i="12" s="1"/>
  <c r="G12" i="12" s="1"/>
  <c r="K41" i="13" l="1"/>
  <c r="H11" i="13"/>
  <c r="K73" i="13"/>
  <c r="G22" i="13"/>
  <c r="G23" i="13"/>
  <c r="G24" i="13" s="1"/>
  <c r="J41" i="13"/>
  <c r="J46" i="12"/>
  <c r="J30" i="12" s="1"/>
  <c r="K30" i="12" s="1"/>
  <c r="G11" i="12" s="1"/>
  <c r="H51" i="12"/>
  <c r="J48" i="12"/>
  <c r="J32" i="12" s="1"/>
  <c r="K32" i="12" s="1"/>
  <c r="G13" i="12" s="1"/>
  <c r="I51" i="12"/>
  <c r="G10" i="12"/>
  <c r="H10" i="12"/>
  <c r="J73" i="12"/>
  <c r="K62" i="12"/>
  <c r="H11" i="12" s="1"/>
  <c r="H22" i="13" l="1"/>
  <c r="H23" i="13"/>
  <c r="H24" i="13" s="1"/>
  <c r="J51" i="12"/>
  <c r="J35" i="12" s="1"/>
  <c r="K35" i="12" s="1"/>
  <c r="H22" i="12"/>
  <c r="H23" i="12"/>
  <c r="H24" i="12" s="1"/>
  <c r="K73" i="12"/>
  <c r="J41" i="12" l="1"/>
  <c r="G16" i="12"/>
  <c r="K41" i="12"/>
  <c r="G23" i="12" l="1"/>
  <c r="G24" i="12" s="1"/>
  <c r="G22" i="12"/>
</calcChain>
</file>

<file path=xl/sharedStrings.xml><?xml version="1.0" encoding="utf-8"?>
<sst xmlns="http://schemas.openxmlformats.org/spreadsheetml/2006/main" count="279" uniqueCount="131">
  <si>
    <t>Year</t>
  </si>
  <si>
    <t>Purchase</t>
  </si>
  <si>
    <t>Lease</t>
  </si>
  <si>
    <t>Repair Costs</t>
  </si>
  <si>
    <t xml:space="preserve">Tax Savings </t>
  </si>
  <si>
    <t>or Payments</t>
  </si>
  <si>
    <t>MACRS</t>
  </si>
  <si>
    <t>Depreciation</t>
  </si>
  <si>
    <t>Repair</t>
  </si>
  <si>
    <t>Costs</t>
  </si>
  <si>
    <t>Interest on</t>
  </si>
  <si>
    <t>Loan</t>
  </si>
  <si>
    <t>Recaptured</t>
  </si>
  <si>
    <t>Capital</t>
  </si>
  <si>
    <t>Net Tax</t>
  </si>
  <si>
    <t>Saving</t>
  </si>
  <si>
    <t>Payment</t>
  </si>
  <si>
    <t>Type of machine</t>
  </si>
  <si>
    <t>List price of machine</t>
  </si>
  <si>
    <t>Expected hours of use per year</t>
  </si>
  <si>
    <t xml:space="preserve"> -Federal</t>
  </si>
  <si>
    <t xml:space="preserve"> -Self-employment</t>
  </si>
  <si>
    <t xml:space="preserve"> -State</t>
  </si>
  <si>
    <t>Capital gains tax rate</t>
  </si>
  <si>
    <t>Amount of loan</t>
  </si>
  <si>
    <t>Lease payments per year</t>
  </si>
  <si>
    <t>Length of lease, years</t>
  </si>
  <si>
    <t>Machinery Type Numbers and Constant Values</t>
  </si>
  <si>
    <t>Repair Cost Factors</t>
  </si>
  <si>
    <t>Remaining value factors</t>
  </si>
  <si>
    <t>Type no.</t>
  </si>
  <si>
    <t xml:space="preserve">     Description</t>
  </si>
  <si>
    <t>RC1</t>
  </si>
  <si>
    <t>RC2</t>
  </si>
  <si>
    <t>intercept</t>
  </si>
  <si>
    <t>agecoeff</t>
  </si>
  <si>
    <t>hrscoeff</t>
  </si>
  <si>
    <t>Tractor, under 80 hp</t>
  </si>
  <si>
    <t>Tractor 80-150 hp</t>
  </si>
  <si>
    <t>Tractor over 150 hp</t>
  </si>
  <si>
    <t>Combine SP unit</t>
  </si>
  <si>
    <t>SP forage harvester</t>
  </si>
  <si>
    <t>SP windrower</t>
  </si>
  <si>
    <t>SP sprayer</t>
  </si>
  <si>
    <t>Skid-steer loader</t>
  </si>
  <si>
    <t>Moldboard plow</t>
  </si>
  <si>
    <t>Disk</t>
  </si>
  <si>
    <t>Chisel plow</t>
  </si>
  <si>
    <t>Field cultivator</t>
  </si>
  <si>
    <t>Harrow</t>
  </si>
  <si>
    <t>Cultivator</t>
  </si>
  <si>
    <t>Roller, mulcher</t>
  </si>
  <si>
    <t>Rotary hoe</t>
  </si>
  <si>
    <t>Rotary tiller</t>
  </si>
  <si>
    <t>Planter,grain drill</t>
  </si>
  <si>
    <t>Corn picker</t>
  </si>
  <si>
    <t>Combine head</t>
  </si>
  <si>
    <t>Mower</t>
  </si>
  <si>
    <t>Mower-conditioner</t>
  </si>
  <si>
    <t>Windrower</t>
  </si>
  <si>
    <t>Square baler</t>
  </si>
  <si>
    <t>Round baler</t>
  </si>
  <si>
    <t>Rake</t>
  </si>
  <si>
    <t>Forage harvester-pull</t>
  </si>
  <si>
    <t>Fert. spreader</t>
  </si>
  <si>
    <t>Sprayer</t>
  </si>
  <si>
    <t>Forage wagon</t>
  </si>
  <si>
    <t>Grain wagon</t>
  </si>
  <si>
    <t>Manure spreader</t>
  </si>
  <si>
    <t>Miscellaneous</t>
  </si>
  <si>
    <t>Years machine will be kept</t>
  </si>
  <si>
    <t>Loan Payment</t>
  </si>
  <si>
    <t>MACRS factor</t>
  </si>
  <si>
    <t>Amount of first lease payment</t>
  </si>
  <si>
    <t>When Sold</t>
  </si>
  <si>
    <t>Amount of subsequent lease payments</t>
  </si>
  <si>
    <t>Years under repair warranty</t>
  </si>
  <si>
    <t>Years machine will be kept after lease</t>
  </si>
  <si>
    <t>Buyout price at end of lease, if purchased</t>
  </si>
  <si>
    <t>Net Cash</t>
  </si>
  <si>
    <t>Flow</t>
  </si>
  <si>
    <t>or Purchase</t>
  </si>
  <si>
    <t>Down Pmt. or</t>
  </si>
  <si>
    <t>Gain or Loss</t>
  </si>
  <si>
    <t xml:space="preserve">Net Cash </t>
  </si>
  <si>
    <t>Purchase Outright or with Loan</t>
  </si>
  <si>
    <t>Net Cash Flows for Purchase</t>
  </si>
  <si>
    <t>Input Values</t>
  </si>
  <si>
    <t>Income Tax Effects for Purchase</t>
  </si>
  <si>
    <t>Remain. Value</t>
  </si>
  <si>
    <t>Lease with Option to Purchase</t>
  </si>
  <si>
    <t>Net Cash Flows for Lease</t>
  </si>
  <si>
    <t>Income Tax Effects for Lease</t>
  </si>
  <si>
    <t>Section 179</t>
  </si>
  <si>
    <t>Expensing</t>
  </si>
  <si>
    <t>Hours</t>
  </si>
  <si>
    <t>Wearout</t>
  </si>
  <si>
    <t>Total</t>
  </si>
  <si>
    <t>Total cash flow</t>
  </si>
  <si>
    <t>Present value</t>
  </si>
  <si>
    <t>Annual cost</t>
  </si>
  <si>
    <t>Farm Machinery Financing Analyzer</t>
  </si>
  <si>
    <t>Author: William Edwards</t>
  </si>
  <si>
    <t>Date Printed:</t>
  </si>
  <si>
    <t>Enter your input values in shaded cells.</t>
  </si>
  <si>
    <t>Max. Section 179 expensing to claim</t>
  </si>
  <si>
    <t>Summary and Comparison</t>
  </si>
  <si>
    <t>List price of machine when new</t>
  </si>
  <si>
    <t>Number of years to repay loan (excl. balloon)</t>
  </si>
  <si>
    <t>Final balloon payment on loan, if any</t>
  </si>
  <si>
    <t>Estimated remaining value when sold</t>
  </si>
  <si>
    <t>Age of machine when acquired (0 if new)</t>
  </si>
  <si>
    <t>Hours on machine when acquired (0 if new)</t>
  </si>
  <si>
    <t>Age of machine when leased (0 if new)</t>
  </si>
  <si>
    <t>Hours on machine when leased (0 if new)</t>
  </si>
  <si>
    <t>Marginal income tax rates (tax bracket):</t>
  </si>
  <si>
    <t>Loan annual interest rate</t>
  </si>
  <si>
    <t>Discount rate, after taxes</t>
  </si>
  <si>
    <t>File A3-35 Machinery Leasing-Is it for you?</t>
  </si>
  <si>
    <r>
      <t xml:space="preserve">                      </t>
    </r>
    <r>
      <rPr>
        <u/>
        <sz val="10"/>
        <rFont val="Arial"/>
        <family val="2"/>
      </rPr>
      <t>Yearly After-tax Cash Outflows</t>
    </r>
  </si>
  <si>
    <t>Ag Decision Maker -- Iowa State University Extension and Outreach</t>
  </si>
  <si>
    <t>Cost of own capital-% (return on savings)</t>
  </si>
  <si>
    <t>Down payment or cash paid to trade</t>
  </si>
  <si>
    <t>Lease Pmts.</t>
  </si>
  <si>
    <t>consult with their tax professional.</t>
  </si>
  <si>
    <t>for estimates. State levels will vary by state and users should</t>
  </si>
  <si>
    <t>Note: This spreadsheet uses Federal Tax rules</t>
  </si>
  <si>
    <t>Version 1.4_22023</t>
  </si>
  <si>
    <t>This institution is an equal opportunity provider. For the full non-discrimination statement or accommodation inquiries, go to www.extension.iastate.edu/diversity/ext.</t>
  </si>
  <si>
    <r>
      <rPr>
        <sz val="10"/>
        <rFont val="Arial"/>
        <family val="2"/>
      </rPr>
      <t xml:space="preserve">For more information, see </t>
    </r>
    <r>
      <rPr>
        <u/>
        <sz val="10"/>
        <color indexed="12"/>
        <rFont val="Arial"/>
        <family val="2"/>
      </rPr>
      <t>File A3-21 Acquiring Farm Machinery Services or</t>
    </r>
  </si>
  <si>
    <t>Ag Decision Maker Files A3-21 and A3-35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</si>
</sst>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General_)"/>
    <numFmt numFmtId="167" formatCode="0.000_)"/>
    <numFmt numFmtId="168" formatCode="0.0_)"/>
    <numFmt numFmtId="169" formatCode="_(* #,##0_);_(* \(#,##0\);_(* &quot;-&quot;??_);_(@_)"/>
  </numFmts>
  <fonts count="2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8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9"/>
      <name val="Arial"/>
      <family val="2"/>
    </font>
    <font>
      <sz val="6"/>
      <color indexed="63"/>
      <name val="Univers"/>
      <family val="2"/>
    </font>
    <font>
      <sz val="6"/>
      <name val="Arial"/>
      <family val="2"/>
    </font>
    <font>
      <b/>
      <sz val="14"/>
      <color indexed="9"/>
      <name val="Arial"/>
      <family val="2"/>
    </font>
    <font>
      <u/>
      <sz val="10"/>
      <color indexed="45"/>
      <name val="Arial"/>
      <family val="2"/>
    </font>
    <font>
      <sz val="10"/>
      <color indexed="45"/>
      <name val="Arial"/>
      <family val="2"/>
    </font>
    <font>
      <b/>
      <sz val="11"/>
      <color indexed="63"/>
      <name val="Arial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u/>
      <sz val="10"/>
      <color rgb="FFC00000"/>
      <name val="Arial"/>
      <family val="2"/>
    </font>
    <font>
      <sz val="7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6"/>
      <color indexed="9"/>
      <name val="Arial"/>
      <family val="2"/>
    </font>
    <font>
      <u/>
      <sz val="9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0" tint="-0.149967955565050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46">
    <xf numFmtId="0" fontId="0" fillId="0" borderId="0" xfId="0"/>
    <xf numFmtId="166" fontId="0" fillId="0" borderId="0" xfId="0" applyNumberFormat="1" applyAlignment="1" applyProtection="1">
      <alignment horizontal="left"/>
    </xf>
    <xf numFmtId="166" fontId="0" fillId="0" borderId="0" xfId="0" applyNumberFormat="1" applyAlignment="1" applyProtection="1">
      <alignment horizontal="center"/>
    </xf>
    <xf numFmtId="166" fontId="0" fillId="0" borderId="0" xfId="0" applyNumberFormat="1" applyAlignment="1" applyProtection="1">
      <alignment horizontal="right"/>
    </xf>
    <xf numFmtId="167" fontId="0" fillId="0" borderId="0" xfId="0" applyNumberFormat="1" applyProtection="1"/>
    <xf numFmtId="168" fontId="0" fillId="0" borderId="0" xfId="0" applyNumberFormat="1" applyProtection="1"/>
    <xf numFmtId="166" fontId="0" fillId="0" borderId="0" xfId="0" applyNumberFormat="1" applyProtection="1"/>
    <xf numFmtId="169" fontId="0" fillId="0" borderId="0" xfId="1" applyNumberFormat="1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2" xfId="0" applyFont="1" applyFill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6" fillId="0" borderId="0" xfId="0" applyFont="1" applyFill="1" applyBorder="1" applyProtection="1">
      <protection locked="0"/>
    </xf>
    <xf numFmtId="0" fontId="6" fillId="0" borderId="5" xfId="0" applyFont="1" applyBorder="1"/>
    <xf numFmtId="0" fontId="6" fillId="0" borderId="0" xfId="0" applyFont="1" applyFill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5" fillId="0" borderId="0" xfId="0" applyFont="1" applyFill="1" applyBorder="1"/>
    <xf numFmtId="165" fontId="5" fillId="0" borderId="0" xfId="2" applyNumberFormat="1" applyFont="1" applyFill="1" applyBorder="1"/>
    <xf numFmtId="169" fontId="6" fillId="0" borderId="0" xfId="1" applyNumberFormat="1" applyFont="1" applyBorder="1"/>
    <xf numFmtId="165" fontId="6" fillId="0" borderId="0" xfId="0" applyNumberFormat="1" applyFont="1" applyBorder="1"/>
    <xf numFmtId="165" fontId="6" fillId="0" borderId="0" xfId="2" applyNumberFormat="1" applyFont="1" applyFill="1" applyBorder="1"/>
    <xf numFmtId="10" fontId="6" fillId="0" borderId="0" xfId="4" applyNumberFormat="1" applyFont="1" applyFill="1" applyBorder="1"/>
    <xf numFmtId="165" fontId="6" fillId="0" borderId="0" xfId="2" applyNumberFormat="1" applyFont="1" applyBorder="1"/>
    <xf numFmtId="0" fontId="5" fillId="0" borderId="11" xfId="0" applyFont="1" applyBorder="1"/>
    <xf numFmtId="0" fontId="6" fillId="0" borderId="11" xfId="0" applyFont="1" applyBorder="1"/>
    <xf numFmtId="0" fontId="5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/>
    <xf numFmtId="165" fontId="6" fillId="0" borderId="13" xfId="2" applyNumberFormat="1" applyFont="1" applyBorder="1"/>
    <xf numFmtId="169" fontId="6" fillId="0" borderId="13" xfId="1" applyNumberFormat="1" applyFont="1" applyBorder="1"/>
    <xf numFmtId="0" fontId="6" fillId="0" borderId="17" xfId="0" applyFont="1" applyBorder="1"/>
    <xf numFmtId="169" fontId="6" fillId="0" borderId="7" xfId="1" applyNumberFormat="1" applyFont="1" applyBorder="1"/>
    <xf numFmtId="169" fontId="6" fillId="0" borderId="18" xfId="1" applyNumberFormat="1" applyFont="1" applyBorder="1"/>
    <xf numFmtId="165" fontId="6" fillId="0" borderId="0" xfId="0" applyNumberFormat="1" applyFont="1"/>
    <xf numFmtId="0" fontId="5" fillId="0" borderId="0" xfId="0" applyFont="1" applyBorder="1"/>
    <xf numFmtId="0" fontId="6" fillId="0" borderId="11" xfId="0" applyFont="1" applyFill="1" applyBorder="1"/>
    <xf numFmtId="0" fontId="6" fillId="0" borderId="5" xfId="0" applyFont="1" applyFill="1" applyBorder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4" fontId="6" fillId="0" borderId="0" xfId="2" applyFont="1" applyBorder="1"/>
    <xf numFmtId="1" fontId="6" fillId="0" borderId="0" xfId="0" applyNumberFormat="1" applyFont="1"/>
    <xf numFmtId="169" fontId="6" fillId="0" borderId="0" xfId="1" applyNumberFormat="1" applyFont="1"/>
    <xf numFmtId="169" fontId="6" fillId="0" borderId="0" xfId="1" applyNumberFormat="1" applyFont="1" applyFill="1"/>
    <xf numFmtId="165" fontId="6" fillId="0" borderId="5" xfId="2" applyNumberFormat="1" applyFont="1" applyFill="1" applyBorder="1"/>
    <xf numFmtId="169" fontId="6" fillId="0" borderId="0" xfId="1" applyNumberFormat="1" applyFont="1" applyFill="1" applyBorder="1"/>
    <xf numFmtId="169" fontId="6" fillId="0" borderId="7" xfId="1" applyNumberFormat="1" applyFont="1" applyFill="1" applyBorder="1"/>
    <xf numFmtId="165" fontId="6" fillId="2" borderId="21" xfId="2" applyNumberFormat="1" applyFont="1" applyFill="1" applyBorder="1" applyProtection="1">
      <protection locked="0"/>
    </xf>
    <xf numFmtId="0" fontId="6" fillId="2" borderId="21" xfId="0" applyFont="1" applyFill="1" applyBorder="1" applyProtection="1">
      <protection locked="0"/>
    </xf>
    <xf numFmtId="10" fontId="6" fillId="2" borderId="21" xfId="4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7" fillId="0" borderId="0" xfId="0" applyFont="1"/>
    <xf numFmtId="0" fontId="2" fillId="0" borderId="0" xfId="0" applyFont="1"/>
    <xf numFmtId="0" fontId="8" fillId="0" borderId="0" xfId="3" applyFont="1" applyAlignment="1" applyProtection="1">
      <alignment wrapText="1"/>
    </xf>
    <xf numFmtId="0" fontId="10" fillId="2" borderId="23" xfId="0" applyFont="1" applyFill="1" applyBorder="1"/>
    <xf numFmtId="0" fontId="7" fillId="2" borderId="24" xfId="0" applyFont="1" applyFill="1" applyBorder="1"/>
    <xf numFmtId="0" fontId="1" fillId="0" borderId="0" xfId="0" applyFont="1"/>
    <xf numFmtId="0" fontId="5" fillId="0" borderId="0" xfId="0" applyFont="1" applyBorder="1" applyAlignment="1" applyProtection="1"/>
    <xf numFmtId="0" fontId="5" fillId="0" borderId="0" xfId="0" applyFont="1" applyFill="1" applyBorder="1" applyAlignment="1" applyProtection="1"/>
    <xf numFmtId="0" fontId="1" fillId="0" borderId="0" xfId="0" applyFont="1" applyBorder="1" applyAlignment="1"/>
    <xf numFmtId="0" fontId="1" fillId="0" borderId="0" xfId="0" applyFont="1" applyProtection="1"/>
    <xf numFmtId="0" fontId="7" fillId="0" borderId="0" xfId="0" applyFont="1" applyProtection="1"/>
    <xf numFmtId="0" fontId="11" fillId="0" borderId="0" xfId="0" applyFont="1" applyAlignment="1">
      <alignment horizontal="left"/>
    </xf>
    <xf numFmtId="0" fontId="12" fillId="0" borderId="0" xfId="0" applyFont="1"/>
    <xf numFmtId="0" fontId="7" fillId="0" borderId="0" xfId="0" applyFont="1" applyFill="1"/>
    <xf numFmtId="0" fontId="15" fillId="0" borderId="0" xfId="0" applyFont="1"/>
    <xf numFmtId="0" fontId="6" fillId="0" borderId="2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6" fillId="0" borderId="4" xfId="0" applyFont="1" applyFill="1" applyBorder="1"/>
    <xf numFmtId="169" fontId="6" fillId="0" borderId="5" xfId="1" applyNumberFormat="1" applyFont="1" applyFill="1" applyBorder="1"/>
    <xf numFmtId="0" fontId="5" fillId="0" borderId="6" xfId="0" applyFont="1" applyFill="1" applyBorder="1"/>
    <xf numFmtId="165" fontId="5" fillId="0" borderId="7" xfId="2" applyNumberFormat="1" applyFont="1" applyFill="1" applyBorder="1"/>
    <xf numFmtId="165" fontId="5" fillId="0" borderId="8" xfId="2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/>
    <xf numFmtId="165" fontId="6" fillId="0" borderId="19" xfId="2" applyNumberFormat="1" applyFont="1" applyFill="1" applyBorder="1"/>
    <xf numFmtId="0" fontId="6" fillId="0" borderId="16" xfId="0" applyFont="1" applyFill="1" applyBorder="1"/>
    <xf numFmtId="0" fontId="6" fillId="0" borderId="14" xfId="0" applyFont="1" applyFill="1" applyBorder="1"/>
    <xf numFmtId="169" fontId="6" fillId="0" borderId="11" xfId="1" applyNumberFormat="1" applyFont="1" applyFill="1" applyBorder="1"/>
    <xf numFmtId="169" fontId="6" fillId="0" borderId="26" xfId="1" applyNumberFormat="1" applyFont="1" applyFill="1" applyBorder="1"/>
    <xf numFmtId="165" fontId="6" fillId="0" borderId="27" xfId="2" applyNumberFormat="1" applyFont="1" applyFill="1" applyBorder="1"/>
    <xf numFmtId="14" fontId="1" fillId="0" borderId="0" xfId="0" applyNumberFormat="1" applyFont="1" applyProtection="1"/>
    <xf numFmtId="0" fontId="17" fillId="0" borderId="0" xfId="0" applyFont="1" applyFill="1" applyBorder="1" applyAlignment="1"/>
    <xf numFmtId="166" fontId="7" fillId="0" borderId="0" xfId="0" applyNumberFormat="1" applyFont="1" applyAlignment="1" applyProtection="1">
      <alignment horizontal="left"/>
    </xf>
    <xf numFmtId="0" fontId="6" fillId="0" borderId="20" xfId="0" applyFont="1" applyBorder="1"/>
    <xf numFmtId="0" fontId="7" fillId="0" borderId="0" xfId="0" applyFont="1" applyFill="1" applyBorder="1"/>
    <xf numFmtId="9" fontId="6" fillId="2" borderId="28" xfId="4" applyFont="1" applyFill="1" applyBorder="1" applyProtection="1">
      <protection locked="0"/>
    </xf>
    <xf numFmtId="164" fontId="6" fillId="2" borderId="28" xfId="4" applyNumberFormat="1" applyFont="1" applyFill="1" applyBorder="1" applyProtection="1">
      <protection locked="0"/>
    </xf>
    <xf numFmtId="165" fontId="6" fillId="2" borderId="28" xfId="2" applyNumberFormat="1" applyFont="1" applyFill="1" applyBorder="1" applyProtection="1">
      <protection locked="0"/>
    </xf>
    <xf numFmtId="164" fontId="6" fillId="0" borderId="5" xfId="4" applyNumberFormat="1" applyFont="1" applyBorder="1"/>
    <xf numFmtId="169" fontId="6" fillId="0" borderId="0" xfId="1" applyNumberFormat="1" applyFont="1" applyBorder="1" applyAlignment="1">
      <alignment horizontal="right"/>
    </xf>
    <xf numFmtId="169" fontId="19" fillId="0" borderId="0" xfId="1" applyNumberFormat="1" applyFont="1" applyFill="1" applyBorder="1"/>
    <xf numFmtId="169" fontId="19" fillId="0" borderId="5" xfId="1" applyNumberFormat="1" applyFont="1" applyFill="1" applyBorder="1"/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/>
    <xf numFmtId="0" fontId="6" fillId="0" borderId="19" xfId="0" applyFont="1" applyBorder="1"/>
    <xf numFmtId="0" fontId="6" fillId="0" borderId="17" xfId="0" applyFont="1" applyFill="1" applyBorder="1"/>
    <xf numFmtId="165" fontId="6" fillId="0" borderId="19" xfId="0" applyNumberFormat="1" applyFont="1" applyBorder="1"/>
    <xf numFmtId="0" fontId="11" fillId="0" borderId="0" xfId="0" applyFont="1" applyAlignment="1">
      <alignment wrapText="1"/>
    </xf>
    <xf numFmtId="0" fontId="21" fillId="0" borderId="0" xfId="0" applyFont="1"/>
    <xf numFmtId="0" fontId="6" fillId="0" borderId="4" xfId="0" applyFont="1" applyBorder="1" applyAlignment="1">
      <alignment horizontal="left" indent="1"/>
    </xf>
    <xf numFmtId="0" fontId="14" fillId="0" borderId="0" xfId="3" applyFont="1" applyAlignment="1" applyProtection="1"/>
    <xf numFmtId="0" fontId="5" fillId="0" borderId="0" xfId="0" applyFont="1" applyAlignment="1"/>
    <xf numFmtId="0" fontId="2" fillId="0" borderId="7" xfId="0" applyFont="1" applyBorder="1" applyAlignment="1">
      <alignment horizontal="left" indent="9"/>
    </xf>
    <xf numFmtId="0" fontId="5" fillId="0" borderId="7" xfId="0" applyFont="1" applyBorder="1" applyAlignment="1">
      <alignment horizontal="left" indent="9"/>
    </xf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/>
    <xf numFmtId="0" fontId="2" fillId="0" borderId="0" xfId="0" applyFont="1" applyAlignment="1"/>
    <xf numFmtId="0" fontId="5" fillId="0" borderId="16" xfId="0" applyFont="1" applyFill="1" applyBorder="1"/>
    <xf numFmtId="0" fontId="5" fillId="0" borderId="16" xfId="0" applyFont="1" applyFill="1" applyBorder="1" applyAlignment="1">
      <alignment horizontal="center"/>
    </xf>
    <xf numFmtId="0" fontId="16" fillId="0" borderId="0" xfId="0" applyFont="1" applyAlignment="1">
      <alignment horizontal="left" indent="1"/>
    </xf>
    <xf numFmtId="0" fontId="15" fillId="0" borderId="0" xfId="0" applyFont="1" applyAlignment="1">
      <alignment horizontal="left" indent="1"/>
    </xf>
    <xf numFmtId="0" fontId="9" fillId="2" borderId="22" xfId="0" applyFont="1" applyFill="1" applyBorder="1" applyAlignment="1" applyProtection="1">
      <alignment horizontal="left" indent="1"/>
    </xf>
    <xf numFmtId="0" fontId="22" fillId="0" borderId="4" xfId="0" applyFont="1" applyBorder="1" applyAlignment="1">
      <alignment horizontal="left" indent="1"/>
    </xf>
    <xf numFmtId="0" fontId="6" fillId="0" borderId="4" xfId="0" applyFont="1" applyBorder="1" applyAlignment="1">
      <alignment horizontal="left" indent="2"/>
    </xf>
    <xf numFmtId="0" fontId="23" fillId="0" borderId="4" xfId="0" applyFont="1" applyBorder="1" applyAlignment="1">
      <alignment horizontal="left" indent="1"/>
    </xf>
    <xf numFmtId="0" fontId="6" fillId="0" borderId="0" xfId="0" applyFont="1" applyBorder="1" applyAlignment="1" applyProtection="1">
      <alignment horizontal="left" indent="1"/>
    </xf>
    <xf numFmtId="0" fontId="20" fillId="0" borderId="0" xfId="3" applyFont="1" applyAlignment="1" applyProtection="1">
      <alignment horizontal="left" indent="1"/>
    </xf>
    <xf numFmtId="0" fontId="1" fillId="0" borderId="0" xfId="3" applyFont="1" applyAlignment="1" applyProtection="1">
      <alignment horizontal="left" indent="1"/>
    </xf>
    <xf numFmtId="0" fontId="9" fillId="0" borderId="0" xfId="0" applyFont="1" applyAlignment="1">
      <alignment horizontal="left" indent="1"/>
    </xf>
    <xf numFmtId="0" fontId="21" fillId="0" borderId="0" xfId="0" applyFont="1" applyAlignment="1">
      <alignment horizontal="left" indent="1"/>
    </xf>
    <xf numFmtId="0" fontId="4" fillId="4" borderId="29" xfId="0" applyFont="1" applyFill="1" applyBorder="1" applyAlignment="1">
      <alignment horizontal="left" indent="1"/>
    </xf>
    <xf numFmtId="0" fontId="6" fillId="4" borderId="9" xfId="0" applyFont="1" applyFill="1" applyBorder="1"/>
    <xf numFmtId="0" fontId="5" fillId="4" borderId="9" xfId="0" applyFont="1" applyFill="1" applyBorder="1" applyAlignment="1">
      <alignment horizontal="center"/>
    </xf>
    <xf numFmtId="0" fontId="5" fillId="4" borderId="9" xfId="0" applyFont="1" applyFill="1" applyBorder="1"/>
    <xf numFmtId="0" fontId="6" fillId="4" borderId="10" xfId="0" applyFont="1" applyFill="1" applyBorder="1"/>
    <xf numFmtId="0" fontId="25" fillId="0" borderId="0" xfId="3" applyFont="1" applyAlignment="1" applyProtection="1"/>
    <xf numFmtId="0" fontId="8" fillId="0" borderId="0" xfId="3" applyFont="1" applyAlignment="1" applyProtection="1">
      <alignment horizontal="left" indent="1"/>
    </xf>
    <xf numFmtId="0" fontId="8" fillId="0" borderId="0" xfId="3" applyFont="1" applyAlignment="1" applyProtection="1"/>
    <xf numFmtId="0" fontId="24" fillId="3" borderId="30" xfId="0" applyFont="1" applyFill="1" applyBorder="1" applyAlignment="1">
      <alignment horizontal="left" indent="1"/>
    </xf>
    <xf numFmtId="0" fontId="13" fillId="3" borderId="30" xfId="0" applyFont="1" applyFill="1" applyBorder="1" applyAlignment="1"/>
    <xf numFmtId="0" fontId="17" fillId="3" borderId="30" xfId="0" applyFont="1" applyFill="1" applyBorder="1" applyAlignment="1">
      <alignment horizontal="right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2000" b="1"/>
              <a:t>Net Cash Outflows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Purchase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Example!$F$29:$F$40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Example!$K$29:$K$40</c:f>
              <c:numCache>
                <c:formatCode>_(* #,##0_);_(* \(#,##0\);_(* "-"??_);_(@_)</c:formatCode>
                <c:ptCount val="12"/>
                <c:pt idx="0" formatCode="_(&quot;$&quot;* #,##0_);_(&quot;$&quot;* \(#,##0\);_(&quot;$&quot;* &quot;-&quot;??_);_(@_)">
                  <c:v>300000</c:v>
                </c:pt>
                <c:pt idx="1">
                  <c:v>-50670.1</c:v>
                </c:pt>
                <c:pt idx="2">
                  <c:v>-18219.02768473027</c:v>
                </c:pt>
                <c:pt idx="3">
                  <c:v>-11008.287967613443</c:v>
                </c:pt>
                <c:pt idx="4">
                  <c:v>-8780.3099066930554</c:v>
                </c:pt>
                <c:pt idx="5">
                  <c:v>-121341.66859321174</c:v>
                </c:pt>
                <c:pt idx="6">
                  <c:v>37901.289410575831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9-4E06-83F2-917E78682B35}"/>
            </c:ext>
          </c:extLst>
        </c:ser>
        <c:ser>
          <c:idx val="1"/>
          <c:order val="1"/>
          <c:tx>
            <c:v>Lease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Example!$F$29:$F$40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Example!$K$61:$K$72</c:f>
              <c:numCache>
                <c:formatCode>_(* #,##0_);_(* \(#,##0\);_(* "-"??_);_(@_)</c:formatCode>
                <c:ptCount val="12"/>
                <c:pt idx="0" formatCode="_(&quot;$&quot;* #,##0_);_(&quot;$&quot;* \(#,##0\);_(&quot;$&quot;* &quot;-&quot;??_);_(@_)">
                  <c:v>50000</c:v>
                </c:pt>
                <c:pt idx="1">
                  <c:v>30511.5</c:v>
                </c:pt>
                <c:pt idx="2">
                  <c:v>32170.742315269734</c:v>
                </c:pt>
                <c:pt idx="3">
                  <c:v>33418.001032386557</c:v>
                </c:pt>
                <c:pt idx="4">
                  <c:v>34718.326493306944</c:v>
                </c:pt>
                <c:pt idx="5">
                  <c:v>-13942.892083465407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69-4E06-83F2-917E78682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0492255"/>
        <c:axId val="1"/>
      </c:barChart>
      <c:catAx>
        <c:axId val="19404922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85000"/>
                      <a:lumOff val="1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40492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chemeClr val="tx1">
              <a:lumMod val="85000"/>
              <a:lumOff val="15000"/>
            </a:schemeClr>
          </a:solidFill>
          <a:latin typeface="Arial Narrow" panose="020B0606020202030204" pitchFamily="34" charset="0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2000" b="1"/>
              <a:t>Net Cash Outflows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Purchase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Blank!$F$29:$F$40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Blank!$K$29:$K$40</c:f>
              <c:numCache>
                <c:formatCode>_(* #,##0_);_(* \(#,##0\);_(* "-"??_);_(@_)</c:formatCode>
                <c:ptCount val="12"/>
                <c:pt idx="0" formatCode="_(&quot;$&quot;* #,##0_);_(&quot;$&quot;* \(#,##0\);_(&quot;$&quot;* &quot;-&quot;??_);_(@_)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8D-479F-96BD-CACC40C3C24A}"/>
            </c:ext>
          </c:extLst>
        </c:ser>
        <c:ser>
          <c:idx val="1"/>
          <c:order val="1"/>
          <c:tx>
            <c:v>Lease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Blank!$F$29:$F$40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Blank!$K$61:$K$72</c:f>
              <c:numCache>
                <c:formatCode>_(* #,##0_);_(* \(#,##0\);_(* "-"??_);_(@_)</c:formatCode>
                <c:ptCount val="12"/>
                <c:pt idx="0" formatCode="_(&quot;$&quot;* #,##0_);_(&quot;$&quot;* \(#,##0\);_(&quot;$&quot;* &quot;-&quot;??_);_(@_)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8D-479F-96BD-CACC40C3C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0492255"/>
        <c:axId val="1"/>
      </c:barChart>
      <c:catAx>
        <c:axId val="19404922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85000"/>
                      <a:lumOff val="1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40492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chemeClr val="tx1">
              <a:lumMod val="85000"/>
              <a:lumOff val="15000"/>
            </a:schemeClr>
          </a:solidFill>
          <a:latin typeface="Arial Narrow" panose="020B0606020202030204" pitchFamily="34" charset="0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22" fmlaLink="$C$9" fmlaRange="Data!$B$5:$B$37" noThreeD="1" sel="4" val="0"/>
</file>

<file path=xl/ctrlProps/ctrlProp2.xml><?xml version="1.0" encoding="utf-8"?>
<formControlPr xmlns="http://schemas.microsoft.com/office/spreadsheetml/2009/9/main" objectType="Drop" dropStyle="combo" dx="22" fmlaLink="$C$9" fmlaRange="Data!$B$5:$B$37" noThreeD="1" sel="4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90</xdr:row>
      <xdr:rowOff>66675</xdr:rowOff>
    </xdr:from>
    <xdr:to>
      <xdr:col>11</xdr:col>
      <xdr:colOff>0</xdr:colOff>
      <xdr:row>113</xdr:row>
      <xdr:rowOff>142875</xdr:rowOff>
    </xdr:to>
    <xdr:graphicFrame macro="">
      <xdr:nvGraphicFramePr>
        <xdr:cNvPr id="2" name="Chart 3" descr="Chart showing net cash outflows by yea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</xdr:row>
          <xdr:rowOff>123825</xdr:rowOff>
        </xdr:from>
        <xdr:to>
          <xdr:col>3</xdr:col>
          <xdr:colOff>752475</xdr:colOff>
          <xdr:row>9</xdr:row>
          <xdr:rowOff>9525</xdr:rowOff>
        </xdr:to>
        <xdr:sp macro="" textlink="">
          <xdr:nvSpPr>
            <xdr:cNvPr id="69633" name="Drop Down 1" descr="Dropdown menu to select type of machine" hidden="1">
              <a:extLst>
                <a:ext uri="{63B3BB69-23CF-44E3-9099-C40C66FF867C}">
                  <a14:compatExt spid="_x0000_s69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431321</xdr:colOff>
      <xdr:row>115</xdr:row>
      <xdr:rowOff>112144</xdr:rowOff>
    </xdr:from>
    <xdr:to>
      <xdr:col>9</xdr:col>
      <xdr:colOff>61855</xdr:colOff>
      <xdr:row>119</xdr:row>
      <xdr:rowOff>6484</xdr:rowOff>
    </xdr:to>
    <xdr:pic>
      <xdr:nvPicPr>
        <xdr:cNvPr id="4" name="Picture 4" title="Iowa State University Extension and Outreach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6521" y="24238969"/>
          <a:ext cx="2992859" cy="542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133350</xdr:colOff>
      <xdr:row>7</xdr:row>
      <xdr:rowOff>38101</xdr:rowOff>
    </xdr:from>
    <xdr:to>
      <xdr:col>11</xdr:col>
      <xdr:colOff>38100</xdr:colOff>
      <xdr:row>17</xdr:row>
      <xdr:rowOff>114301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00" r="7500"/>
        <a:stretch/>
      </xdr:blipFill>
      <xdr:spPr>
        <a:xfrm>
          <a:off x="7000875" y="1371601"/>
          <a:ext cx="16002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90</xdr:row>
      <xdr:rowOff>66675</xdr:rowOff>
    </xdr:from>
    <xdr:to>
      <xdr:col>11</xdr:col>
      <xdr:colOff>0</xdr:colOff>
      <xdr:row>113</xdr:row>
      <xdr:rowOff>142875</xdr:rowOff>
    </xdr:to>
    <xdr:graphicFrame macro="">
      <xdr:nvGraphicFramePr>
        <xdr:cNvPr id="2" name="Chart 3" descr="Chart showing net cash outflows by yea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</xdr:row>
          <xdr:rowOff>123825</xdr:rowOff>
        </xdr:from>
        <xdr:to>
          <xdr:col>3</xdr:col>
          <xdr:colOff>752475</xdr:colOff>
          <xdr:row>9</xdr:row>
          <xdr:rowOff>9525</xdr:rowOff>
        </xdr:to>
        <xdr:sp macro="" textlink="">
          <xdr:nvSpPr>
            <xdr:cNvPr id="73729" name="Drop Down 1" descr="Dropdown menu to select type of machine" hidden="1">
              <a:extLst>
                <a:ext uri="{63B3BB69-23CF-44E3-9099-C40C66FF867C}">
                  <a14:compatExt spid="_x0000_s73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431321</xdr:colOff>
      <xdr:row>115</xdr:row>
      <xdr:rowOff>112144</xdr:rowOff>
    </xdr:from>
    <xdr:to>
      <xdr:col>9</xdr:col>
      <xdr:colOff>61855</xdr:colOff>
      <xdr:row>119</xdr:row>
      <xdr:rowOff>6484</xdr:rowOff>
    </xdr:to>
    <xdr:pic>
      <xdr:nvPicPr>
        <xdr:cNvPr id="4" name="Picture 4" title="Iowa State University Extension and Outreach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9396" y="19276444"/>
          <a:ext cx="3107159" cy="542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133350</xdr:colOff>
      <xdr:row>7</xdr:row>
      <xdr:rowOff>38101</xdr:rowOff>
    </xdr:from>
    <xdr:to>
      <xdr:col>11</xdr:col>
      <xdr:colOff>38100</xdr:colOff>
      <xdr:row>17</xdr:row>
      <xdr:rowOff>114301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00" r="7500"/>
        <a:stretch/>
      </xdr:blipFill>
      <xdr:spPr>
        <a:xfrm>
          <a:off x="7258050" y="1371601"/>
          <a:ext cx="1600200" cy="171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www.extension.iastate.edu/agdm/crops/html/a3-21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extension.iastate.edu/agdm/crops/pdf/a3-35.pdf" TargetMode="External"/><Relationship Id="rId1" Type="http://schemas.openxmlformats.org/officeDocument/2006/relationships/hyperlink" Target="http://www.extension.iastate.edu/agdm/crops/pdf/a3-24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extension.iastate.edu/agdm/crops/html/a3-35.html" TargetMode="External"/><Relationship Id="rId4" Type="http://schemas.openxmlformats.org/officeDocument/2006/relationships/hyperlink" Target="mailto:agdm@iastate.edu?subject=AgDM%20A3-21-35%20Decision%20Tool" TargetMode="External"/><Relationship Id="rId9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s://www.extension.iastate.edu/agdm/crops/html/a3-21.html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www.extension.iastate.edu/agdm/crops/pdf/a3-35.pdf" TargetMode="External"/><Relationship Id="rId1" Type="http://schemas.openxmlformats.org/officeDocument/2006/relationships/hyperlink" Target="http://www.extension.iastate.edu/agdm/crops/pdf/a3-24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extension.iastate.edu/agdm/crops/html/a3-35.html" TargetMode="External"/><Relationship Id="rId4" Type="http://schemas.openxmlformats.org/officeDocument/2006/relationships/hyperlink" Target="mailto:agdm@iastate.edu?subject=AgDM%20A3-21-35%20Decision%20Tool" TargetMode="External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P127"/>
  <sheetViews>
    <sheetView showGridLines="0" tabSelected="1" zoomScale="110" zoomScaleNormal="110" workbookViewId="0"/>
  </sheetViews>
  <sheetFormatPr defaultRowHeight="12.75" x14ac:dyDescent="0.2"/>
  <cols>
    <col min="1" max="1" width="14.85546875" customWidth="1"/>
    <col min="2" max="4" width="12.7109375" customWidth="1"/>
    <col min="5" max="5" width="1.7109375" customWidth="1"/>
    <col min="6" max="6" width="14.42578125" customWidth="1"/>
    <col min="7" max="8" width="12.7109375" customWidth="1"/>
    <col min="9" max="9" width="12.28515625" bestFit="1" customWidth="1"/>
    <col min="10" max="14" width="12.7109375" customWidth="1"/>
    <col min="15" max="15" width="9.28515625" bestFit="1" customWidth="1"/>
    <col min="16" max="16" width="10.85546875" bestFit="1" customWidth="1"/>
  </cols>
  <sheetData>
    <row r="1" spans="1:11" s="144" customFormat="1" ht="24.75" customHeight="1" thickBot="1" x14ac:dyDescent="0.35">
      <c r="A1" s="143" t="s">
        <v>101</v>
      </c>
      <c r="K1" s="145" t="s">
        <v>130</v>
      </c>
    </row>
    <row r="2" spans="1:11" s="59" customFormat="1" ht="15.75" thickTop="1" x14ac:dyDescent="0.25">
      <c r="A2" s="124" t="s">
        <v>120</v>
      </c>
      <c r="B2" s="60"/>
    </row>
    <row r="3" spans="1:11" s="59" customFormat="1" ht="12.75" customHeight="1" x14ac:dyDescent="0.2">
      <c r="A3" s="141" t="s">
        <v>129</v>
      </c>
      <c r="B3" s="140"/>
      <c r="C3" s="140"/>
      <c r="D3" s="140"/>
      <c r="E3" s="114"/>
      <c r="F3" s="114"/>
      <c r="G3" s="114"/>
    </row>
    <row r="4" spans="1:11" s="59" customFormat="1" ht="12.75" customHeight="1" x14ac:dyDescent="0.2">
      <c r="A4" s="141" t="s">
        <v>118</v>
      </c>
      <c r="B4" s="142"/>
      <c r="C4" s="142"/>
      <c r="D4" s="114"/>
      <c r="E4" s="114"/>
      <c r="F4" s="61"/>
      <c r="G4" s="61"/>
      <c r="H4" s="61"/>
      <c r="I4" s="61"/>
    </row>
    <row r="5" spans="1:11" s="59" customFormat="1" x14ac:dyDescent="0.2">
      <c r="A5" s="125"/>
      <c r="B5" s="73"/>
      <c r="C5" s="73"/>
      <c r="D5" s="73"/>
      <c r="E5" s="73"/>
    </row>
    <row r="6" spans="1:11" x14ac:dyDescent="0.2">
      <c r="A6" s="126" t="s">
        <v>104</v>
      </c>
      <c r="B6" s="62"/>
      <c r="C6" s="63"/>
      <c r="D6" s="97"/>
    </row>
    <row r="7" spans="1:11" s="8" customFormat="1" ht="13.5" thickBot="1" x14ac:dyDescent="0.25">
      <c r="A7" s="115"/>
      <c r="B7" s="115"/>
      <c r="C7" s="115"/>
      <c r="F7" s="116" t="s">
        <v>106</v>
      </c>
      <c r="G7" s="117"/>
      <c r="H7" s="117"/>
      <c r="I7" s="117"/>
    </row>
    <row r="8" spans="1:11" s="8" customFormat="1" x14ac:dyDescent="0.2">
      <c r="A8" s="9"/>
      <c r="B8" s="10"/>
      <c r="C8" s="11"/>
      <c r="D8" s="12"/>
      <c r="F8" s="118" t="s">
        <v>119</v>
      </c>
      <c r="G8" s="119"/>
      <c r="H8" s="119"/>
      <c r="I8" s="120"/>
    </row>
    <row r="9" spans="1:11" s="8" customFormat="1" ht="14.25" x14ac:dyDescent="0.2">
      <c r="A9" s="127" t="s">
        <v>17</v>
      </c>
      <c r="B9" s="14"/>
      <c r="C9" s="15">
        <v>4</v>
      </c>
      <c r="D9" s="16"/>
      <c r="F9" s="74" t="s">
        <v>0</v>
      </c>
      <c r="G9" s="75" t="s">
        <v>1</v>
      </c>
      <c r="H9" s="75" t="s">
        <v>2</v>
      </c>
      <c r="I9" s="76"/>
    </row>
    <row r="10" spans="1:11" s="8" customFormat="1" x14ac:dyDescent="0.2">
      <c r="A10" s="113" t="s">
        <v>115</v>
      </c>
      <c r="B10" s="14"/>
      <c r="C10" s="17"/>
      <c r="D10" s="16"/>
      <c r="F10" s="77">
        <v>0</v>
      </c>
      <c r="G10" s="25">
        <f t="shared" ref="G10:G20" si="0">K29</f>
        <v>300000</v>
      </c>
      <c r="H10" s="25">
        <f t="shared" ref="H10:H20" si="1">K61</f>
        <v>50000</v>
      </c>
      <c r="I10" s="52"/>
    </row>
    <row r="11" spans="1:11" s="8" customFormat="1" x14ac:dyDescent="0.2">
      <c r="A11" s="128" t="s">
        <v>20</v>
      </c>
      <c r="B11" s="14"/>
      <c r="C11" s="14"/>
      <c r="D11" s="98">
        <v>0.22</v>
      </c>
      <c r="F11" s="78">
        <v>1</v>
      </c>
      <c r="G11" s="53">
        <f>K30</f>
        <v>-50670.1</v>
      </c>
      <c r="H11" s="53">
        <f t="shared" si="1"/>
        <v>30511.5</v>
      </c>
      <c r="I11" s="79"/>
    </row>
    <row r="12" spans="1:11" s="8" customFormat="1" x14ac:dyDescent="0.2">
      <c r="A12" s="128" t="s">
        <v>22</v>
      </c>
      <c r="B12" s="14"/>
      <c r="C12" s="14"/>
      <c r="D12" s="98">
        <v>0.06</v>
      </c>
      <c r="F12" s="78">
        <v>2</v>
      </c>
      <c r="G12" s="53">
        <f t="shared" si="0"/>
        <v>-18219.02768473027</v>
      </c>
      <c r="H12" s="53">
        <f t="shared" si="1"/>
        <v>32170.742315269734</v>
      </c>
      <c r="I12" s="79"/>
    </row>
    <row r="13" spans="1:11" s="8" customFormat="1" x14ac:dyDescent="0.2">
      <c r="A13" s="128" t="s">
        <v>21</v>
      </c>
      <c r="B13" s="14"/>
      <c r="C13" s="14"/>
      <c r="D13" s="99">
        <v>0.153</v>
      </c>
      <c r="F13" s="78">
        <v>3</v>
      </c>
      <c r="G13" s="53">
        <f t="shared" si="0"/>
        <v>-11008.287967613443</v>
      </c>
      <c r="H13" s="53">
        <f t="shared" si="1"/>
        <v>33418.001032386557</v>
      </c>
      <c r="I13" s="79"/>
    </row>
    <row r="14" spans="1:11" s="8" customFormat="1" x14ac:dyDescent="0.2">
      <c r="A14" s="113" t="s">
        <v>23</v>
      </c>
      <c r="B14" s="14"/>
      <c r="C14" s="14"/>
      <c r="D14" s="98">
        <v>0.2</v>
      </c>
      <c r="F14" s="78">
        <v>4</v>
      </c>
      <c r="G14" s="53">
        <f t="shared" si="0"/>
        <v>-8780.3099066930554</v>
      </c>
      <c r="H14" s="53">
        <f t="shared" si="1"/>
        <v>34718.326493306944</v>
      </c>
      <c r="I14" s="79"/>
    </row>
    <row r="15" spans="1:11" s="8" customFormat="1" x14ac:dyDescent="0.2">
      <c r="A15" s="113" t="s">
        <v>105</v>
      </c>
      <c r="B15" s="14"/>
      <c r="C15" s="14"/>
      <c r="D15" s="100">
        <v>100000</v>
      </c>
      <c r="F15" s="78">
        <v>5</v>
      </c>
      <c r="G15" s="53">
        <f t="shared" si="0"/>
        <v>-121341.66859321174</v>
      </c>
      <c r="H15" s="53">
        <f t="shared" si="1"/>
        <v>-13942.892083465407</v>
      </c>
      <c r="I15" s="79"/>
    </row>
    <row r="16" spans="1:11" s="8" customFormat="1" x14ac:dyDescent="0.2">
      <c r="A16" s="113" t="s">
        <v>121</v>
      </c>
      <c r="B16" s="14"/>
      <c r="C16" s="14"/>
      <c r="D16" s="98">
        <v>0.05</v>
      </c>
      <c r="F16" s="78">
        <v>6</v>
      </c>
      <c r="G16" s="53">
        <f t="shared" si="0"/>
        <v>37901.289410575831</v>
      </c>
      <c r="H16" s="53">
        <f t="shared" si="1"/>
        <v>0</v>
      </c>
      <c r="I16" s="79"/>
    </row>
    <row r="17" spans="1:11" s="8" customFormat="1" x14ac:dyDescent="0.2">
      <c r="A17" s="113" t="s">
        <v>117</v>
      </c>
      <c r="B17" s="14"/>
      <c r="C17" s="14"/>
      <c r="D17" s="101">
        <f>D16*(1-D11-D12-D13)</f>
        <v>2.835E-2</v>
      </c>
      <c r="F17" s="78">
        <v>7</v>
      </c>
      <c r="G17" s="53">
        <f t="shared" si="0"/>
        <v>0</v>
      </c>
      <c r="H17" s="53">
        <f t="shared" si="1"/>
        <v>0</v>
      </c>
      <c r="I17" s="79"/>
    </row>
    <row r="18" spans="1:11" s="8" customFormat="1" x14ac:dyDescent="0.2">
      <c r="A18" s="113"/>
      <c r="B18" s="14"/>
      <c r="C18" s="14"/>
      <c r="D18" s="16"/>
      <c r="F18" s="78">
        <v>8</v>
      </c>
      <c r="G18" s="53">
        <f t="shared" si="0"/>
        <v>0</v>
      </c>
      <c r="H18" s="53">
        <f t="shared" si="1"/>
        <v>0</v>
      </c>
      <c r="I18" s="79"/>
    </row>
    <row r="19" spans="1:11" s="8" customFormat="1" x14ac:dyDescent="0.2">
      <c r="A19" s="129" t="s">
        <v>126</v>
      </c>
      <c r="B19" s="14"/>
      <c r="C19" s="14"/>
      <c r="D19" s="16"/>
      <c r="F19" s="78">
        <v>9</v>
      </c>
      <c r="G19" s="53">
        <f t="shared" si="0"/>
        <v>0</v>
      </c>
      <c r="H19" s="53">
        <f t="shared" si="1"/>
        <v>0</v>
      </c>
      <c r="I19" s="79"/>
    </row>
    <row r="20" spans="1:11" s="8" customFormat="1" x14ac:dyDescent="0.2">
      <c r="A20" s="129" t="s">
        <v>125</v>
      </c>
      <c r="B20" s="14"/>
      <c r="C20" s="14"/>
      <c r="D20" s="16"/>
      <c r="F20" s="78">
        <v>10</v>
      </c>
      <c r="G20" s="53">
        <f t="shared" si="0"/>
        <v>0</v>
      </c>
      <c r="H20" s="53">
        <f t="shared" si="1"/>
        <v>0</v>
      </c>
      <c r="I20" s="79"/>
    </row>
    <row r="21" spans="1:11" s="8" customFormat="1" ht="15" x14ac:dyDescent="0.35">
      <c r="A21" s="129" t="s">
        <v>124</v>
      </c>
      <c r="B21" s="14"/>
      <c r="C21" s="14"/>
      <c r="D21" s="16"/>
      <c r="F21" s="78">
        <v>11</v>
      </c>
      <c r="G21" s="103">
        <f>K40</f>
        <v>0</v>
      </c>
      <c r="H21" s="103">
        <f>K72</f>
        <v>0</v>
      </c>
      <c r="I21" s="104"/>
    </row>
    <row r="22" spans="1:11" s="8" customFormat="1" x14ac:dyDescent="0.2">
      <c r="A22" s="13"/>
      <c r="B22" s="14"/>
      <c r="C22" s="14"/>
      <c r="D22" s="16"/>
      <c r="F22" s="78" t="s">
        <v>98</v>
      </c>
      <c r="G22" s="25">
        <f>SUM(G10:G21)</f>
        <v>127881.89525832732</v>
      </c>
      <c r="H22" s="25">
        <f>SUM(H10:H21)</f>
        <v>166875.67775749782</v>
      </c>
      <c r="I22" s="52"/>
    </row>
    <row r="23" spans="1:11" s="8" customFormat="1" x14ac:dyDescent="0.2">
      <c r="A23" s="13"/>
      <c r="B23" s="14"/>
      <c r="C23" s="14"/>
      <c r="D23" s="16"/>
      <c r="F23" s="78" t="s">
        <v>99</v>
      </c>
      <c r="G23" s="25">
        <f>NPV($D$17,G11:G21)+G10</f>
        <v>142060.09608369009</v>
      </c>
      <c r="H23" s="25">
        <f>NPV($D$17,H11:H21)+H10</f>
        <v>159742.5699412754</v>
      </c>
      <c r="I23" s="52"/>
    </row>
    <row r="24" spans="1:11" s="8" customFormat="1" ht="13.5" thickBot="1" x14ac:dyDescent="0.25">
      <c r="A24" s="18"/>
      <c r="B24" s="19"/>
      <c r="C24" s="19"/>
      <c r="D24" s="20"/>
      <c r="F24" s="80" t="s">
        <v>100</v>
      </c>
      <c r="G24" s="81">
        <f>IF(D32&gt;0,-PMT($D$17,$D$32,G23),0)</f>
        <v>30873.481563099456</v>
      </c>
      <c r="H24" s="81">
        <f>IF($D$68+$D$69&gt;0,-PMT($D$17,$D$68+$D$69,H23),0)</f>
        <v>34716.358948671099</v>
      </c>
      <c r="I24" s="82"/>
    </row>
    <row r="25" spans="1:11" s="8" customFormat="1" ht="13.5" thickBot="1" x14ac:dyDescent="0.25">
      <c r="F25" s="21"/>
      <c r="G25" s="22"/>
      <c r="H25" s="22"/>
      <c r="I25" s="22"/>
    </row>
    <row r="26" spans="1:11" s="8" customFormat="1" ht="22.5" customHeight="1" x14ac:dyDescent="0.25">
      <c r="A26" s="135" t="s">
        <v>85</v>
      </c>
      <c r="B26" s="136"/>
      <c r="C26" s="136"/>
      <c r="D26" s="137" t="s">
        <v>87</v>
      </c>
      <c r="E26" s="136"/>
      <c r="F26" s="138" t="s">
        <v>86</v>
      </c>
      <c r="G26" s="136"/>
      <c r="H26" s="136"/>
      <c r="I26" s="136"/>
      <c r="J26" s="136"/>
      <c r="K26" s="139"/>
    </row>
    <row r="27" spans="1:11" s="8" customFormat="1" x14ac:dyDescent="0.2">
      <c r="A27" s="113" t="s">
        <v>17</v>
      </c>
      <c r="B27" s="14"/>
      <c r="C27" s="14"/>
      <c r="D27" s="102" t="str">
        <f>VLOOKUP($C$9,Data!A$5:H$37,2)</f>
        <v>Combine SP unit</v>
      </c>
      <c r="E27" s="23"/>
      <c r="F27" s="122"/>
      <c r="G27" s="83" t="s">
        <v>82</v>
      </c>
      <c r="H27" s="83" t="s">
        <v>89</v>
      </c>
      <c r="I27" s="83"/>
      <c r="J27" s="83" t="s">
        <v>4</v>
      </c>
      <c r="K27" s="84" t="s">
        <v>84</v>
      </c>
    </row>
    <row r="28" spans="1:11" s="8" customFormat="1" x14ac:dyDescent="0.2">
      <c r="A28" s="113" t="s">
        <v>107</v>
      </c>
      <c r="B28" s="14"/>
      <c r="C28" s="24"/>
      <c r="D28" s="55">
        <v>300000</v>
      </c>
      <c r="E28" s="17"/>
      <c r="F28" s="105" t="s">
        <v>0</v>
      </c>
      <c r="G28" s="83" t="s">
        <v>71</v>
      </c>
      <c r="H28" s="83" t="s">
        <v>74</v>
      </c>
      <c r="I28" s="83" t="s">
        <v>3</v>
      </c>
      <c r="J28" s="83" t="s">
        <v>5</v>
      </c>
      <c r="K28" s="84" t="s">
        <v>80</v>
      </c>
    </row>
    <row r="29" spans="1:11" s="8" customFormat="1" x14ac:dyDescent="0.2">
      <c r="A29" s="113" t="s">
        <v>111</v>
      </c>
      <c r="B29" s="14"/>
      <c r="C29" s="24"/>
      <c r="D29" s="56">
        <v>0</v>
      </c>
      <c r="E29" s="17"/>
      <c r="F29" s="86">
        <v>0</v>
      </c>
      <c r="G29" s="87">
        <f>D33</f>
        <v>300000</v>
      </c>
      <c r="H29" s="87"/>
      <c r="I29" s="87"/>
      <c r="J29" s="87"/>
      <c r="K29" s="92">
        <f>G29+H29+I29+J29</f>
        <v>300000</v>
      </c>
    </row>
    <row r="30" spans="1:11" s="8" customFormat="1" x14ac:dyDescent="0.2">
      <c r="A30" s="113" t="s">
        <v>112</v>
      </c>
      <c r="B30" s="14"/>
      <c r="C30" s="24"/>
      <c r="D30" s="56">
        <v>0</v>
      </c>
      <c r="E30" s="17"/>
      <c r="F30" s="88">
        <v>1</v>
      </c>
      <c r="G30" s="53">
        <f t="shared" ref="G30:G39" si="2">IF(F30&lt;=D$36,-PMT(D$35,D$36,D$34-D$37)+D$37*D$35,0)+IF(F30=D$36+1,D$37*(1+D$35),0)</f>
        <v>0</v>
      </c>
      <c r="H30" s="25">
        <f t="shared" ref="H30:H39" si="3">IF(F30=D$32,-D$39,0)</f>
        <v>0</v>
      </c>
      <c r="I30" s="25">
        <f>IF(D$38&gt;=F30,0,IF(F30&lt;=D$32,D$28*VLOOKUP(C$9,Data!$A$5:$D$37,3)*(((D$30+D$31*F30)/1000)^VLOOKUP(C$9,Data!$A$5:$D$37,4)-((D$30+D$31*(F30-1))/1000)^VLOOKUP(C$9,Data!$A$5:$D$37,4)),0))</f>
        <v>0</v>
      </c>
      <c r="J30" s="25">
        <f>-J46</f>
        <v>-50670.1</v>
      </c>
      <c r="K30" s="79">
        <f>G30+H30+I30+J30</f>
        <v>-50670.1</v>
      </c>
    </row>
    <row r="31" spans="1:11" s="8" customFormat="1" x14ac:dyDescent="0.2">
      <c r="A31" s="113" t="s">
        <v>19</v>
      </c>
      <c r="B31" s="14"/>
      <c r="C31" s="24"/>
      <c r="D31" s="56">
        <v>350</v>
      </c>
      <c r="E31" s="17"/>
      <c r="F31" s="88">
        <v>2</v>
      </c>
      <c r="G31" s="53">
        <f t="shared" si="2"/>
        <v>0</v>
      </c>
      <c r="H31" s="53">
        <f t="shared" si="3"/>
        <v>0</v>
      </c>
      <c r="I31" s="53">
        <f>IF(D$38&gt;=F31,0,IF(F31&lt;=D$32,D$28*VLOOKUP(C$9,Data!$A$5:$D$37,3)*(((D$30+D$31*F31)/1000)^VLOOKUP(C$9,Data!$A$5:$D$37,4)-((D$30+D$31*(F31-1))/1000)^VLOOKUP(C$9,Data!$A$5:$D$37,4)),0))</f>
        <v>2719.044155924375</v>
      </c>
      <c r="J31" s="53">
        <f t="shared" ref="J31:J38" si="4">-J47</f>
        <v>-20938.071840654644</v>
      </c>
      <c r="K31" s="79">
        <f t="shared" ref="K31:K39" si="5">G31+H31+I31+J31</f>
        <v>-18219.02768473027</v>
      </c>
    </row>
    <row r="32" spans="1:11" s="8" customFormat="1" x14ac:dyDescent="0.2">
      <c r="A32" s="113" t="s">
        <v>70</v>
      </c>
      <c r="B32" s="14"/>
      <c r="C32" s="14"/>
      <c r="D32" s="56">
        <v>5</v>
      </c>
      <c r="E32" s="17"/>
      <c r="F32" s="88">
        <v>3</v>
      </c>
      <c r="G32" s="53">
        <f t="shared" si="2"/>
        <v>0</v>
      </c>
      <c r="H32" s="53">
        <f t="shared" si="3"/>
        <v>0</v>
      </c>
      <c r="I32" s="53">
        <f>IF(D$38&gt;=F32,0,IF(F32&lt;=D$32,D$28*VLOOKUP(C$9,Data!$A$5:$D$37,3)*(((D$30+D$31*F32)/1000)^VLOOKUP(C$9,Data!$A$5:$D$37,4)-((D$30+D$31*(F32-1))/1000)^VLOOKUP(C$9,Data!$A$5:$D$37,4)),0))</f>
        <v>4762.9599206636158</v>
      </c>
      <c r="J32" s="53">
        <f t="shared" si="4"/>
        <v>-15771.247888277059</v>
      </c>
      <c r="K32" s="79">
        <f t="shared" si="5"/>
        <v>-11008.287967613443</v>
      </c>
    </row>
    <row r="33" spans="1:11" s="8" customFormat="1" x14ac:dyDescent="0.2">
      <c r="A33" s="113" t="s">
        <v>122</v>
      </c>
      <c r="B33" s="14"/>
      <c r="C33" s="14"/>
      <c r="D33" s="55">
        <v>300000</v>
      </c>
      <c r="E33" s="25"/>
      <c r="F33" s="88">
        <v>4</v>
      </c>
      <c r="G33" s="53">
        <f t="shared" si="2"/>
        <v>0</v>
      </c>
      <c r="H33" s="53">
        <f t="shared" si="3"/>
        <v>0</v>
      </c>
      <c r="I33" s="53">
        <f>IF(D$38&gt;=F33,0,IF(F33&lt;=D$32,D$28*VLOOKUP(C$9,Data!$A$5:$D$37,3)*(((D$30+D$31*F33)/1000)^VLOOKUP(C$9,Data!$A$5:$D$37,4)-((D$30+D$31*(F33-1))/1000)^VLOOKUP(C$9,Data!$A$5:$D$37,4)),0))</f>
        <v>6893.8375584729438</v>
      </c>
      <c r="J33" s="53">
        <f t="shared" si="4"/>
        <v>-15674.147465165999</v>
      </c>
      <c r="K33" s="79">
        <f t="shared" si="5"/>
        <v>-8780.3099066930554</v>
      </c>
    </row>
    <row r="34" spans="1:11" s="8" customFormat="1" x14ac:dyDescent="0.2">
      <c r="A34" s="113" t="s">
        <v>24</v>
      </c>
      <c r="B34" s="14"/>
      <c r="C34" s="14"/>
      <c r="D34" s="55">
        <v>0</v>
      </c>
      <c r="E34" s="25"/>
      <c r="F34" s="88">
        <v>5</v>
      </c>
      <c r="G34" s="53">
        <f t="shared" si="2"/>
        <v>0</v>
      </c>
      <c r="H34" s="53">
        <f t="shared" si="3"/>
        <v>-113900.14010974634</v>
      </c>
      <c r="I34" s="53">
        <f>IF(D$38&gt;=F34,0,IF(F34&lt;=D$32,D$28*VLOOKUP(C$9,Data!$A$5:$D$37,3)*(((D$30+D$31*F34)/1000)^VLOOKUP(C$9,Data!$A$5:$D$37,4)-((D$30+D$31*(F34-1))/1000)^VLOOKUP(C$9,Data!$A$5:$D$37,4)),0))</f>
        <v>9087.7339962548449</v>
      </c>
      <c r="J34" s="53">
        <f t="shared" si="4"/>
        <v>-16529.262479720252</v>
      </c>
      <c r="K34" s="79">
        <f t="shared" si="5"/>
        <v>-121341.66859321174</v>
      </c>
    </row>
    <row r="35" spans="1:11" s="8" customFormat="1" x14ac:dyDescent="0.2">
      <c r="A35" s="113" t="s">
        <v>116</v>
      </c>
      <c r="B35" s="14"/>
      <c r="C35" s="14"/>
      <c r="D35" s="57">
        <v>0.06</v>
      </c>
      <c r="E35" s="25"/>
      <c r="F35" s="88">
        <v>6</v>
      </c>
      <c r="G35" s="53">
        <f t="shared" si="2"/>
        <v>0</v>
      </c>
      <c r="H35" s="53">
        <f t="shared" si="3"/>
        <v>0</v>
      </c>
      <c r="I35" s="53">
        <f>IF(D$38&gt;=F35,0,IF(F35&lt;=D$32,D$28*VLOOKUP(C$9,Data!$A$5:$D$37,3)*(((D$30+D$31*F35)/1000)^VLOOKUP(C$9,Data!$A$5:$D$37,4)-((D$30+D$31*(F35-1))/1000)^VLOOKUP(C$9,Data!$A$5:$D$37,4)),0))</f>
        <v>0</v>
      </c>
      <c r="J35" s="53">
        <f t="shared" si="4"/>
        <v>37901.289410575831</v>
      </c>
      <c r="K35" s="79">
        <f t="shared" si="5"/>
        <v>37901.289410575831</v>
      </c>
    </row>
    <row r="36" spans="1:11" s="8" customFormat="1" x14ac:dyDescent="0.2">
      <c r="A36" s="113" t="s">
        <v>108</v>
      </c>
      <c r="B36" s="14"/>
      <c r="C36" s="14"/>
      <c r="D36" s="56">
        <v>5</v>
      </c>
      <c r="E36" s="26"/>
      <c r="F36" s="88">
        <v>7</v>
      </c>
      <c r="G36" s="53">
        <f t="shared" si="2"/>
        <v>0</v>
      </c>
      <c r="H36" s="53">
        <f t="shared" si="3"/>
        <v>0</v>
      </c>
      <c r="I36" s="53">
        <f>IF(D$38&gt;=F36,0,IF(F36&lt;=D$32,D$28*VLOOKUP(C$9,Data!$A$5:$D$37,3)*(((D$30+D$31*F36)/1000)^VLOOKUP(C$9,Data!$A$5:$D$37,4)-((D$30+D$31*(F36-1))/1000)^VLOOKUP(C$9,Data!$A$5:$D$37,4)),0))</f>
        <v>0</v>
      </c>
      <c r="J36" s="53">
        <f t="shared" si="4"/>
        <v>0</v>
      </c>
      <c r="K36" s="79">
        <f t="shared" si="5"/>
        <v>0</v>
      </c>
    </row>
    <row r="37" spans="1:11" s="8" customFormat="1" x14ac:dyDescent="0.2">
      <c r="A37" s="113" t="s">
        <v>109</v>
      </c>
      <c r="B37" s="14"/>
      <c r="C37" s="14"/>
      <c r="D37" s="55"/>
      <c r="E37" s="17"/>
      <c r="F37" s="88">
        <v>8</v>
      </c>
      <c r="G37" s="53">
        <f t="shared" si="2"/>
        <v>0</v>
      </c>
      <c r="H37" s="53">
        <f t="shared" si="3"/>
        <v>0</v>
      </c>
      <c r="I37" s="53">
        <f>IF(D$38&gt;=F37,0,IF(F37&lt;=D$32,D$28*VLOOKUP(C$9,Data!$A$5:$D$37,3)*(((D$30+D$31*F37)/1000)^VLOOKUP(C$9,Data!$A$5:$D$37,4)-((D$30+D$31*(F37-1))/1000)^VLOOKUP(C$9,Data!$A$5:$D$37,4)),0))</f>
        <v>0</v>
      </c>
      <c r="J37" s="53">
        <f t="shared" si="4"/>
        <v>0</v>
      </c>
      <c r="K37" s="79">
        <f t="shared" si="5"/>
        <v>0</v>
      </c>
    </row>
    <row r="38" spans="1:11" s="8" customFormat="1" x14ac:dyDescent="0.2">
      <c r="A38" s="113" t="s">
        <v>76</v>
      </c>
      <c r="B38" s="14"/>
      <c r="C38" s="14"/>
      <c r="D38" s="56">
        <v>1</v>
      </c>
      <c r="E38" s="25"/>
      <c r="F38" s="88">
        <v>9</v>
      </c>
      <c r="G38" s="53">
        <f t="shared" si="2"/>
        <v>0</v>
      </c>
      <c r="H38" s="53">
        <f t="shared" si="3"/>
        <v>0</v>
      </c>
      <c r="I38" s="53">
        <f>IF(D$38&gt;=F38,0,IF(F38&lt;=D$32,D$28*VLOOKUP(C$9,Data!$A$5:$D$37,3)*(((D$30+D$31*F38)/1000)^VLOOKUP(C$9,Data!$A$5:$D$37,4)-((D$30+D$31*(F38-1))/1000)^VLOOKUP(C$9,Data!$A$5:$D$37,4)),0))</f>
        <v>0</v>
      </c>
      <c r="J38" s="53">
        <f t="shared" si="4"/>
        <v>0</v>
      </c>
      <c r="K38" s="79">
        <f t="shared" si="5"/>
        <v>0</v>
      </c>
    </row>
    <row r="39" spans="1:11" s="8" customFormat="1" x14ac:dyDescent="0.2">
      <c r="A39" s="113" t="s">
        <v>110</v>
      </c>
      <c r="B39" s="14"/>
      <c r="C39" s="14"/>
      <c r="D39" s="27">
        <f>IF(D32&gt;0,D28*(VLOOKUP(C9,Data!$A$5:$H$37,6)-VLOOKUP(C9,Data!$A$5:$H$37,7)*((D29+D32)^0.5)-VLOOKUP(C9,Data!$A$5:$H$37,8)*(((D30+D31*D32)/(D29+D32))^0.5))^2,0)</f>
        <v>113900.14010974634</v>
      </c>
      <c r="E39" s="17"/>
      <c r="F39" s="88">
        <v>10</v>
      </c>
      <c r="G39" s="53">
        <f t="shared" si="2"/>
        <v>0</v>
      </c>
      <c r="H39" s="53">
        <f t="shared" si="3"/>
        <v>0</v>
      </c>
      <c r="I39" s="53">
        <f>IF(D$38&gt;=F39,0,IF(F39&lt;=D$32,D$28*VLOOKUP(C$9,Data!$A$5:$D$37,3)*(((D$30+D$31*F39)/1000)^VLOOKUP(C$9,Data!$A$5:$D$37,4)-((D$30+D$31*(F39-1))/1000)^VLOOKUP(C$9,Data!$A$5:$D$37,4)),0))</f>
        <v>0</v>
      </c>
      <c r="J39" s="53">
        <f>-J55</f>
        <v>0</v>
      </c>
      <c r="K39" s="79">
        <f t="shared" si="5"/>
        <v>0</v>
      </c>
    </row>
    <row r="40" spans="1:11" s="8" customFormat="1" x14ac:dyDescent="0.2">
      <c r="A40" s="13"/>
      <c r="B40" s="14"/>
      <c r="C40" s="14"/>
      <c r="D40" s="27"/>
      <c r="E40" s="17"/>
      <c r="F40" s="89">
        <v>11</v>
      </c>
      <c r="G40" s="90">
        <f>IF(F40&lt;=D$36,-PMT(D$35,D$36,D$34-D$37)+D$37*D$35,0)+IF(F40=D$36+1,D$37*(1+D$35),0)</f>
        <v>0</v>
      </c>
      <c r="H40" s="90">
        <f>IF(F40=D$32,-D$39,0)</f>
        <v>0</v>
      </c>
      <c r="I40" s="90">
        <f>IF(D$38&gt;=F40,0,IF(F40&lt;=D$32,D$28*VLOOKUP(C$9,Data!$A$5:$D$37,3)*(((D$30+D$31*F40)/1000)^VLOOKUP(C$9,Data!$A$5:$D$37,4)-((D$30+D$31*(F40-1))/1000)^VLOOKUP(C$9,Data!$A$5:$D$37,4)),0))</f>
        <v>0</v>
      </c>
      <c r="J40" s="90">
        <f>-J56</f>
        <v>0</v>
      </c>
      <c r="K40" s="91">
        <f>G40+H40+I40+J40</f>
        <v>0</v>
      </c>
    </row>
    <row r="41" spans="1:11" s="8" customFormat="1" x14ac:dyDescent="0.2">
      <c r="A41" s="13"/>
      <c r="B41" s="14"/>
      <c r="C41" s="14"/>
      <c r="D41" s="14"/>
      <c r="E41" s="17"/>
      <c r="F41" s="17" t="s">
        <v>97</v>
      </c>
      <c r="G41" s="25">
        <f>SUM(G29:G40)</f>
        <v>300000</v>
      </c>
      <c r="H41" s="25">
        <f>SUM(H29:H40)</f>
        <v>-113900.14010974634</v>
      </c>
      <c r="I41" s="25">
        <f>SUM(I29:I40)</f>
        <v>23463.57563131578</v>
      </c>
      <c r="J41" s="25">
        <f>SUM(J29:J40)</f>
        <v>-81681.540263242132</v>
      </c>
      <c r="K41" s="52">
        <f>SUM(K29:K40)</f>
        <v>127881.89525832732</v>
      </c>
    </row>
    <row r="42" spans="1:11" s="8" customFormat="1" x14ac:dyDescent="0.2">
      <c r="A42" s="13"/>
      <c r="B42" s="28" t="s">
        <v>88</v>
      </c>
      <c r="C42" s="29"/>
      <c r="D42" s="29"/>
      <c r="E42" s="29"/>
      <c r="F42" s="29"/>
      <c r="G42" s="29"/>
      <c r="H42" s="29"/>
      <c r="I42" s="29"/>
      <c r="J42" s="29"/>
      <c r="K42" s="16"/>
    </row>
    <row r="43" spans="1:11" s="8" customFormat="1" x14ac:dyDescent="0.2">
      <c r="A43" s="13"/>
      <c r="B43" s="30"/>
      <c r="C43" s="31" t="s">
        <v>93</v>
      </c>
      <c r="D43" s="31" t="s">
        <v>6</v>
      </c>
      <c r="E43" s="14"/>
      <c r="F43" s="31" t="s">
        <v>8</v>
      </c>
      <c r="G43" s="31" t="s">
        <v>10</v>
      </c>
      <c r="H43" s="31" t="s">
        <v>12</v>
      </c>
      <c r="I43" s="31" t="s">
        <v>13</v>
      </c>
      <c r="J43" s="32" t="s">
        <v>14</v>
      </c>
      <c r="K43" s="16"/>
    </row>
    <row r="44" spans="1:11" s="8" customFormat="1" x14ac:dyDescent="0.2">
      <c r="A44" s="13"/>
      <c r="B44" s="106" t="s">
        <v>0</v>
      </c>
      <c r="C44" s="31" t="s">
        <v>94</v>
      </c>
      <c r="D44" s="31" t="s">
        <v>7</v>
      </c>
      <c r="E44" s="14"/>
      <c r="F44" s="31" t="s">
        <v>9</v>
      </c>
      <c r="G44" s="31" t="s">
        <v>11</v>
      </c>
      <c r="H44" s="31" t="s">
        <v>7</v>
      </c>
      <c r="I44" s="31" t="s">
        <v>83</v>
      </c>
      <c r="J44" s="32" t="s">
        <v>15</v>
      </c>
      <c r="K44" s="16"/>
    </row>
    <row r="45" spans="1:11" s="8" customFormat="1" x14ac:dyDescent="0.2">
      <c r="A45" s="13"/>
      <c r="B45" s="107"/>
      <c r="C45" s="108"/>
      <c r="D45" s="108"/>
      <c r="E45" s="108"/>
      <c r="F45" s="108"/>
      <c r="G45" s="108"/>
      <c r="H45" s="108"/>
      <c r="I45" s="108"/>
      <c r="J45" s="96"/>
      <c r="K45" s="16"/>
    </row>
    <row r="46" spans="1:11" s="8" customFormat="1" x14ac:dyDescent="0.2">
      <c r="A46" s="13"/>
      <c r="B46" s="36">
        <v>1</v>
      </c>
      <c r="C46" s="27">
        <f>MIN(D33+D34,D15)</f>
        <v>100000</v>
      </c>
      <c r="D46" s="27">
        <f>IF(B46&lt;D$32+1,(D$33+D$34-C$46)*VLOOKUP(B46,Data!A$40:B$49,2),0)</f>
        <v>30000</v>
      </c>
      <c r="E46" s="14"/>
      <c r="F46" s="27">
        <f t="shared" ref="F46" si="6">I30</f>
        <v>0</v>
      </c>
      <c r="G46" s="27"/>
      <c r="H46" s="27">
        <f>IF(D$32+1=B46,MIN(C$46+SUM(D$46:D46),MAX(0,D$39-(D$33+D$34-C$46-SUM(D$46:D46)))),0)</f>
        <v>0</v>
      </c>
      <c r="I46" s="25">
        <f>IF(D$32+1=B46,IF(D$39&gt;D$33+D$34,D$39-D$33-D$34,IF(D$39&lt;D$33+D$34-SUM(C$46:D46),D$39-(D$33+D$34-SUM(C$46:D46)),0)),0)</f>
        <v>0</v>
      </c>
      <c r="J46" s="37">
        <f t="shared" ref="J46:J56" si="7">(C46+D46+F46+G46-H46)*(D$11*(1-D$12)+D$12*(1-D$11)+D$13*(1-0.5*D$11))+I46*(D$14+D$12)</f>
        <v>50670.1</v>
      </c>
      <c r="K46" s="16"/>
    </row>
    <row r="47" spans="1:11" s="8" customFormat="1" x14ac:dyDescent="0.2">
      <c r="A47" s="13"/>
      <c r="B47" s="36">
        <v>2</v>
      </c>
      <c r="C47" s="23"/>
      <c r="D47" s="23">
        <f>IF(B47&lt;D$32+1,(D$33+D$34-C$46)*VLOOKUP(B47,Data!A$40:B$49,2),0)</f>
        <v>51000</v>
      </c>
      <c r="E47" s="14"/>
      <c r="F47" s="23">
        <f>I31</f>
        <v>2719.044155924375</v>
      </c>
      <c r="G47" s="27">
        <f t="shared" ref="G47:G54" si="8">IF(D$36+1&gt;=B47,-IPMT(D$35,B46,D$36,D$34-D$37)+D$35*D$37,0)+IF(D$36+2=B47,D$35*D$37,0)</f>
        <v>0</v>
      </c>
      <c r="H47" s="23">
        <f>IF(D$32+1=B47,MIN(C$46+SUM(D$46:D47),MAX(0,D$39-(D$33+D$34-C$46-SUM(D$46:D47)))),0)</f>
        <v>0</v>
      </c>
      <c r="I47" s="23">
        <f>IF(D$32+1=B47,IF(D$39&gt;D$33+D$34,D$39-D$33-D$34,IF(D$39&lt;D$33+D$34-SUM(C$46:D47),D$39-(D$33+D$34-SUM(C$46:D47)),0)),0)</f>
        <v>0</v>
      </c>
      <c r="J47" s="38">
        <f t="shared" si="7"/>
        <v>20938.071840654644</v>
      </c>
      <c r="K47" s="16"/>
    </row>
    <row r="48" spans="1:11" s="8" customFormat="1" x14ac:dyDescent="0.2">
      <c r="A48" s="13"/>
      <c r="B48" s="36">
        <v>3</v>
      </c>
      <c r="C48" s="23"/>
      <c r="D48" s="23">
        <f>IF(B48&lt;D$32+1,(D$33+D$34-C$46)*VLOOKUP(B48,Data!A$40:B$49,2),0)</f>
        <v>35700</v>
      </c>
      <c r="E48" s="14"/>
      <c r="F48" s="23">
        <f t="shared" ref="F48:F56" si="9">I32</f>
        <v>4762.9599206636158</v>
      </c>
      <c r="G48" s="23">
        <f t="shared" si="8"/>
        <v>0</v>
      </c>
      <c r="H48" s="23">
        <f>IF(D$32+1=B48,MIN(C$46+SUM(D$46:D48),MAX(0,D$39-(D$33+D$34-C$46-SUM(D$46:D48)))),0)</f>
        <v>0</v>
      </c>
      <c r="I48" s="23">
        <f>IF(D$32+1=B48,IF(D$39&gt;D$33+D$34,D$39-D$33-D$34,IF(D$39&lt;D$33+D$34-SUM(C$46:D48),D$39-(D$33+D$34-SUM(C$46:D48)),0)),0)</f>
        <v>0</v>
      </c>
      <c r="J48" s="38">
        <f t="shared" si="7"/>
        <v>15771.247888277059</v>
      </c>
      <c r="K48" s="16"/>
    </row>
    <row r="49" spans="1:13" s="8" customFormat="1" x14ac:dyDescent="0.2">
      <c r="A49" s="13"/>
      <c r="B49" s="36">
        <v>4</v>
      </c>
      <c r="C49" s="23"/>
      <c r="D49" s="23">
        <f>IF(B49&lt;D$32+1,(D$33+D$34-C$46)*VLOOKUP(B49,Data!A$40:B$49,2),0)</f>
        <v>33320</v>
      </c>
      <c r="E49" s="14"/>
      <c r="F49" s="23">
        <f t="shared" si="9"/>
        <v>6893.8375584729438</v>
      </c>
      <c r="G49" s="23">
        <f t="shared" si="8"/>
        <v>0</v>
      </c>
      <c r="H49" s="23">
        <f>IF(D$32+1=B49,MIN(C$46+SUM(D$46:D49),MAX(0,D$39-(D$33+D$34-C$46-SUM(D$46:D49)))),0)</f>
        <v>0</v>
      </c>
      <c r="I49" s="23">
        <f>IF(D$32+1=B49,IF(D$39&gt;D$33+D$34,D$39-D$33-D$34,IF(D$39&lt;D$33+D$34-SUM(C$46:D49),D$39-(D$33+D$34-SUM(C$46:D49)),0)),0)</f>
        <v>0</v>
      </c>
      <c r="J49" s="38">
        <f t="shared" si="7"/>
        <v>15674.147465165999</v>
      </c>
      <c r="K49" s="16"/>
    </row>
    <row r="50" spans="1:13" s="8" customFormat="1" x14ac:dyDescent="0.2">
      <c r="A50" s="13"/>
      <c r="B50" s="36">
        <v>5</v>
      </c>
      <c r="C50" s="23"/>
      <c r="D50" s="23">
        <f>IF(B50&lt;D$32+1,(D$33+D$34-C$46)*VLOOKUP(B50,Data!A$40:B$49,2),0)</f>
        <v>33320</v>
      </c>
      <c r="E50" s="14"/>
      <c r="F50" s="23">
        <f t="shared" si="9"/>
        <v>9087.7339962548449</v>
      </c>
      <c r="G50" s="23">
        <f t="shared" si="8"/>
        <v>0</v>
      </c>
      <c r="H50" s="23">
        <f>IF(D$32+1=B50,MIN(C$46+SUM(D$46:D50),MAX(0,D$39-(D$33+D$34-C$46-SUM(D$46:D50)))),0)</f>
        <v>0</v>
      </c>
      <c r="I50" s="23">
        <f>IF(D$32+1=B50,IF(D$39&gt;D$33+D$34,D$39-D$33-D$34,IF(D$39&lt;D$33+D$34-SUM(C$46:D50),D$39-(D$33+D$34-SUM(C$46:D50)),0)),0)</f>
        <v>0</v>
      </c>
      <c r="J50" s="38">
        <f t="shared" si="7"/>
        <v>16529.262479720252</v>
      </c>
      <c r="K50" s="16"/>
    </row>
    <row r="51" spans="1:13" s="8" customFormat="1" x14ac:dyDescent="0.2">
      <c r="A51" s="13"/>
      <c r="B51" s="36">
        <v>6</v>
      </c>
      <c r="C51" s="23"/>
      <c r="D51" s="23">
        <f>IF(B51&lt;D$32+1,(D$33+D$34-C$46)*VLOOKUP(B51,Data!A$40:B$49,2),0)</f>
        <v>0</v>
      </c>
      <c r="E51" s="14"/>
      <c r="F51" s="23">
        <f t="shared" si="9"/>
        <v>0</v>
      </c>
      <c r="G51" s="23">
        <f t="shared" si="8"/>
        <v>0</v>
      </c>
      <c r="H51" s="23">
        <f>IF(D$32+1=B51,MIN(C$46+SUM(D$46:D51),MAX(0,D$39-(D$33+D$34-C$46-SUM(D$46:D51)))),0)</f>
        <v>97240.140109746339</v>
      </c>
      <c r="I51" s="23">
        <f>IF(D$32+1=B51,IF(D$39&gt;D$33+D$34,D$39-D$33-D$34,IF(D$39&lt;D$33+D$34-SUM(C$46:D51),D$39-(D$33+D$34-SUM(C$46:D51)),0)),0)</f>
        <v>0</v>
      </c>
      <c r="J51" s="38">
        <f t="shared" si="7"/>
        <v>-37901.289410575831</v>
      </c>
      <c r="K51" s="16"/>
    </row>
    <row r="52" spans="1:13" s="8" customFormat="1" x14ac:dyDescent="0.2">
      <c r="A52" s="13"/>
      <c r="B52" s="36">
        <v>7</v>
      </c>
      <c r="C52" s="23"/>
      <c r="D52" s="23">
        <f>IF(B52&lt;D$32+1,(D$33+D$34-C$46)*VLOOKUP(B52,Data!A$40:B$49,2),0)</f>
        <v>0</v>
      </c>
      <c r="E52" s="14"/>
      <c r="F52" s="23">
        <f t="shared" si="9"/>
        <v>0</v>
      </c>
      <c r="G52" s="23">
        <f t="shared" si="8"/>
        <v>0</v>
      </c>
      <c r="H52" s="23">
        <f>IF(D$32+1=B52,MIN(C$46+SUM(D$46:D52),MAX(0,D$39-(D$33+D$34-C$46-SUM(D$46:D52)))),0)</f>
        <v>0</v>
      </c>
      <c r="I52" s="23">
        <f>IF(D$32+1=B52,IF(D$39&gt;D$33+D$34,D$39-D$33-D$34,IF(D$39&lt;D$33+D$34-SUM(C$46:D52),D$39-(D$33+D$34-SUM(C$46:D52)),0)),0)</f>
        <v>0</v>
      </c>
      <c r="J52" s="38">
        <f t="shared" si="7"/>
        <v>0</v>
      </c>
      <c r="K52" s="16"/>
    </row>
    <row r="53" spans="1:13" s="8" customFormat="1" x14ac:dyDescent="0.2">
      <c r="A53" s="13"/>
      <c r="B53" s="36">
        <v>8</v>
      </c>
      <c r="C53" s="23"/>
      <c r="D53" s="23">
        <f>IF(B53&lt;D$32+1,(D$33+D$34-C$46)*VLOOKUP(B53,Data!A$40:B$49,2),0)</f>
        <v>0</v>
      </c>
      <c r="E53" s="14"/>
      <c r="F53" s="23">
        <f t="shared" si="9"/>
        <v>0</v>
      </c>
      <c r="G53" s="23">
        <f t="shared" si="8"/>
        <v>0</v>
      </c>
      <c r="H53" s="23">
        <f>IF(D$32+1=B53,MIN(C$46+SUM(D$46:D53),MAX(0,D$39-(D$33+D$34-C$46-SUM(D$46:D53)))),0)</f>
        <v>0</v>
      </c>
      <c r="I53" s="23">
        <f>IF(D$32+1=B53,IF(D$39&gt;D$33+D$34,D$39-D$33-D$34,IF(D$39&lt;D$33+D$34-SUM(C$46:D53),D$39-(D$33+D$34-SUM(C$46:D53)),0)),0)</f>
        <v>0</v>
      </c>
      <c r="J53" s="38">
        <f t="shared" si="7"/>
        <v>0</v>
      </c>
      <c r="K53" s="16"/>
    </row>
    <row r="54" spans="1:13" s="8" customFormat="1" x14ac:dyDescent="0.2">
      <c r="A54" s="13"/>
      <c r="B54" s="36">
        <v>9</v>
      </c>
      <c r="C54" s="23"/>
      <c r="D54" s="23">
        <f>IF(B54&lt;D$32+1,(D$33+D$34-C$46)*VLOOKUP(B54,Data!A$40:B$49,2),0)</f>
        <v>0</v>
      </c>
      <c r="E54" s="14"/>
      <c r="F54" s="23">
        <f t="shared" si="9"/>
        <v>0</v>
      </c>
      <c r="G54" s="23">
        <f t="shared" si="8"/>
        <v>0</v>
      </c>
      <c r="H54" s="23">
        <f>IF(D$32+1=B54,MIN(C$46+SUM(D$46:D54),MAX(0,D$39-(D$33+D$34-C$46-SUM(D$46:D54)))),0)</f>
        <v>0</v>
      </c>
      <c r="I54" s="23">
        <f>IF(D$32+1=B54,IF(D$39&gt;D$33+D$34,D$39-D$33-D$34,IF(D$39&lt;D$33+D$34-SUM(C$46:D54),D$39-(D$33+D$34-SUM(C$46:D54)),0)),0)</f>
        <v>0</v>
      </c>
      <c r="J54" s="38">
        <f t="shared" si="7"/>
        <v>0</v>
      </c>
      <c r="K54" s="16"/>
    </row>
    <row r="55" spans="1:13" s="8" customFormat="1" x14ac:dyDescent="0.2">
      <c r="A55" s="13"/>
      <c r="B55" s="36">
        <v>10</v>
      </c>
      <c r="C55" s="14"/>
      <c r="D55" s="23">
        <f>IF(B55&lt;D$32+1,(D$33+D$34-C$46)*VLOOKUP(B55,Data!A$40:B$49,2),0)</f>
        <v>0</v>
      </c>
      <c r="E55" s="14"/>
      <c r="F55" s="23">
        <f t="shared" si="9"/>
        <v>0</v>
      </c>
      <c r="G55" s="23">
        <f>IF(D$36+1&gt;=B55,-IPMT(D$35,B54,D$36,D$34-D$37)+D$35*D$37,0)+IF(D$36+2=B55,D$35*D$37,0)</f>
        <v>0</v>
      </c>
      <c r="H55" s="23">
        <f>IF(D$32+1=B55,MIN(C$46+SUM(D$46:D55),MAX(0,D$39-(D$33+D$34-C$46-SUM(D$46:D55)))),0)</f>
        <v>0</v>
      </c>
      <c r="I55" s="23">
        <f>IF(D$32+1=B55,IF(D$39&gt;D$33+D$34,D$39-D$33-D$34,IF(D$39&lt;D$33+D$34-SUM(C$46:D55),D$39-(D$33+D$34-SUM(C$46:D55)),0)),0)</f>
        <v>0</v>
      </c>
      <c r="J55" s="38">
        <f t="shared" si="7"/>
        <v>0</v>
      </c>
      <c r="K55" s="16"/>
    </row>
    <row r="56" spans="1:13" s="8" customFormat="1" ht="13.5" thickBot="1" x14ac:dyDescent="0.25">
      <c r="A56" s="18"/>
      <c r="B56" s="109">
        <v>11</v>
      </c>
      <c r="C56" s="40"/>
      <c r="D56" s="40">
        <f>IF(B56&lt;D$32+1,(D$33+D$34-C$46)*VLOOKUP(B56,Data!A$40:B$49,2),0)</f>
        <v>0</v>
      </c>
      <c r="E56" s="19"/>
      <c r="F56" s="40">
        <f t="shared" si="9"/>
        <v>0</v>
      </c>
      <c r="G56" s="40">
        <f>IF(D$36+1&gt;=B56,-IPMT(D$35,B55,D$36,D$34-D$37)+D$35*D$37,0)+IF(D$36+2=B55,D$35*D$37,0)</f>
        <v>0</v>
      </c>
      <c r="H56" s="40">
        <f>IF(D$32+1=B56,MIN(C$46+SUM(D$46:D56),MAX(0,D$39-(D$33+D$34-C$46-SUM(D$46:D56)))),0)</f>
        <v>0</v>
      </c>
      <c r="I56" s="40">
        <f>IF(D$32+1=B56,IF(D$39&gt;D$33+D$34,D$39-D$33-D$34,IF(D$39&lt;D$33+D$34-SUM(C$46:D56),D$39-(D$33+D$34-SUM(C$46:D56)),0)),0)</f>
        <v>0</v>
      </c>
      <c r="J56" s="41">
        <f t="shared" si="7"/>
        <v>0</v>
      </c>
      <c r="K56" s="20"/>
    </row>
    <row r="57" spans="1:13" s="8" customFormat="1" ht="13.5" thickBot="1" x14ac:dyDescent="0.25">
      <c r="A57" s="14"/>
      <c r="B57" s="14"/>
      <c r="C57" s="14"/>
      <c r="D57" s="23"/>
      <c r="E57" s="14"/>
      <c r="F57" s="27"/>
      <c r="G57" s="23"/>
      <c r="H57" s="23"/>
      <c r="I57" s="27"/>
      <c r="J57" s="23"/>
      <c r="K57" s="23"/>
    </row>
    <row r="58" spans="1:13" s="8" customFormat="1" ht="22.5" customHeight="1" x14ac:dyDescent="0.25">
      <c r="A58" s="135" t="s">
        <v>90</v>
      </c>
      <c r="B58" s="136"/>
      <c r="C58" s="136"/>
      <c r="D58" s="137" t="s">
        <v>87</v>
      </c>
      <c r="E58" s="136"/>
      <c r="F58" s="138" t="s">
        <v>91</v>
      </c>
      <c r="G58" s="136"/>
      <c r="H58" s="136"/>
      <c r="I58" s="136"/>
      <c r="J58" s="136"/>
      <c r="K58" s="139"/>
    </row>
    <row r="59" spans="1:13" s="8" customFormat="1" x14ac:dyDescent="0.2">
      <c r="A59" s="113" t="s">
        <v>17</v>
      </c>
      <c r="B59" s="14"/>
      <c r="C59" s="14"/>
      <c r="D59" s="102" t="str">
        <f>VLOOKUP($C$9,Data!A$5:H$37,2)</f>
        <v>Combine SP unit</v>
      </c>
      <c r="E59" s="14"/>
      <c r="F59" s="123"/>
      <c r="G59" s="83" t="s">
        <v>123</v>
      </c>
      <c r="H59" s="83" t="s">
        <v>89</v>
      </c>
      <c r="I59" s="83"/>
      <c r="J59" s="83" t="s">
        <v>4</v>
      </c>
      <c r="K59" s="84" t="s">
        <v>79</v>
      </c>
    </row>
    <row r="60" spans="1:13" s="8" customFormat="1" x14ac:dyDescent="0.2">
      <c r="A60" s="113" t="s">
        <v>18</v>
      </c>
      <c r="B60" s="14"/>
      <c r="C60" s="24"/>
      <c r="D60" s="55">
        <v>300000</v>
      </c>
      <c r="E60" s="25"/>
      <c r="F60" s="85" t="s">
        <v>0</v>
      </c>
      <c r="G60" s="75" t="s">
        <v>81</v>
      </c>
      <c r="H60" s="75" t="s">
        <v>74</v>
      </c>
      <c r="I60" s="75" t="s">
        <v>3</v>
      </c>
      <c r="J60" s="75" t="s">
        <v>5</v>
      </c>
      <c r="K60" s="76" t="s">
        <v>80</v>
      </c>
    </row>
    <row r="61" spans="1:13" s="8" customFormat="1" x14ac:dyDescent="0.2">
      <c r="A61" s="113" t="s">
        <v>113</v>
      </c>
      <c r="B61" s="14"/>
      <c r="C61" s="24"/>
      <c r="D61" s="56">
        <v>0</v>
      </c>
      <c r="E61" s="17"/>
      <c r="F61" s="86">
        <v>0</v>
      </c>
      <c r="G61" s="87">
        <f>IF(F61&lt;D$68,D$65,0)+IF(D$69&gt;0,IF(F61=D$68,D$70,0))</f>
        <v>50000</v>
      </c>
      <c r="H61" s="87"/>
      <c r="I61" s="87"/>
      <c r="J61" s="87"/>
      <c r="K61" s="92">
        <f t="shared" ref="K61:K71" si="10">G61+H61+I61+J61</f>
        <v>50000</v>
      </c>
    </row>
    <row r="62" spans="1:13" s="8" customFormat="1" x14ac:dyDescent="0.2">
      <c r="A62" s="113" t="s">
        <v>114</v>
      </c>
      <c r="B62" s="14"/>
      <c r="C62" s="24"/>
      <c r="D62" s="56">
        <v>0</v>
      </c>
      <c r="E62" s="17"/>
      <c r="F62" s="88">
        <v>1</v>
      </c>
      <c r="G62" s="53">
        <f t="shared" ref="G62:G71" si="11">IF(F62&lt;D$68,D$66,0)+IF(D$69&gt;0,IF(F62=D$68,D$70,0))</f>
        <v>50000</v>
      </c>
      <c r="H62" s="25">
        <f t="shared" ref="H62:H71" si="12">IF(D$69&gt;0,IF(F62=D$68+D$69,-D$71,0),0)</f>
        <v>0</v>
      </c>
      <c r="I62" s="25">
        <f>IF(D$64&gt;=F62,0,IF(F62&lt;=D$68+D$69,D$28*VLOOKUP(C$9,Data!$A$5:$D$37,3)*(((D$62+D$63*F62)/1000)^VLOOKUP(C$9,Data!$A$5:$D$37,4)-((D$62+D$63*(F62-1))/1000)^VLOOKUP(C$9,Data!$A$5:$D$37,4)),0))</f>
        <v>0</v>
      </c>
      <c r="J62" s="25">
        <f>-J78</f>
        <v>-19488.5</v>
      </c>
      <c r="K62" s="79">
        <f t="shared" si="10"/>
        <v>30511.5</v>
      </c>
    </row>
    <row r="63" spans="1:13" s="8" customFormat="1" x14ac:dyDescent="0.2">
      <c r="A63" s="113" t="s">
        <v>19</v>
      </c>
      <c r="B63" s="14"/>
      <c r="C63" s="24"/>
      <c r="D63" s="56">
        <v>350</v>
      </c>
      <c r="E63" s="17"/>
      <c r="F63" s="88">
        <v>2</v>
      </c>
      <c r="G63" s="53">
        <f t="shared" si="11"/>
        <v>50000</v>
      </c>
      <c r="H63" s="53">
        <f t="shared" si="12"/>
        <v>0</v>
      </c>
      <c r="I63" s="53">
        <f>IF(D$64&gt;=F63,0,IF(F63&lt;=D$68+D$69,D$28*VLOOKUP(C$9,Data!$A$5:$D$37,3)*(((D$62+D$63*F63)/1000)^VLOOKUP(C$9,Data!$A$5:$D$37,4)-((D$62+D$63*(F63-1))/1000)^VLOOKUP(C$9,Data!$A$5:$D$37,4)),0))</f>
        <v>2719.044155924375</v>
      </c>
      <c r="J63" s="53">
        <f t="shared" ref="J63:J72" si="13">-J79</f>
        <v>-20548.301840654643</v>
      </c>
      <c r="K63" s="79">
        <f t="shared" si="10"/>
        <v>32170.742315269734</v>
      </c>
      <c r="M63" s="42"/>
    </row>
    <row r="64" spans="1:13" s="8" customFormat="1" x14ac:dyDescent="0.2">
      <c r="A64" s="113" t="s">
        <v>76</v>
      </c>
      <c r="B64" s="14"/>
      <c r="C64" s="14"/>
      <c r="D64" s="56">
        <v>1</v>
      </c>
      <c r="E64" s="17"/>
      <c r="F64" s="88">
        <v>3</v>
      </c>
      <c r="G64" s="53">
        <f t="shared" si="11"/>
        <v>50000</v>
      </c>
      <c r="H64" s="53">
        <f t="shared" si="12"/>
        <v>0</v>
      </c>
      <c r="I64" s="53">
        <f>IF(D$64&gt;=F64,0,IF(F64&lt;=D$68+D$69,D$28*VLOOKUP(C$9,Data!$A$5:$D$37,3)*(((D$62+D$63*F64)/1000)^VLOOKUP(C$9,Data!$A$5:$D$37,4)-((D$62+D$63*(F64-1))/1000)^VLOOKUP(C$9,Data!$A$5:$D$37,4)),0))</f>
        <v>4762.9599206636158</v>
      </c>
      <c r="J64" s="53">
        <f t="shared" si="13"/>
        <v>-21344.958888277059</v>
      </c>
      <c r="K64" s="79">
        <f t="shared" si="10"/>
        <v>33418.001032386557</v>
      </c>
    </row>
    <row r="65" spans="1:16" s="8" customFormat="1" x14ac:dyDescent="0.2">
      <c r="A65" s="113" t="s">
        <v>73</v>
      </c>
      <c r="B65" s="14"/>
      <c r="C65" s="14"/>
      <c r="D65" s="55">
        <v>50000</v>
      </c>
      <c r="E65" s="25"/>
      <c r="F65" s="88">
        <v>4</v>
      </c>
      <c r="G65" s="53">
        <f t="shared" si="11"/>
        <v>50000</v>
      </c>
      <c r="H65" s="53">
        <f t="shared" si="12"/>
        <v>0</v>
      </c>
      <c r="I65" s="53">
        <f>IF(D$64&gt;=F65,0,IF(F65&lt;=D$68+D$69,D$28*VLOOKUP(C$9,Data!$A$5:$D$37,3)*(((D$62+D$63*F65)/1000)^VLOOKUP(C$9,Data!$A$5:$D$37,4)-((D$62+D$63*(F65-1))/1000)^VLOOKUP(C$9,Data!$A$5:$D$37,4)),0))</f>
        <v>6893.8375584729438</v>
      </c>
      <c r="J65" s="53">
        <f t="shared" si="13"/>
        <v>-22175.511065166</v>
      </c>
      <c r="K65" s="79">
        <f t="shared" si="10"/>
        <v>34718.326493306944</v>
      </c>
    </row>
    <row r="66" spans="1:16" s="8" customFormat="1" x14ac:dyDescent="0.2">
      <c r="A66" s="113" t="s">
        <v>75</v>
      </c>
      <c r="B66" s="14"/>
      <c r="C66" s="14"/>
      <c r="D66" s="55">
        <v>50000</v>
      </c>
      <c r="E66" s="25"/>
      <c r="F66" s="88">
        <v>5</v>
      </c>
      <c r="G66" s="53">
        <f t="shared" si="11"/>
        <v>0</v>
      </c>
      <c r="H66" s="53">
        <f t="shared" si="12"/>
        <v>0</v>
      </c>
      <c r="I66" s="53">
        <f>IF(D$64&gt;=F66,0,IF(F66&lt;=D$68+D$69,D$28*VLOOKUP(C$9,Data!$A$5:$D$37,3)*(((D$62+D$63*F66)/1000)^VLOOKUP(C$9,Data!$A$5:$D$37,4)-((D$62+D$63*(F66-1))/1000)^VLOOKUP(C$9,Data!$A$5:$D$37,4)),0))</f>
        <v>9087.7339962548449</v>
      </c>
      <c r="J66" s="53">
        <f t="shared" si="13"/>
        <v>-23030.626079720252</v>
      </c>
      <c r="K66" s="79">
        <f t="shared" si="10"/>
        <v>-13942.892083465407</v>
      </c>
    </row>
    <row r="67" spans="1:16" s="8" customFormat="1" x14ac:dyDescent="0.2">
      <c r="A67" s="113" t="s">
        <v>25</v>
      </c>
      <c r="B67" s="14"/>
      <c r="C67" s="14"/>
      <c r="D67" s="56">
        <v>1</v>
      </c>
      <c r="E67" s="17"/>
      <c r="F67" s="88">
        <v>6</v>
      </c>
      <c r="G67" s="53">
        <f t="shared" si="11"/>
        <v>0</v>
      </c>
      <c r="H67" s="53">
        <f t="shared" si="12"/>
        <v>0</v>
      </c>
      <c r="I67" s="53">
        <f>IF(D$64&gt;=F67,0,IF(F67&lt;=D$68+D$69,D$28*VLOOKUP(C$9,Data!$A$5:$D$37,3)*(((D$62+D$63*F67)/1000)^VLOOKUP(C$9,Data!$A$5:$D$37,4)-((D$62+D$63*(F67-1))/1000)^VLOOKUP(C$9,Data!$A$5:$D$37,4)),0))</f>
        <v>0</v>
      </c>
      <c r="J67" s="53">
        <f t="shared" si="13"/>
        <v>0</v>
      </c>
      <c r="K67" s="79">
        <f t="shared" si="10"/>
        <v>0</v>
      </c>
    </row>
    <row r="68" spans="1:16" s="8" customFormat="1" x14ac:dyDescent="0.2">
      <c r="A68" s="113" t="s">
        <v>26</v>
      </c>
      <c r="B68" s="14"/>
      <c r="C68" s="14"/>
      <c r="D68" s="56">
        <v>5</v>
      </c>
      <c r="E68" s="17"/>
      <c r="F68" s="88">
        <v>7</v>
      </c>
      <c r="G68" s="53">
        <f t="shared" si="11"/>
        <v>0</v>
      </c>
      <c r="H68" s="53">
        <f t="shared" si="12"/>
        <v>0</v>
      </c>
      <c r="I68" s="53">
        <f>IF(D$64&gt;=F68,0,IF(F68&lt;=D$68+D$69,D$28*VLOOKUP(C$9,Data!$A$5:$D$37,3)*(((D$62+D$63*F68)/1000)^VLOOKUP(C$9,Data!$A$5:$D$37,4)-((D$62+D$63*(F68-1))/1000)^VLOOKUP(C$9,Data!$A$5:$D$37,4)),0))</f>
        <v>0</v>
      </c>
      <c r="J68" s="53">
        <f t="shared" si="13"/>
        <v>0</v>
      </c>
      <c r="K68" s="79">
        <f t="shared" si="10"/>
        <v>0</v>
      </c>
    </row>
    <row r="69" spans="1:16" s="8" customFormat="1" x14ac:dyDescent="0.2">
      <c r="A69" s="113" t="s">
        <v>77</v>
      </c>
      <c r="B69" s="14"/>
      <c r="C69" s="14"/>
      <c r="D69" s="56">
        <v>0</v>
      </c>
      <c r="E69" s="17"/>
      <c r="F69" s="88">
        <v>8</v>
      </c>
      <c r="G69" s="53">
        <f t="shared" si="11"/>
        <v>0</v>
      </c>
      <c r="H69" s="53">
        <f t="shared" si="12"/>
        <v>0</v>
      </c>
      <c r="I69" s="53">
        <f>IF(D$64&gt;=F69,0,IF(F69&lt;=D$68+D$69,D$28*VLOOKUP(C$9,Data!$A$5:$D$37,3)*(((D$62+D$63*F69)/1000)^VLOOKUP(C$9,Data!$A$5:$D$37,4)-((D$62+D$63*(F69-1))/1000)^VLOOKUP(C$9,Data!$A$5:$D$37,4)),0))</f>
        <v>0</v>
      </c>
      <c r="J69" s="53">
        <f t="shared" si="13"/>
        <v>0</v>
      </c>
      <c r="K69" s="79">
        <f t="shared" si="10"/>
        <v>0</v>
      </c>
    </row>
    <row r="70" spans="1:16" s="8" customFormat="1" x14ac:dyDescent="0.2">
      <c r="A70" s="113" t="s">
        <v>78</v>
      </c>
      <c r="B70" s="14"/>
      <c r="C70" s="14"/>
      <c r="D70" s="55">
        <v>0</v>
      </c>
      <c r="E70" s="25"/>
      <c r="F70" s="88">
        <v>9</v>
      </c>
      <c r="G70" s="53">
        <f t="shared" si="11"/>
        <v>0</v>
      </c>
      <c r="H70" s="53">
        <f t="shared" si="12"/>
        <v>0</v>
      </c>
      <c r="I70" s="53">
        <f>IF(D$64&gt;=F70,0,IF(F70&lt;=D$68+D$69,D$28*VLOOKUP(C$9,Data!$A$5:$D$37,3)*(((D$62+D$63*F70)/1000)^VLOOKUP(C$9,Data!$A$5:$D$37,4)-((D$62+D$63*(F70-1))/1000)^VLOOKUP(C$9,Data!$A$5:$D$37,4)),0))</f>
        <v>0</v>
      </c>
      <c r="J70" s="53">
        <f t="shared" si="13"/>
        <v>0</v>
      </c>
      <c r="K70" s="79">
        <f t="shared" si="10"/>
        <v>0</v>
      </c>
    </row>
    <row r="71" spans="1:16" s="8" customFormat="1" x14ac:dyDescent="0.2">
      <c r="A71" s="113" t="s">
        <v>110</v>
      </c>
      <c r="B71" s="14"/>
      <c r="C71" s="14"/>
      <c r="D71" s="27">
        <f>IF(D69&gt;0,D60*(VLOOKUP(C9,Data!$A$5:$H$37,6)-VLOOKUP(C9,Data!$A$5:$H$37,7)*((D61+D68+D69)^0.5)-VLOOKUP(C9,Data!$A$5:$H$37,8)*(((D62+D63*(D68+D69))/(D61+D68+D69))^0.5))^2,0)</f>
        <v>0</v>
      </c>
      <c r="E71" s="27"/>
      <c r="F71" s="88">
        <v>10</v>
      </c>
      <c r="G71" s="53">
        <f t="shared" si="11"/>
        <v>0</v>
      </c>
      <c r="H71" s="53">
        <f t="shared" si="12"/>
        <v>0</v>
      </c>
      <c r="I71" s="53">
        <f>IF(D$64&gt;=F71,0,IF(F71&lt;=D$68+D$69,D$28*VLOOKUP(C$9,Data!$A$5:$D$37,3)*(((D$62+D$63*F71)/1000)^VLOOKUP(C$9,Data!$A$5:$D$37,4)-((D$62+D$63*(F71-1))/1000)^VLOOKUP(C$9,Data!$A$5:$D$37,4)),0))</f>
        <v>0</v>
      </c>
      <c r="J71" s="53">
        <f t="shared" si="13"/>
        <v>0</v>
      </c>
      <c r="K71" s="79">
        <f t="shared" si="10"/>
        <v>0</v>
      </c>
    </row>
    <row r="72" spans="1:16" s="8" customFormat="1" x14ac:dyDescent="0.2">
      <c r="A72" s="13"/>
      <c r="B72" s="14"/>
      <c r="C72" s="14"/>
      <c r="D72" s="27"/>
      <c r="E72" s="27"/>
      <c r="F72" s="89">
        <v>11</v>
      </c>
      <c r="G72" s="90">
        <f>IF(F72&lt;D$68,D$66,0)+IF(D$69&gt;0,IF(F72=D$68,D$70,0))</f>
        <v>0</v>
      </c>
      <c r="H72" s="90">
        <f>IF(D$69&gt;0,IF(F72=D$68+D$69,-D$71,0),0)</f>
        <v>0</v>
      </c>
      <c r="I72" s="90">
        <f>IF(D$64&gt;=F72,0,IF(F72&lt;=D$68+D$69,D$28*VLOOKUP(C$9,Data!$C$5:$D$37,1)*(((D$62+D$63*F72)/1000)^VLOOKUP(C$9,Data!$C$5:$D$37,2)-((D$62+D$63*(F72-1))/1000)^VLOOKUP(C$9,Data!$C$5:$D$37,2)),0))</f>
        <v>0</v>
      </c>
      <c r="J72" s="90">
        <f t="shared" si="13"/>
        <v>0</v>
      </c>
      <c r="K72" s="91">
        <f>G72+H72+I72+J72</f>
        <v>0</v>
      </c>
    </row>
    <row r="73" spans="1:16" s="8" customFormat="1" x14ac:dyDescent="0.2">
      <c r="A73" s="13"/>
      <c r="B73" s="14"/>
      <c r="C73" s="14"/>
      <c r="D73" s="14"/>
      <c r="E73" s="14"/>
      <c r="F73" s="17" t="s">
        <v>97</v>
      </c>
      <c r="G73" s="25">
        <f>SUM(G61:G72)</f>
        <v>250000</v>
      </c>
      <c r="H73" s="25">
        <f>SUM(H61:H72)</f>
        <v>0</v>
      </c>
      <c r="I73" s="25">
        <f>SUM(I61:I72)</f>
        <v>23463.57563131578</v>
      </c>
      <c r="J73" s="25">
        <f>SUM(J61:J72)</f>
        <v>-106587.89787381796</v>
      </c>
      <c r="K73" s="52">
        <f>SUM(K61:K72)</f>
        <v>166875.67775749782</v>
      </c>
    </row>
    <row r="74" spans="1:16" s="8" customFormat="1" x14ac:dyDescent="0.2">
      <c r="A74" s="13"/>
      <c r="B74" s="43" t="s">
        <v>92</v>
      </c>
      <c r="C74" s="14"/>
      <c r="D74" s="29"/>
      <c r="E74" s="29"/>
      <c r="F74" s="14"/>
      <c r="G74" s="14"/>
      <c r="H74" s="14"/>
      <c r="I74" s="44"/>
      <c r="J74" s="44"/>
      <c r="K74" s="45"/>
    </row>
    <row r="75" spans="1:16" s="8" customFormat="1" x14ac:dyDescent="0.2">
      <c r="A75" s="13"/>
      <c r="B75" s="30"/>
      <c r="C75" s="46" t="s">
        <v>93</v>
      </c>
      <c r="D75" s="46" t="s">
        <v>6</v>
      </c>
      <c r="E75" s="14"/>
      <c r="F75" s="46" t="s">
        <v>8</v>
      </c>
      <c r="G75" s="46" t="s">
        <v>2</v>
      </c>
      <c r="H75" s="46" t="s">
        <v>12</v>
      </c>
      <c r="I75" s="31" t="s">
        <v>13</v>
      </c>
      <c r="J75" s="47" t="s">
        <v>14</v>
      </c>
      <c r="K75" s="16"/>
    </row>
    <row r="76" spans="1:16" s="8" customFormat="1" x14ac:dyDescent="0.2">
      <c r="A76" s="13"/>
      <c r="B76" s="33" t="s">
        <v>0</v>
      </c>
      <c r="C76" s="34" t="s">
        <v>94</v>
      </c>
      <c r="D76" s="34" t="s">
        <v>7</v>
      </c>
      <c r="E76" s="29"/>
      <c r="F76" s="34" t="s">
        <v>9</v>
      </c>
      <c r="G76" s="34" t="s">
        <v>16</v>
      </c>
      <c r="H76" s="34" t="s">
        <v>7</v>
      </c>
      <c r="I76" s="34" t="s">
        <v>83</v>
      </c>
      <c r="J76" s="35" t="s">
        <v>15</v>
      </c>
      <c r="K76" s="16"/>
    </row>
    <row r="77" spans="1:16" s="8" customFormat="1" x14ac:dyDescent="0.2">
      <c r="A77" s="13"/>
      <c r="B77" s="107"/>
      <c r="C77" s="108"/>
      <c r="D77" s="108"/>
      <c r="E77" s="108"/>
      <c r="F77" s="108"/>
      <c r="G77" s="110"/>
      <c r="H77" s="108"/>
      <c r="I77" s="108"/>
      <c r="J77" s="96"/>
      <c r="K77" s="16"/>
    </row>
    <row r="78" spans="1:16" s="8" customFormat="1" x14ac:dyDescent="0.2">
      <c r="A78" s="13"/>
      <c r="B78" s="36">
        <v>1</v>
      </c>
      <c r="C78" s="48">
        <f t="shared" ref="C78:C88" si="14">IF(B78=D$68+1,IF(D$69&gt;0,MIN(D$70,D$15),0),0)</f>
        <v>0</v>
      </c>
      <c r="D78" s="48">
        <f>IF(B78&lt;D$68+D$69+1,IF(B78&gt;D$68,(D$70-SUM(C$78:C$87))*VLOOKUP(B78-D$68,Data!A$40:B$49,2),0),0)</f>
        <v>0</v>
      </c>
      <c r="E78" s="14"/>
      <c r="F78" s="25">
        <f t="shared" ref="F78" si="15">I62</f>
        <v>0</v>
      </c>
      <c r="G78" s="27">
        <f>IF(F61&lt;D$68,D$65,0)</f>
        <v>50000</v>
      </c>
      <c r="H78" s="27">
        <f>IF(D$69=0,0,IF(D$68+D$69+1=B78,MIN(SUM(C$78:C$87)+SUM(D$78:D78),MAX(0,D$71-(D$70-SUM(C$78:C$87)-SUM(D$78:D78)))),0))</f>
        <v>0</v>
      </c>
      <c r="I78" s="25">
        <f>IF(D$69=0,0,IF(D$68+D$69+1=B78,IF(D$71&gt;D$70,D$71-D$70,IF(D$71&lt;D$70-SUM(C$78:D78),D$71-(D$70-SUM(C$78:D78)),0)),0))</f>
        <v>0</v>
      </c>
      <c r="J78" s="37">
        <f t="shared" ref="J78:J87" si="16">(C78+D78+F78+G78-H78)*(D$11*(1-D$12)+D$12*(1-D$11)+D$13*(1-0.5*D$11))+I78*D$14</f>
        <v>19488.5</v>
      </c>
      <c r="K78" s="16"/>
      <c r="L78" s="49"/>
      <c r="M78" s="50"/>
      <c r="N78" s="50"/>
      <c r="O78" s="50"/>
      <c r="P78" s="50"/>
    </row>
    <row r="79" spans="1:16" s="8" customFormat="1" x14ac:dyDescent="0.2">
      <c r="A79" s="13"/>
      <c r="B79" s="36">
        <v>2</v>
      </c>
      <c r="C79" s="23">
        <f t="shared" si="14"/>
        <v>0</v>
      </c>
      <c r="D79" s="23">
        <f>IF(B79&lt;D$68+D$69+1,IF(B79&gt;D$68,(D$70-SUM(C$78:C$87))*VLOOKUP(B79-D$68,Data!A$40:B$49,2),0),0)</f>
        <v>0</v>
      </c>
      <c r="E79" s="14"/>
      <c r="F79" s="53">
        <f>I63</f>
        <v>2719.044155924375</v>
      </c>
      <c r="G79" s="23">
        <f t="shared" ref="G79:G87" si="17">IF(F62&lt;D$68,D$66,0)</f>
        <v>50000</v>
      </c>
      <c r="H79" s="23">
        <f>IF(D$69=0,0,IF(D$68+D$69+1=B79,MIN(SUM(C$78:C$87)+SUM(D$78:D79),MAX(0,D$71-(D$70-SUM(C$78:C$87)-SUM(D$78:D79)))),0))</f>
        <v>0</v>
      </c>
      <c r="I79" s="23">
        <f>IF(D$69=0,0,IF(D$68+D$69+1=B79,IF(D$71&gt;D$70,D$71-D$70,IF(D$71&lt;D$70-SUM(C$78:D79),D$71-(D$70-SUM(C$78:D79)),0)),0))</f>
        <v>0</v>
      </c>
      <c r="J79" s="38">
        <f t="shared" si="16"/>
        <v>20548.301840654643</v>
      </c>
      <c r="K79" s="16"/>
      <c r="L79" s="49"/>
      <c r="M79" s="50"/>
      <c r="N79" s="50"/>
      <c r="O79" s="50"/>
      <c r="P79" s="50"/>
    </row>
    <row r="80" spans="1:16" s="8" customFormat="1" x14ac:dyDescent="0.2">
      <c r="A80" s="13"/>
      <c r="B80" s="36">
        <v>3</v>
      </c>
      <c r="C80" s="23">
        <f t="shared" si="14"/>
        <v>0</v>
      </c>
      <c r="D80" s="23">
        <f>IF(B80&lt;D$68+D$69+1,IF(B80&gt;D$68,(D$70-SUM(C$78:C$87))*VLOOKUP(B80-D$68,Data!A$40:B$49,2),0),0)</f>
        <v>0</v>
      </c>
      <c r="E80" s="14"/>
      <c r="F80" s="53">
        <f t="shared" ref="F80:F88" si="18">I64</f>
        <v>4762.9599206636158</v>
      </c>
      <c r="G80" s="23">
        <f t="shared" si="17"/>
        <v>50000</v>
      </c>
      <c r="H80" s="23">
        <f>IF(D$69=0,0,IF(D$68+D$69+1=B80,MIN(SUM(C$78:C$87)+SUM(D$78:D80),MAX(0,D$71-(D$70-SUM(C$78:C$87)-SUM(D$78:D80)))),0))</f>
        <v>0</v>
      </c>
      <c r="I80" s="23">
        <f>IF(D$69=0,0,IF(D$68+D$69+1=B80,IF(D$71&gt;D$70,D$71-D$70,IF(D$71&lt;D$70-SUM(C$78:D80),D$71-(D$70-SUM(C$78:D80)),0)),0))</f>
        <v>0</v>
      </c>
      <c r="J80" s="38">
        <f t="shared" si="16"/>
        <v>21344.958888277059</v>
      </c>
      <c r="K80" s="16"/>
      <c r="L80" s="49"/>
      <c r="M80" s="50"/>
      <c r="N80" s="50"/>
      <c r="O80" s="50"/>
      <c r="P80" s="50"/>
    </row>
    <row r="81" spans="1:16" s="8" customFormat="1" x14ac:dyDescent="0.2">
      <c r="A81" s="13"/>
      <c r="B81" s="36">
        <v>4</v>
      </c>
      <c r="C81" s="23">
        <f t="shared" si="14"/>
        <v>0</v>
      </c>
      <c r="D81" s="23">
        <f>IF(B81&lt;D$68+D$69+1,IF(B81&gt;D$68,(D$70-SUM(C$78:C$87))*VLOOKUP(B81-D$68,Data!A$40:B$49,2),0),0)</f>
        <v>0</v>
      </c>
      <c r="E81" s="14"/>
      <c r="F81" s="53">
        <f t="shared" si="18"/>
        <v>6893.8375584729438</v>
      </c>
      <c r="G81" s="23">
        <f t="shared" si="17"/>
        <v>50000</v>
      </c>
      <c r="H81" s="23">
        <f>IF(D$69=0,0,IF(D$68+D$69+1=B81,MIN(SUM(C$78:C$87)+SUM(D$78:D81),MAX(0,D$71-(D$70-SUM(C$78:C$87)-SUM(D$78:D81)))),0))</f>
        <v>0</v>
      </c>
      <c r="I81" s="23">
        <f>IF(D$69=0,0,IF(D$68+D$69+1=B81,IF(D$71&gt;D$70,D$71-D$70,IF(D$71&lt;D$70-SUM(C$78:D81),D$71-(D$70-SUM(C$78:D81)),0)),0))</f>
        <v>0</v>
      </c>
      <c r="J81" s="38">
        <f t="shared" si="16"/>
        <v>22175.511065166</v>
      </c>
      <c r="K81" s="16"/>
      <c r="L81" s="49"/>
      <c r="M81" s="50"/>
      <c r="N81" s="50"/>
      <c r="O81" s="50"/>
      <c r="P81" s="50"/>
    </row>
    <row r="82" spans="1:16" s="8" customFormat="1" x14ac:dyDescent="0.2">
      <c r="A82" s="13"/>
      <c r="B82" s="36">
        <v>5</v>
      </c>
      <c r="C82" s="23">
        <f t="shared" si="14"/>
        <v>0</v>
      </c>
      <c r="D82" s="23">
        <f>IF(B82&lt;D$68+D$69+1,IF(B82&gt;D$68,(D$70-SUM(C$78:C$87))*VLOOKUP(B82-D$68,Data!A$40:B$49,2),0),0)</f>
        <v>0</v>
      </c>
      <c r="E82" s="14"/>
      <c r="F82" s="53">
        <f t="shared" si="18"/>
        <v>9087.7339962548449</v>
      </c>
      <c r="G82" s="23">
        <f t="shared" si="17"/>
        <v>50000</v>
      </c>
      <c r="H82" s="23">
        <f>IF(D$69=0,0,IF(D$68+D$69+1=B82,MIN(SUM(C$78:C$87)+SUM(D$78:D82),MAX(0,D$71-(D$70-SUM(C$78:C$87)-SUM(D$78:D82)))),0))</f>
        <v>0</v>
      </c>
      <c r="I82" s="23">
        <f>IF(D$69=0,0,IF(D$68+D$69+1=B82,IF(D$71&gt;D$70,D$71-D$70,IF(D$71&lt;D$70-SUM(C$78:D82),D$71-(D$70-SUM(C$78:D82)),0)),0))</f>
        <v>0</v>
      </c>
      <c r="J82" s="38">
        <f t="shared" si="16"/>
        <v>23030.626079720252</v>
      </c>
      <c r="K82" s="16"/>
      <c r="L82" s="49"/>
      <c r="M82" s="50"/>
      <c r="N82" s="50"/>
      <c r="O82" s="50"/>
      <c r="P82" s="50"/>
    </row>
    <row r="83" spans="1:16" s="8" customFormat="1" x14ac:dyDescent="0.2">
      <c r="A83" s="13"/>
      <c r="B83" s="36">
        <v>6</v>
      </c>
      <c r="C83" s="23">
        <f t="shared" si="14"/>
        <v>0</v>
      </c>
      <c r="D83" s="23">
        <f>IF(B83&lt;D$68+D$69+1,IF(B83&gt;D$68,(D$70-SUM(C$78:C$87))*VLOOKUP(B83-D$68,Data!A$40:B$49,2),0),0)</f>
        <v>0</v>
      </c>
      <c r="E83" s="14"/>
      <c r="F83" s="53">
        <f t="shared" si="18"/>
        <v>0</v>
      </c>
      <c r="G83" s="23">
        <f t="shared" si="17"/>
        <v>0</v>
      </c>
      <c r="H83" s="23">
        <f>IF(D$69=0,0,IF(D$68+D$69+1=B83,MIN(SUM(C$78:C$87)+SUM(D$78:D83),MAX(0,D$71-(D$70-SUM(C$78:C$87)-SUM(D$78:D83)))),0))</f>
        <v>0</v>
      </c>
      <c r="I83" s="23">
        <f>IF(D$69=0,0,IF(D$68+D$69+1=B83,IF(D$71&gt;D$70,D$71-D$70,IF(D$71&lt;D$70-SUM(C$78:D83),D$71-(D$70-SUM(C$78:D83)),0)),0))</f>
        <v>0</v>
      </c>
      <c r="J83" s="38">
        <f t="shared" si="16"/>
        <v>0</v>
      </c>
      <c r="K83" s="16"/>
      <c r="L83" s="49"/>
      <c r="M83" s="50"/>
      <c r="N83" s="50"/>
      <c r="O83" s="50"/>
      <c r="P83" s="50"/>
    </row>
    <row r="84" spans="1:16" s="8" customFormat="1" x14ac:dyDescent="0.2">
      <c r="A84" s="13"/>
      <c r="B84" s="36">
        <v>7</v>
      </c>
      <c r="C84" s="23">
        <f t="shared" si="14"/>
        <v>0</v>
      </c>
      <c r="D84" s="23">
        <f>IF(B84&lt;D$68+D$69+1,IF(B84&gt;D$68,(D$70-SUM(C$78:C$87))*VLOOKUP(B84-D$68,Data!A$40:B$49,2),0),0)</f>
        <v>0</v>
      </c>
      <c r="E84" s="14"/>
      <c r="F84" s="53">
        <f t="shared" si="18"/>
        <v>0</v>
      </c>
      <c r="G84" s="23">
        <f t="shared" si="17"/>
        <v>0</v>
      </c>
      <c r="H84" s="23">
        <f>IF(D$69=0,0,IF(D$68+D$69+1=B84,MIN(SUM(C$78:C$87)+SUM(D$78:D84),MAX(0,D$71-(D$70-SUM(C$78:C$87)-SUM(D$78:D84)))),0))</f>
        <v>0</v>
      </c>
      <c r="I84" s="23">
        <f>IF(D$69=0,0,IF(D$68+D$69+1=B84,IF(D$71&gt;D$70,D$71-D$70,IF(D$71&lt;D$70-SUM(C$78:D84),D$71-(D$70-SUM(C$78:D84)),0)),0))</f>
        <v>0</v>
      </c>
      <c r="J84" s="38">
        <f t="shared" si="16"/>
        <v>0</v>
      </c>
      <c r="K84" s="16"/>
      <c r="L84" s="49"/>
      <c r="M84" s="50"/>
      <c r="N84" s="50"/>
      <c r="O84" s="50"/>
      <c r="P84" s="50"/>
    </row>
    <row r="85" spans="1:16" s="8" customFormat="1" x14ac:dyDescent="0.2">
      <c r="A85" s="13"/>
      <c r="B85" s="36">
        <v>8</v>
      </c>
      <c r="C85" s="23">
        <f t="shared" si="14"/>
        <v>0</v>
      </c>
      <c r="D85" s="23">
        <f>IF(B85&lt;D$68+D$69+1,IF(B85&gt;D$68,(D$70-SUM(C$78:C$87))*VLOOKUP(B85-D$68,Data!A$40:B$49,2),0),0)</f>
        <v>0</v>
      </c>
      <c r="E85" s="14"/>
      <c r="F85" s="53">
        <f t="shared" si="18"/>
        <v>0</v>
      </c>
      <c r="G85" s="23">
        <f t="shared" si="17"/>
        <v>0</v>
      </c>
      <c r="H85" s="23">
        <f>IF(D$69=0,0,IF(D$68+D$69+1=B85,MIN(SUM(C$78:C$87)+SUM(D$78:D85),MAX(0,D$71-(D$70-SUM(C$78:C$87)-SUM(D$78:D85)))),0))</f>
        <v>0</v>
      </c>
      <c r="I85" s="23">
        <f>IF(D$69=0,0,IF(D$68+D$69+1=B85,IF(D$71&gt;D$70,D$71-D$70,IF(D$71&lt;D$70-SUM(C$78:D85),D$71-(D$70-SUM(C$78:D85)),0)),0))</f>
        <v>0</v>
      </c>
      <c r="J85" s="38">
        <f t="shared" si="16"/>
        <v>0</v>
      </c>
      <c r="K85" s="16"/>
      <c r="L85" s="49"/>
      <c r="M85" s="50"/>
      <c r="N85" s="50"/>
      <c r="O85" s="50"/>
      <c r="P85" s="50"/>
    </row>
    <row r="86" spans="1:16" s="8" customFormat="1" x14ac:dyDescent="0.2">
      <c r="A86" s="13"/>
      <c r="B86" s="36">
        <v>9</v>
      </c>
      <c r="C86" s="23">
        <f t="shared" si="14"/>
        <v>0</v>
      </c>
      <c r="D86" s="23">
        <f>IF(B86&lt;D$68+D$69+1,IF(B86&gt;D$68,(D$70-SUM(C$78:C$87))*VLOOKUP(B86-D$68,Data!A$40:B$49,2),0),0)</f>
        <v>0</v>
      </c>
      <c r="E86" s="14"/>
      <c r="F86" s="53">
        <f t="shared" si="18"/>
        <v>0</v>
      </c>
      <c r="G86" s="23">
        <f t="shared" si="17"/>
        <v>0</v>
      </c>
      <c r="H86" s="23">
        <f>IF(D$69=0,0,IF(D$68+D$69+1=B86,MIN(SUM(C$78:C$87)+SUM(D$78:D86),MAX(0,D$71-(D$70-SUM(C$78:C$87)-SUM(D$78:D86)))),0))</f>
        <v>0</v>
      </c>
      <c r="I86" s="23">
        <f>IF(D$69=0,0,IF(D$68+D$69+1=B86,IF(D$71&gt;D$70,D$71-D$70,IF(D$71&lt;D$70-SUM(C$78:D86),D$71-(D$70-SUM(C$78:D86)),0)),0))</f>
        <v>0</v>
      </c>
      <c r="J86" s="38">
        <f t="shared" si="16"/>
        <v>0</v>
      </c>
      <c r="K86" s="16"/>
      <c r="L86" s="49"/>
      <c r="M86" s="50"/>
      <c r="N86" s="50"/>
      <c r="O86" s="50"/>
      <c r="P86" s="50"/>
    </row>
    <row r="87" spans="1:16" s="8" customFormat="1" x14ac:dyDescent="0.2">
      <c r="A87" s="13"/>
      <c r="B87" s="36">
        <v>10</v>
      </c>
      <c r="C87" s="23">
        <f t="shared" si="14"/>
        <v>0</v>
      </c>
      <c r="D87" s="23">
        <f>IF(B87&lt;D$68+D$69+1,IF(B87&gt;D$68,(D$70-SUM(C$78:C$87))*VLOOKUP(B87-D$68,Data!A$40:B$49,2),0),0)</f>
        <v>0</v>
      </c>
      <c r="E87" s="14"/>
      <c r="F87" s="53">
        <f t="shared" si="18"/>
        <v>0</v>
      </c>
      <c r="G87" s="23">
        <f t="shared" si="17"/>
        <v>0</v>
      </c>
      <c r="H87" s="23">
        <f>IF(D$69=0,0,IF(D$68+D$69+1=B87,MIN(SUM(C$78:C$87)+SUM(D$78:D87),MAX(0,D$71-(D$70-SUM(C$78:C$87)-SUM(D$78:D87)))),0))</f>
        <v>0</v>
      </c>
      <c r="I87" s="23">
        <f>IF(D$69=0,0,IF(D$68+D$69+1=B87,IF(D$71&gt;D$70,D$71-D$70,IF(D$71&lt;D$70-SUM(C$78:D87),D$71-(D$70-SUM(C$78:D87)),0)),0))</f>
        <v>0</v>
      </c>
      <c r="J87" s="38">
        <f t="shared" si="16"/>
        <v>0</v>
      </c>
      <c r="K87" s="16"/>
      <c r="L87" s="49"/>
      <c r="M87" s="50"/>
      <c r="N87" s="50"/>
      <c r="O87" s="50"/>
      <c r="P87" s="50"/>
    </row>
    <row r="88" spans="1:16" s="8" customFormat="1" ht="13.5" thickBot="1" x14ac:dyDescent="0.25">
      <c r="A88" s="18"/>
      <c r="B88" s="39">
        <v>11</v>
      </c>
      <c r="C88" s="40">
        <f t="shared" si="14"/>
        <v>0</v>
      </c>
      <c r="D88" s="40">
        <f>IF(B88&lt;D$68+D$69+1,IF(B88&gt;D$68,(D$70-SUM(C$78:C$87))*VLOOKUP(B88-D$68,Data!A$40:B$49,2),0),0)</f>
        <v>0</v>
      </c>
      <c r="E88" s="19"/>
      <c r="F88" s="54">
        <f t="shared" si="18"/>
        <v>0</v>
      </c>
      <c r="G88" s="40">
        <f>IF(F71&lt;D$68,D$66,0)</f>
        <v>0</v>
      </c>
      <c r="H88" s="40">
        <f>IF(D$69=0,0,IF(D$68+D$69+1=B88,MIN(SUM(C$78:C$87)+SUM(D$78:D88),MAX(0,D$71-(D$70-SUM(C$78:C$87)-SUM(D$78:D88)))),0))</f>
        <v>0</v>
      </c>
      <c r="I88" s="40">
        <f>IF(D$69=0,0,IF(D$68+D$69+1=B88,IF(D$71&gt;D$70,D$71-D$70,IF(D$71&lt;D$70-SUM(C$78:D88),D$71-(D$70-SUM(C$78:D88)),0)),0))</f>
        <v>0</v>
      </c>
      <c r="J88" s="41">
        <f>(C88+D88+F88+G88-H88)*(D$11*(1-D$12)+D$12*(1-D$11)+D$13*(1-0.5*D$11))+I88*D$14</f>
        <v>0</v>
      </c>
      <c r="K88" s="20"/>
      <c r="L88" s="49"/>
      <c r="M88" s="50"/>
      <c r="N88" s="50"/>
      <c r="O88" s="50"/>
      <c r="P88" s="50"/>
    </row>
    <row r="89" spans="1:16" s="8" customFormat="1" x14ac:dyDescent="0.2">
      <c r="D89" s="51"/>
      <c r="E89" s="51"/>
      <c r="F89" s="51"/>
    </row>
    <row r="117" spans="1:9" s="64" customFormat="1" x14ac:dyDescent="0.2">
      <c r="A117" s="130" t="s">
        <v>127</v>
      </c>
      <c r="B117" s="65"/>
      <c r="C117" s="66"/>
      <c r="D117" s="67"/>
      <c r="E117" s="67"/>
      <c r="F117" s="67"/>
      <c r="G117" s="67"/>
    </row>
    <row r="118" spans="1:9" s="64" customFormat="1" x14ac:dyDescent="0.2">
      <c r="A118" s="131" t="s">
        <v>102</v>
      </c>
      <c r="B118" s="68"/>
      <c r="C118" s="68"/>
      <c r="D118" s="68"/>
      <c r="E118" s="68"/>
      <c r="F118" s="68"/>
      <c r="G118" s="68"/>
    </row>
    <row r="119" spans="1:9" s="59" customFormat="1" x14ac:dyDescent="0.2">
      <c r="A119" s="132" t="s">
        <v>103</v>
      </c>
      <c r="B119" s="93">
        <f ca="1">TODAY()</f>
        <v>44971</v>
      </c>
      <c r="C119" s="69"/>
      <c r="D119" s="69"/>
      <c r="E119" s="69"/>
      <c r="F119" s="69"/>
      <c r="G119" s="69"/>
    </row>
    <row r="120" spans="1:9" s="59" customFormat="1" x14ac:dyDescent="0.2">
      <c r="A120" s="132"/>
      <c r="B120" s="93"/>
      <c r="C120" s="69"/>
      <c r="D120" s="69"/>
      <c r="E120" s="69"/>
      <c r="F120" s="69"/>
      <c r="G120" s="69"/>
    </row>
    <row r="121" spans="1:9" s="112" customFormat="1" ht="12" x14ac:dyDescent="0.2">
      <c r="A121" s="133" t="s">
        <v>128</v>
      </c>
    </row>
    <row r="122" spans="1:9" s="112" customFormat="1" ht="9" x14ac:dyDescent="0.15">
      <c r="A122" s="134"/>
    </row>
    <row r="123" spans="1:9" s="112" customFormat="1" ht="9" x14ac:dyDescent="0.15"/>
    <row r="124" spans="1:9" x14ac:dyDescent="0.2">
      <c r="A124" s="70"/>
      <c r="B124" s="71"/>
      <c r="C124" s="71"/>
      <c r="D124" s="71"/>
      <c r="E124" s="71"/>
      <c r="F124" s="71"/>
      <c r="G124" s="71"/>
      <c r="H124" s="71"/>
      <c r="I124" s="71"/>
    </row>
    <row r="125" spans="1:9" ht="13.7" customHeight="1" x14ac:dyDescent="0.2">
      <c r="A125" s="111"/>
      <c r="B125" s="111"/>
      <c r="C125" s="111"/>
      <c r="D125" s="111"/>
      <c r="E125" s="111"/>
      <c r="F125" s="111"/>
      <c r="G125" s="111"/>
      <c r="H125" s="111"/>
      <c r="I125" s="111"/>
    </row>
    <row r="126" spans="1:9" ht="18" customHeight="1" x14ac:dyDescent="0.2">
      <c r="A126" s="111"/>
      <c r="B126" s="111"/>
      <c r="C126" s="111"/>
      <c r="D126" s="111"/>
      <c r="E126" s="111"/>
      <c r="F126" s="111"/>
      <c r="G126" s="111"/>
      <c r="H126" s="111"/>
      <c r="I126" s="111"/>
    </row>
    <row r="127" spans="1:9" ht="18" customHeight="1" x14ac:dyDescent="0.2">
      <c r="A127" s="111"/>
      <c r="B127" s="111"/>
      <c r="C127" s="111"/>
      <c r="D127" s="111"/>
      <c r="E127" s="111"/>
      <c r="F127" s="111"/>
      <c r="G127" s="111"/>
      <c r="H127" s="111"/>
      <c r="I127" s="111"/>
    </row>
  </sheetData>
  <sheetProtection sheet="1" objects="1" scenarios="1"/>
  <dataValidations count="11">
    <dataValidation type="whole" operator="lessThan" allowBlank="1" showInputMessage="1" showErrorMessage="1" error="Not over 9 years." prompt="Not more than 10 years." sqref="D68">
      <formula1>11</formula1>
    </dataValidation>
    <dataValidation type="whole" operator="lessThan" allowBlank="1" showInputMessage="1" showErrorMessage="1" error="Cannot exceed 9 years." prompt="Maximum value of 9." sqref="D32">
      <formula1>11</formula1>
    </dataValidation>
    <dataValidation allowBlank="1" showInputMessage="1" showErrorMessage="1" prompt="Leave blank if buyout option will not be exercised." sqref="D70"/>
    <dataValidation type="whole" allowBlank="1" showInputMessage="1" showErrorMessage="1" prompt="Enter zero if buyout option will not be exercised.  Lease term plus years machine will be kept cannot exceed 10 years." sqref="D69">
      <formula1>0</formula1>
      <formula2>10</formula2>
    </dataValidation>
    <dataValidation allowBlank="1" showInputMessage="1" showErrorMessage="1" prompt="Enter new list price even for a used machine. Used to estimate remaining salvage value and repair costs." sqref="D60"/>
    <dataValidation allowBlank="1" showInputMessage="1" showErrorMessage="1" prompt="Principal due on final payment." sqref="D37"/>
    <dataValidation allowBlank="1" showInputMessage="1" showErrorMessage="1" prompt="Exclude the last year if there is a final balloon payment that is larger than the regular payments._x000a_" sqref="D36"/>
    <dataValidation allowBlank="1" showInputMessage="1" showErrorMessage="1" prompt="Enter new list price even for used machinery.  Used to estimate remaining salvage value and repair costs." sqref="D28"/>
    <dataValidation allowBlank="1" showInputMessage="1" showErrorMessage="1" prompt="Rate of return that could be earned on your own funds if not invested in machinery." sqref="D16"/>
    <dataValidation allowBlank="1" showInputMessage="1" showErrorMessage="1" prompt="See current IRS regulations for maximum Section 179 expensing allowed._x000a_" sqref="D15"/>
    <dataValidation allowBlank="1" showInputMessage="1" showErrorMessage="1" prompt="Current brackets are 5% or 15%." sqref="D14"/>
  </dataValidations>
  <hyperlinks>
    <hyperlink ref="A4:B4" r:id="rId1" display="Estimating the Field Capacity of Farm Machines"/>
    <hyperlink ref="A4:E4" r:id="rId2" display="Machinery Leasing-Is it for you?"/>
    <hyperlink ref="A3:D3" r:id="rId3" display="For more information, see File A3-21 Acquiring Farm Machinery Services or"/>
    <hyperlink ref="A118" r:id="rId4"/>
    <hyperlink ref="A4:C4" r:id="rId5" display="File A3-35 Machinery Leasing-Is it for you?"/>
  </hyperlinks>
  <pageMargins left="0.75" right="0.75" top="0.75" bottom="0.75" header="0.5" footer="0.5"/>
  <pageSetup scale="69" fitToHeight="3" orientation="portrait" horizontalDpi="300" verticalDpi="300" r:id="rId6"/>
  <headerFooter alignWithMargins="0"/>
  <rowBreaks count="1" manualBreakCount="1">
    <brk id="57" max="10" man="1"/>
  </rowBreaks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9" name="Drop Down 1">
              <controlPr defaultSize="0" autoLine="0" autoPict="0" altText="Dropdown menu to select type of machine">
                <anchor moveWithCells="1">
                  <from>
                    <xdr:col>1</xdr:col>
                    <xdr:colOff>638175</xdr:colOff>
                    <xdr:row>7</xdr:row>
                    <xdr:rowOff>123825</xdr:rowOff>
                  </from>
                  <to>
                    <xdr:col>3</xdr:col>
                    <xdr:colOff>752475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P127"/>
  <sheetViews>
    <sheetView showGridLines="0" zoomScale="110" zoomScaleNormal="110" workbookViewId="0"/>
  </sheetViews>
  <sheetFormatPr defaultRowHeight="12.75" x14ac:dyDescent="0.2"/>
  <cols>
    <col min="1" max="1" width="14.85546875" customWidth="1"/>
    <col min="2" max="4" width="12.7109375" customWidth="1"/>
    <col min="5" max="5" width="1.7109375" customWidth="1"/>
    <col min="6" max="6" width="14.42578125" customWidth="1"/>
    <col min="7" max="8" width="12.7109375" customWidth="1"/>
    <col min="9" max="9" width="12.28515625" bestFit="1" customWidth="1"/>
    <col min="10" max="14" width="12.7109375" customWidth="1"/>
    <col min="15" max="15" width="9.28515625" bestFit="1" customWidth="1"/>
    <col min="16" max="16" width="10.85546875" bestFit="1" customWidth="1"/>
  </cols>
  <sheetData>
    <row r="1" spans="1:11" s="144" customFormat="1" ht="24.75" customHeight="1" thickBot="1" x14ac:dyDescent="0.35">
      <c r="A1" s="143" t="s">
        <v>101</v>
      </c>
      <c r="K1" s="145" t="s">
        <v>130</v>
      </c>
    </row>
    <row r="2" spans="1:11" s="59" customFormat="1" ht="15.75" thickTop="1" x14ac:dyDescent="0.25">
      <c r="A2" s="124" t="s">
        <v>120</v>
      </c>
      <c r="B2" s="60"/>
    </row>
    <row r="3" spans="1:11" s="59" customFormat="1" ht="12.75" customHeight="1" x14ac:dyDescent="0.2">
      <c r="A3" s="141" t="s">
        <v>129</v>
      </c>
      <c r="B3" s="140"/>
      <c r="C3" s="140"/>
      <c r="D3" s="140"/>
      <c r="E3" s="114"/>
      <c r="F3" s="114"/>
      <c r="G3" s="114"/>
    </row>
    <row r="4" spans="1:11" s="59" customFormat="1" ht="12.75" customHeight="1" x14ac:dyDescent="0.2">
      <c r="A4" s="141" t="s">
        <v>118</v>
      </c>
      <c r="B4" s="142"/>
      <c r="C4" s="142"/>
      <c r="D4" s="114"/>
      <c r="E4" s="114"/>
      <c r="F4" s="61"/>
      <c r="G4" s="61"/>
      <c r="H4" s="61"/>
      <c r="I4" s="61"/>
    </row>
    <row r="5" spans="1:11" s="59" customFormat="1" x14ac:dyDescent="0.2">
      <c r="A5" s="125"/>
      <c r="B5" s="73"/>
      <c r="C5" s="73"/>
      <c r="D5" s="73"/>
      <c r="E5" s="73"/>
    </row>
    <row r="6" spans="1:11" x14ac:dyDescent="0.2">
      <c r="A6" s="126" t="s">
        <v>104</v>
      </c>
      <c r="B6" s="62"/>
      <c r="C6" s="63"/>
      <c r="D6" s="97"/>
    </row>
    <row r="7" spans="1:11" s="8" customFormat="1" ht="13.5" thickBot="1" x14ac:dyDescent="0.25">
      <c r="A7" s="115"/>
      <c r="B7" s="115"/>
      <c r="C7" s="115"/>
      <c r="F7" s="116" t="s">
        <v>106</v>
      </c>
      <c r="G7" s="117"/>
      <c r="H7" s="117"/>
      <c r="I7" s="117"/>
    </row>
    <row r="8" spans="1:11" s="8" customFormat="1" x14ac:dyDescent="0.2">
      <c r="A8" s="9"/>
      <c r="B8" s="10"/>
      <c r="C8" s="11"/>
      <c r="D8" s="12"/>
      <c r="F8" s="118" t="s">
        <v>119</v>
      </c>
      <c r="G8" s="119"/>
      <c r="H8" s="119"/>
      <c r="I8" s="120"/>
    </row>
    <row r="9" spans="1:11" s="8" customFormat="1" ht="14.25" x14ac:dyDescent="0.2">
      <c r="A9" s="127" t="s">
        <v>17</v>
      </c>
      <c r="B9" s="14"/>
      <c r="C9" s="15">
        <v>4</v>
      </c>
      <c r="D9" s="16"/>
      <c r="F9" s="74" t="s">
        <v>0</v>
      </c>
      <c r="G9" s="75" t="s">
        <v>1</v>
      </c>
      <c r="H9" s="75" t="s">
        <v>2</v>
      </c>
      <c r="I9" s="76"/>
    </row>
    <row r="10" spans="1:11" s="8" customFormat="1" x14ac:dyDescent="0.2">
      <c r="A10" s="113" t="s">
        <v>115</v>
      </c>
      <c r="B10" s="14"/>
      <c r="C10" s="17"/>
      <c r="D10" s="16"/>
      <c r="F10" s="77">
        <v>0</v>
      </c>
      <c r="G10" s="25">
        <f t="shared" ref="G10:G20" si="0">K29</f>
        <v>0</v>
      </c>
      <c r="H10" s="25">
        <f t="shared" ref="H10:H20" si="1">K61</f>
        <v>0</v>
      </c>
      <c r="I10" s="52"/>
    </row>
    <row r="11" spans="1:11" s="8" customFormat="1" x14ac:dyDescent="0.2">
      <c r="A11" s="128" t="s">
        <v>20</v>
      </c>
      <c r="B11" s="14"/>
      <c r="C11" s="14"/>
      <c r="D11" s="98"/>
      <c r="F11" s="78">
        <v>1</v>
      </c>
      <c r="G11" s="53">
        <f>K30</f>
        <v>0</v>
      </c>
      <c r="H11" s="53">
        <f t="shared" si="1"/>
        <v>0</v>
      </c>
      <c r="I11" s="79"/>
    </row>
    <row r="12" spans="1:11" s="8" customFormat="1" x14ac:dyDescent="0.2">
      <c r="A12" s="128" t="s">
        <v>22</v>
      </c>
      <c r="B12" s="14"/>
      <c r="C12" s="14"/>
      <c r="D12" s="98"/>
      <c r="F12" s="78">
        <v>2</v>
      </c>
      <c r="G12" s="53">
        <f t="shared" si="0"/>
        <v>0</v>
      </c>
      <c r="H12" s="53">
        <f t="shared" si="1"/>
        <v>0</v>
      </c>
      <c r="I12" s="79"/>
    </row>
    <row r="13" spans="1:11" s="8" customFormat="1" x14ac:dyDescent="0.2">
      <c r="A13" s="128" t="s">
        <v>21</v>
      </c>
      <c r="B13" s="14"/>
      <c r="C13" s="14"/>
      <c r="D13" s="99"/>
      <c r="F13" s="78">
        <v>3</v>
      </c>
      <c r="G13" s="53">
        <f t="shared" si="0"/>
        <v>0</v>
      </c>
      <c r="H13" s="53">
        <f t="shared" si="1"/>
        <v>0</v>
      </c>
      <c r="I13" s="79"/>
    </row>
    <row r="14" spans="1:11" s="8" customFormat="1" x14ac:dyDescent="0.2">
      <c r="A14" s="113" t="s">
        <v>23</v>
      </c>
      <c r="B14" s="14"/>
      <c r="C14" s="14"/>
      <c r="D14" s="98"/>
      <c r="F14" s="78">
        <v>4</v>
      </c>
      <c r="G14" s="53">
        <f t="shared" si="0"/>
        <v>0</v>
      </c>
      <c r="H14" s="53">
        <f t="shared" si="1"/>
        <v>0</v>
      </c>
      <c r="I14" s="79"/>
    </row>
    <row r="15" spans="1:11" s="8" customFormat="1" x14ac:dyDescent="0.2">
      <c r="A15" s="113" t="s">
        <v>105</v>
      </c>
      <c r="B15" s="14"/>
      <c r="C15" s="14"/>
      <c r="D15" s="100"/>
      <c r="F15" s="78">
        <v>5</v>
      </c>
      <c r="G15" s="53">
        <f t="shared" si="0"/>
        <v>0</v>
      </c>
      <c r="H15" s="53">
        <f t="shared" si="1"/>
        <v>0</v>
      </c>
      <c r="I15" s="79"/>
    </row>
    <row r="16" spans="1:11" s="8" customFormat="1" x14ac:dyDescent="0.2">
      <c r="A16" s="113" t="s">
        <v>121</v>
      </c>
      <c r="B16" s="14"/>
      <c r="C16" s="14"/>
      <c r="D16" s="98"/>
      <c r="F16" s="78">
        <v>6</v>
      </c>
      <c r="G16" s="53">
        <f t="shared" si="0"/>
        <v>0</v>
      </c>
      <c r="H16" s="53">
        <f t="shared" si="1"/>
        <v>0</v>
      </c>
      <c r="I16" s="79"/>
    </row>
    <row r="17" spans="1:11" s="8" customFormat="1" x14ac:dyDescent="0.2">
      <c r="A17" s="113" t="s">
        <v>117</v>
      </c>
      <c r="B17" s="14"/>
      <c r="C17" s="14"/>
      <c r="D17" s="101">
        <f>D16*(1-D11-D12-D13)</f>
        <v>0</v>
      </c>
      <c r="F17" s="78">
        <v>7</v>
      </c>
      <c r="G17" s="53">
        <f t="shared" si="0"/>
        <v>0</v>
      </c>
      <c r="H17" s="53">
        <f t="shared" si="1"/>
        <v>0</v>
      </c>
      <c r="I17" s="79"/>
    </row>
    <row r="18" spans="1:11" s="8" customFormat="1" x14ac:dyDescent="0.2">
      <c r="A18" s="113"/>
      <c r="B18" s="14"/>
      <c r="C18" s="14"/>
      <c r="D18" s="16"/>
      <c r="F18" s="78">
        <v>8</v>
      </c>
      <c r="G18" s="53">
        <f t="shared" si="0"/>
        <v>0</v>
      </c>
      <c r="H18" s="53">
        <f t="shared" si="1"/>
        <v>0</v>
      </c>
      <c r="I18" s="79"/>
    </row>
    <row r="19" spans="1:11" s="8" customFormat="1" x14ac:dyDescent="0.2">
      <c r="A19" s="129" t="s">
        <v>126</v>
      </c>
      <c r="B19" s="14"/>
      <c r="C19" s="14"/>
      <c r="D19" s="16"/>
      <c r="F19" s="78">
        <v>9</v>
      </c>
      <c r="G19" s="53">
        <f t="shared" si="0"/>
        <v>0</v>
      </c>
      <c r="H19" s="53">
        <f t="shared" si="1"/>
        <v>0</v>
      </c>
      <c r="I19" s="79"/>
    </row>
    <row r="20" spans="1:11" s="8" customFormat="1" x14ac:dyDescent="0.2">
      <c r="A20" s="129" t="s">
        <v>125</v>
      </c>
      <c r="B20" s="14"/>
      <c r="C20" s="14"/>
      <c r="D20" s="16"/>
      <c r="F20" s="78">
        <v>10</v>
      </c>
      <c r="G20" s="53">
        <f t="shared" si="0"/>
        <v>0</v>
      </c>
      <c r="H20" s="53">
        <f t="shared" si="1"/>
        <v>0</v>
      </c>
      <c r="I20" s="79"/>
    </row>
    <row r="21" spans="1:11" s="8" customFormat="1" ht="15" x14ac:dyDescent="0.35">
      <c r="A21" s="129" t="s">
        <v>124</v>
      </c>
      <c r="B21" s="14"/>
      <c r="C21" s="14"/>
      <c r="D21" s="16"/>
      <c r="F21" s="78">
        <v>11</v>
      </c>
      <c r="G21" s="103">
        <f>K40</f>
        <v>0</v>
      </c>
      <c r="H21" s="103">
        <f>K72</f>
        <v>0</v>
      </c>
      <c r="I21" s="104"/>
    </row>
    <row r="22" spans="1:11" s="8" customFormat="1" x14ac:dyDescent="0.2">
      <c r="A22" s="13"/>
      <c r="B22" s="14"/>
      <c r="C22" s="14"/>
      <c r="D22" s="16"/>
      <c r="F22" s="78" t="s">
        <v>98</v>
      </c>
      <c r="G22" s="25">
        <f>SUM(G10:G21)</f>
        <v>0</v>
      </c>
      <c r="H22" s="25">
        <f>SUM(H10:H21)</f>
        <v>0</v>
      </c>
      <c r="I22" s="52"/>
    </row>
    <row r="23" spans="1:11" s="8" customFormat="1" x14ac:dyDescent="0.2">
      <c r="A23" s="13"/>
      <c r="B23" s="14"/>
      <c r="C23" s="14"/>
      <c r="D23" s="16"/>
      <c r="F23" s="78" t="s">
        <v>99</v>
      </c>
      <c r="G23" s="25">
        <f>NPV($D$17,G11:G21)+G10</f>
        <v>0</v>
      </c>
      <c r="H23" s="25">
        <f>NPV($D$17,H11:H21)+H10</f>
        <v>0</v>
      </c>
      <c r="I23" s="52"/>
    </row>
    <row r="24" spans="1:11" s="8" customFormat="1" ht="13.5" thickBot="1" x14ac:dyDescent="0.25">
      <c r="A24" s="18"/>
      <c r="B24" s="19"/>
      <c r="C24" s="19"/>
      <c r="D24" s="20"/>
      <c r="F24" s="80" t="s">
        <v>100</v>
      </c>
      <c r="G24" s="81">
        <f>IF(D32&gt;0,-PMT($D$17,$D$32,G23),0)</f>
        <v>0</v>
      </c>
      <c r="H24" s="81">
        <f>IF($D$68+$D$69&gt;0,-PMT($D$17,$D$68+$D$69,H23),0)</f>
        <v>0</v>
      </c>
      <c r="I24" s="82"/>
    </row>
    <row r="25" spans="1:11" s="8" customFormat="1" ht="13.5" thickBot="1" x14ac:dyDescent="0.25">
      <c r="F25" s="21"/>
      <c r="G25" s="22"/>
      <c r="H25" s="22"/>
      <c r="I25" s="22"/>
    </row>
    <row r="26" spans="1:11" s="8" customFormat="1" ht="22.5" customHeight="1" x14ac:dyDescent="0.25">
      <c r="A26" s="135" t="s">
        <v>85</v>
      </c>
      <c r="B26" s="136"/>
      <c r="C26" s="136"/>
      <c r="D26" s="137" t="s">
        <v>87</v>
      </c>
      <c r="E26" s="136"/>
      <c r="F26" s="138" t="s">
        <v>86</v>
      </c>
      <c r="G26" s="136"/>
      <c r="H26" s="136"/>
      <c r="I26" s="136"/>
      <c r="J26" s="136"/>
      <c r="K26" s="139"/>
    </row>
    <row r="27" spans="1:11" s="8" customFormat="1" x14ac:dyDescent="0.2">
      <c r="A27" s="113" t="s">
        <v>17</v>
      </c>
      <c r="B27" s="14"/>
      <c r="C27" s="14"/>
      <c r="D27" s="102" t="str">
        <f>VLOOKUP($C$9,Data!A$5:H$37,2)</f>
        <v>Combine SP unit</v>
      </c>
      <c r="E27" s="23"/>
      <c r="F27" s="122"/>
      <c r="G27" s="83" t="s">
        <v>82</v>
      </c>
      <c r="H27" s="83" t="s">
        <v>89</v>
      </c>
      <c r="I27" s="83"/>
      <c r="J27" s="83" t="s">
        <v>4</v>
      </c>
      <c r="K27" s="84" t="s">
        <v>84</v>
      </c>
    </row>
    <row r="28" spans="1:11" s="8" customFormat="1" x14ac:dyDescent="0.2">
      <c r="A28" s="113" t="s">
        <v>107</v>
      </c>
      <c r="B28" s="14"/>
      <c r="C28" s="24"/>
      <c r="D28" s="55"/>
      <c r="E28" s="17"/>
      <c r="F28" s="105" t="s">
        <v>0</v>
      </c>
      <c r="G28" s="83" t="s">
        <v>71</v>
      </c>
      <c r="H28" s="83" t="s">
        <v>74</v>
      </c>
      <c r="I28" s="83" t="s">
        <v>3</v>
      </c>
      <c r="J28" s="83" t="s">
        <v>5</v>
      </c>
      <c r="K28" s="84" t="s">
        <v>80</v>
      </c>
    </row>
    <row r="29" spans="1:11" s="8" customFormat="1" x14ac:dyDescent="0.2">
      <c r="A29" s="113" t="s">
        <v>111</v>
      </c>
      <c r="B29" s="14"/>
      <c r="C29" s="24"/>
      <c r="D29" s="56"/>
      <c r="E29" s="17"/>
      <c r="F29" s="86">
        <v>0</v>
      </c>
      <c r="G29" s="87">
        <f>D33</f>
        <v>0</v>
      </c>
      <c r="H29" s="87"/>
      <c r="I29" s="87"/>
      <c r="J29" s="87"/>
      <c r="K29" s="92">
        <f>G29+H29+I29+J29</f>
        <v>0</v>
      </c>
    </row>
    <row r="30" spans="1:11" s="8" customFormat="1" x14ac:dyDescent="0.2">
      <c r="A30" s="113" t="s">
        <v>112</v>
      </c>
      <c r="B30" s="14"/>
      <c r="C30" s="24"/>
      <c r="D30" s="56"/>
      <c r="E30" s="17"/>
      <c r="F30" s="88">
        <v>1</v>
      </c>
      <c r="G30" s="53">
        <f t="shared" ref="G30:G39" si="2">IF(F30&lt;=D$36,-PMT(D$35,D$36,D$34-D$37)+D$37*D$35,0)+IF(F30=D$36+1,D$37*(1+D$35),0)</f>
        <v>0</v>
      </c>
      <c r="H30" s="25">
        <f t="shared" ref="H30:H39" si="3">IF(F30=D$32,-D$39,0)</f>
        <v>0</v>
      </c>
      <c r="I30" s="25">
        <f>IF(D$38&gt;=F30,0,IF(F30&lt;=D$32,D$28*VLOOKUP(C$9,Data!$A$5:$D$37,3)*(((D$30+D$31*F30)/1000)^VLOOKUP(C$9,Data!$A$5:$D$37,4)-((D$30+D$31*(F30-1))/1000)^VLOOKUP(C$9,Data!$A$5:$D$37,4)),0))</f>
        <v>0</v>
      </c>
      <c r="J30" s="25">
        <f>-J46</f>
        <v>0</v>
      </c>
      <c r="K30" s="79">
        <f>G30+H30+I30+J30</f>
        <v>0</v>
      </c>
    </row>
    <row r="31" spans="1:11" s="8" customFormat="1" x14ac:dyDescent="0.2">
      <c r="A31" s="113" t="s">
        <v>19</v>
      </c>
      <c r="B31" s="14"/>
      <c r="C31" s="24"/>
      <c r="D31" s="56"/>
      <c r="E31" s="17"/>
      <c r="F31" s="88">
        <v>2</v>
      </c>
      <c r="G31" s="53">
        <f t="shared" si="2"/>
        <v>0</v>
      </c>
      <c r="H31" s="53">
        <f t="shared" si="3"/>
        <v>0</v>
      </c>
      <c r="I31" s="53">
        <f>IF(D$38&gt;=F31,0,IF(F31&lt;=D$32,D$28*VLOOKUP(C$9,Data!$A$5:$D$37,3)*(((D$30+D$31*F31)/1000)^VLOOKUP(C$9,Data!$A$5:$D$37,4)-((D$30+D$31*(F31-1))/1000)^VLOOKUP(C$9,Data!$A$5:$D$37,4)),0))</f>
        <v>0</v>
      </c>
      <c r="J31" s="53">
        <f t="shared" ref="J31:J38" si="4">-J47</f>
        <v>0</v>
      </c>
      <c r="K31" s="79">
        <f t="shared" ref="K31:K39" si="5">G31+H31+I31+J31</f>
        <v>0</v>
      </c>
    </row>
    <row r="32" spans="1:11" s="8" customFormat="1" x14ac:dyDescent="0.2">
      <c r="A32" s="113" t="s">
        <v>70</v>
      </c>
      <c r="B32" s="14"/>
      <c r="C32" s="14"/>
      <c r="D32" s="56"/>
      <c r="E32" s="17"/>
      <c r="F32" s="88">
        <v>3</v>
      </c>
      <c r="G32" s="53">
        <f t="shared" si="2"/>
        <v>0</v>
      </c>
      <c r="H32" s="53">
        <f t="shared" si="3"/>
        <v>0</v>
      </c>
      <c r="I32" s="53">
        <f>IF(D$38&gt;=F32,0,IF(F32&lt;=D$32,D$28*VLOOKUP(C$9,Data!$A$5:$D$37,3)*(((D$30+D$31*F32)/1000)^VLOOKUP(C$9,Data!$A$5:$D$37,4)-((D$30+D$31*(F32-1))/1000)^VLOOKUP(C$9,Data!$A$5:$D$37,4)),0))</f>
        <v>0</v>
      </c>
      <c r="J32" s="53">
        <f t="shared" si="4"/>
        <v>0</v>
      </c>
      <c r="K32" s="79">
        <f t="shared" si="5"/>
        <v>0</v>
      </c>
    </row>
    <row r="33" spans="1:11" s="8" customFormat="1" x14ac:dyDescent="0.2">
      <c r="A33" s="113" t="s">
        <v>122</v>
      </c>
      <c r="B33" s="14"/>
      <c r="C33" s="14"/>
      <c r="D33" s="55"/>
      <c r="E33" s="25"/>
      <c r="F33" s="88">
        <v>4</v>
      </c>
      <c r="G33" s="53">
        <f t="shared" si="2"/>
        <v>0</v>
      </c>
      <c r="H33" s="53">
        <f t="shared" si="3"/>
        <v>0</v>
      </c>
      <c r="I33" s="53">
        <f>IF(D$38&gt;=F33,0,IF(F33&lt;=D$32,D$28*VLOOKUP(C$9,Data!$A$5:$D$37,3)*(((D$30+D$31*F33)/1000)^VLOOKUP(C$9,Data!$A$5:$D$37,4)-((D$30+D$31*(F33-1))/1000)^VLOOKUP(C$9,Data!$A$5:$D$37,4)),0))</f>
        <v>0</v>
      </c>
      <c r="J33" s="53">
        <f t="shared" si="4"/>
        <v>0</v>
      </c>
      <c r="K33" s="79">
        <f t="shared" si="5"/>
        <v>0</v>
      </c>
    </row>
    <row r="34" spans="1:11" s="8" customFormat="1" x14ac:dyDescent="0.2">
      <c r="A34" s="113" t="s">
        <v>24</v>
      </c>
      <c r="B34" s="14"/>
      <c r="C34" s="14"/>
      <c r="D34" s="55"/>
      <c r="E34" s="25"/>
      <c r="F34" s="88">
        <v>5</v>
      </c>
      <c r="G34" s="53">
        <f t="shared" si="2"/>
        <v>0</v>
      </c>
      <c r="H34" s="53">
        <f t="shared" si="3"/>
        <v>0</v>
      </c>
      <c r="I34" s="53">
        <f>IF(D$38&gt;=F34,0,IF(F34&lt;=D$32,D$28*VLOOKUP(C$9,Data!$A$5:$D$37,3)*(((D$30+D$31*F34)/1000)^VLOOKUP(C$9,Data!$A$5:$D$37,4)-((D$30+D$31*(F34-1))/1000)^VLOOKUP(C$9,Data!$A$5:$D$37,4)),0))</f>
        <v>0</v>
      </c>
      <c r="J34" s="53">
        <f t="shared" si="4"/>
        <v>0</v>
      </c>
      <c r="K34" s="79">
        <f t="shared" si="5"/>
        <v>0</v>
      </c>
    </row>
    <row r="35" spans="1:11" s="8" customFormat="1" x14ac:dyDescent="0.2">
      <c r="A35" s="113" t="s">
        <v>116</v>
      </c>
      <c r="B35" s="14"/>
      <c r="C35" s="14"/>
      <c r="D35" s="57"/>
      <c r="E35" s="25"/>
      <c r="F35" s="88">
        <v>6</v>
      </c>
      <c r="G35" s="53">
        <f t="shared" si="2"/>
        <v>0</v>
      </c>
      <c r="H35" s="53">
        <f t="shared" si="3"/>
        <v>0</v>
      </c>
      <c r="I35" s="53">
        <f>IF(D$38&gt;=F35,0,IF(F35&lt;=D$32,D$28*VLOOKUP(C$9,Data!$A$5:$D$37,3)*(((D$30+D$31*F35)/1000)^VLOOKUP(C$9,Data!$A$5:$D$37,4)-((D$30+D$31*(F35-1))/1000)^VLOOKUP(C$9,Data!$A$5:$D$37,4)),0))</f>
        <v>0</v>
      </c>
      <c r="J35" s="53">
        <f t="shared" si="4"/>
        <v>0</v>
      </c>
      <c r="K35" s="79">
        <f t="shared" si="5"/>
        <v>0</v>
      </c>
    </row>
    <row r="36" spans="1:11" s="8" customFormat="1" x14ac:dyDescent="0.2">
      <c r="A36" s="113" t="s">
        <v>108</v>
      </c>
      <c r="B36" s="14"/>
      <c r="C36" s="14"/>
      <c r="D36" s="56"/>
      <c r="E36" s="26"/>
      <c r="F36" s="88">
        <v>7</v>
      </c>
      <c r="G36" s="53">
        <f t="shared" si="2"/>
        <v>0</v>
      </c>
      <c r="H36" s="53">
        <f t="shared" si="3"/>
        <v>0</v>
      </c>
      <c r="I36" s="53">
        <f>IF(D$38&gt;=F36,0,IF(F36&lt;=D$32,D$28*VLOOKUP(C$9,Data!$A$5:$D$37,3)*(((D$30+D$31*F36)/1000)^VLOOKUP(C$9,Data!$A$5:$D$37,4)-((D$30+D$31*(F36-1))/1000)^VLOOKUP(C$9,Data!$A$5:$D$37,4)),0))</f>
        <v>0</v>
      </c>
      <c r="J36" s="53">
        <f t="shared" si="4"/>
        <v>0</v>
      </c>
      <c r="K36" s="79">
        <f t="shared" si="5"/>
        <v>0</v>
      </c>
    </row>
    <row r="37" spans="1:11" s="8" customFormat="1" x14ac:dyDescent="0.2">
      <c r="A37" s="113" t="s">
        <v>109</v>
      </c>
      <c r="B37" s="14"/>
      <c r="C37" s="14"/>
      <c r="D37" s="55"/>
      <c r="E37" s="17"/>
      <c r="F37" s="88">
        <v>8</v>
      </c>
      <c r="G37" s="53">
        <f t="shared" si="2"/>
        <v>0</v>
      </c>
      <c r="H37" s="53">
        <f t="shared" si="3"/>
        <v>0</v>
      </c>
      <c r="I37" s="53">
        <f>IF(D$38&gt;=F37,0,IF(F37&lt;=D$32,D$28*VLOOKUP(C$9,Data!$A$5:$D$37,3)*(((D$30+D$31*F37)/1000)^VLOOKUP(C$9,Data!$A$5:$D$37,4)-((D$30+D$31*(F37-1))/1000)^VLOOKUP(C$9,Data!$A$5:$D$37,4)),0))</f>
        <v>0</v>
      </c>
      <c r="J37" s="53">
        <f t="shared" si="4"/>
        <v>0</v>
      </c>
      <c r="K37" s="79">
        <f t="shared" si="5"/>
        <v>0</v>
      </c>
    </row>
    <row r="38" spans="1:11" s="8" customFormat="1" x14ac:dyDescent="0.2">
      <c r="A38" s="113" t="s">
        <v>76</v>
      </c>
      <c r="B38" s="14"/>
      <c r="C38" s="14"/>
      <c r="D38" s="56"/>
      <c r="E38" s="25"/>
      <c r="F38" s="88">
        <v>9</v>
      </c>
      <c r="G38" s="53">
        <f t="shared" si="2"/>
        <v>0</v>
      </c>
      <c r="H38" s="53">
        <f t="shared" si="3"/>
        <v>0</v>
      </c>
      <c r="I38" s="53">
        <f>IF(D$38&gt;=F38,0,IF(F38&lt;=D$32,D$28*VLOOKUP(C$9,Data!$A$5:$D$37,3)*(((D$30+D$31*F38)/1000)^VLOOKUP(C$9,Data!$A$5:$D$37,4)-((D$30+D$31*(F38-1))/1000)^VLOOKUP(C$9,Data!$A$5:$D$37,4)),0))</f>
        <v>0</v>
      </c>
      <c r="J38" s="53">
        <f t="shared" si="4"/>
        <v>0</v>
      </c>
      <c r="K38" s="79">
        <f t="shared" si="5"/>
        <v>0</v>
      </c>
    </row>
    <row r="39" spans="1:11" s="8" customFormat="1" x14ac:dyDescent="0.2">
      <c r="A39" s="113" t="s">
        <v>110</v>
      </c>
      <c r="B39" s="14"/>
      <c r="C39" s="14"/>
      <c r="D39" s="27">
        <f>IF(D32&gt;0,D28*(VLOOKUP(C9,Data!$A$5:$H$37,6)-VLOOKUP(C9,Data!$A$5:$H$37,7)*((D29+D32)^0.5)-VLOOKUP(C9,Data!$A$5:$H$37,8)*(((D30+D31*D32)/(D29+D32))^0.5))^2,0)</f>
        <v>0</v>
      </c>
      <c r="E39" s="17"/>
      <c r="F39" s="88">
        <v>10</v>
      </c>
      <c r="G39" s="53">
        <f t="shared" si="2"/>
        <v>0</v>
      </c>
      <c r="H39" s="53">
        <f t="shared" si="3"/>
        <v>0</v>
      </c>
      <c r="I39" s="53">
        <f>IF(D$38&gt;=F39,0,IF(F39&lt;=D$32,D$28*VLOOKUP(C$9,Data!$A$5:$D$37,3)*(((D$30+D$31*F39)/1000)^VLOOKUP(C$9,Data!$A$5:$D$37,4)-((D$30+D$31*(F39-1))/1000)^VLOOKUP(C$9,Data!$A$5:$D$37,4)),0))</f>
        <v>0</v>
      </c>
      <c r="J39" s="53">
        <f>-J55</f>
        <v>0</v>
      </c>
      <c r="K39" s="79">
        <f t="shared" si="5"/>
        <v>0</v>
      </c>
    </row>
    <row r="40" spans="1:11" s="8" customFormat="1" x14ac:dyDescent="0.2">
      <c r="A40" s="13"/>
      <c r="B40" s="14"/>
      <c r="C40" s="14"/>
      <c r="D40" s="27"/>
      <c r="E40" s="17"/>
      <c r="F40" s="89">
        <v>11</v>
      </c>
      <c r="G40" s="90">
        <f>IF(F40&lt;=D$36,-PMT(D$35,D$36,D$34-D$37)+D$37*D$35,0)+IF(F40=D$36+1,D$37*(1+D$35),0)</f>
        <v>0</v>
      </c>
      <c r="H40" s="90">
        <f>IF(F40=D$32,-D$39,0)</f>
        <v>0</v>
      </c>
      <c r="I40" s="90">
        <f>IF(D$38&gt;=F40,0,IF(F40&lt;=D$32,D$28*VLOOKUP(C$9,Data!$A$5:$D$37,3)*(((D$30+D$31*F40)/1000)^VLOOKUP(C$9,Data!$A$5:$D$37,4)-((D$30+D$31*(F40-1))/1000)^VLOOKUP(C$9,Data!$A$5:$D$37,4)),0))</f>
        <v>0</v>
      </c>
      <c r="J40" s="90">
        <f>-J56</f>
        <v>0</v>
      </c>
      <c r="K40" s="91">
        <f>G40+H40+I40+J40</f>
        <v>0</v>
      </c>
    </row>
    <row r="41" spans="1:11" s="8" customFormat="1" x14ac:dyDescent="0.2">
      <c r="A41" s="13"/>
      <c r="B41" s="14"/>
      <c r="C41" s="14"/>
      <c r="D41" s="14"/>
      <c r="E41" s="17"/>
      <c r="F41" s="17" t="s">
        <v>97</v>
      </c>
      <c r="G41" s="25">
        <f>SUM(G29:G40)</f>
        <v>0</v>
      </c>
      <c r="H41" s="25">
        <f>SUM(H29:H40)</f>
        <v>0</v>
      </c>
      <c r="I41" s="25">
        <f>SUM(I29:I40)</f>
        <v>0</v>
      </c>
      <c r="J41" s="25">
        <f>SUM(J29:J40)</f>
        <v>0</v>
      </c>
      <c r="K41" s="52">
        <f>SUM(K29:K40)</f>
        <v>0</v>
      </c>
    </row>
    <row r="42" spans="1:11" s="8" customFormat="1" x14ac:dyDescent="0.2">
      <c r="A42" s="13"/>
      <c r="B42" s="28" t="s">
        <v>88</v>
      </c>
      <c r="C42" s="29"/>
      <c r="D42" s="29"/>
      <c r="E42" s="29"/>
      <c r="F42" s="29"/>
      <c r="G42" s="29"/>
      <c r="H42" s="29"/>
      <c r="I42" s="29"/>
      <c r="J42" s="29"/>
      <c r="K42" s="16"/>
    </row>
    <row r="43" spans="1:11" s="8" customFormat="1" x14ac:dyDescent="0.2">
      <c r="A43" s="13"/>
      <c r="B43" s="30"/>
      <c r="C43" s="31" t="s">
        <v>93</v>
      </c>
      <c r="D43" s="31" t="s">
        <v>6</v>
      </c>
      <c r="E43" s="14"/>
      <c r="F43" s="31" t="s">
        <v>8</v>
      </c>
      <c r="G43" s="31" t="s">
        <v>10</v>
      </c>
      <c r="H43" s="31" t="s">
        <v>12</v>
      </c>
      <c r="I43" s="31" t="s">
        <v>13</v>
      </c>
      <c r="J43" s="32" t="s">
        <v>14</v>
      </c>
      <c r="K43" s="16"/>
    </row>
    <row r="44" spans="1:11" s="8" customFormat="1" x14ac:dyDescent="0.2">
      <c r="A44" s="13"/>
      <c r="B44" s="106" t="s">
        <v>0</v>
      </c>
      <c r="C44" s="31" t="s">
        <v>94</v>
      </c>
      <c r="D44" s="31" t="s">
        <v>7</v>
      </c>
      <c r="E44" s="14"/>
      <c r="F44" s="31" t="s">
        <v>9</v>
      </c>
      <c r="G44" s="31" t="s">
        <v>11</v>
      </c>
      <c r="H44" s="31" t="s">
        <v>7</v>
      </c>
      <c r="I44" s="31" t="s">
        <v>83</v>
      </c>
      <c r="J44" s="32" t="s">
        <v>15</v>
      </c>
      <c r="K44" s="16"/>
    </row>
    <row r="45" spans="1:11" s="8" customFormat="1" x14ac:dyDescent="0.2">
      <c r="A45" s="13"/>
      <c r="B45" s="107"/>
      <c r="C45" s="108"/>
      <c r="D45" s="108"/>
      <c r="E45" s="108"/>
      <c r="F45" s="108"/>
      <c r="G45" s="108"/>
      <c r="H45" s="108"/>
      <c r="I45" s="108"/>
      <c r="J45" s="96"/>
      <c r="K45" s="16"/>
    </row>
    <row r="46" spans="1:11" s="8" customFormat="1" x14ac:dyDescent="0.2">
      <c r="A46" s="13"/>
      <c r="B46" s="36">
        <v>1</v>
      </c>
      <c r="C46" s="27">
        <f>MIN(D33+D34,D15)</f>
        <v>0</v>
      </c>
      <c r="D46" s="27">
        <f>IF(B46&lt;D$32+1,(D$33+D$34-C$46)*VLOOKUP(B46,Data!A$40:B$49,2),0)</f>
        <v>0</v>
      </c>
      <c r="E46" s="14"/>
      <c r="F46" s="27">
        <f t="shared" ref="F46" si="6">I30</f>
        <v>0</v>
      </c>
      <c r="G46" s="27"/>
      <c r="H46" s="27">
        <f>IF(D$32+1=B46,MIN(C$46+SUM(D$46:D46),MAX(0,D$39-(D$33+D$34-C$46-SUM(D$46:D46)))),0)</f>
        <v>0</v>
      </c>
      <c r="I46" s="25">
        <f>IF(D$32+1=B46,IF(D$39&gt;D$33+D$34,D$39-D$33-D$34,IF(D$39&lt;D$33+D$34-SUM(C$46:D46),D$39-(D$33+D$34-SUM(C$46:D46)),0)),0)</f>
        <v>0</v>
      </c>
      <c r="J46" s="37">
        <f t="shared" ref="J46:J56" si="7">(C46+D46+F46+G46-H46)*(D$11*(1-D$12)+D$12*(1-D$11)+D$13*(1-0.5*D$11))+I46*(D$14+D$12)</f>
        <v>0</v>
      </c>
      <c r="K46" s="16"/>
    </row>
    <row r="47" spans="1:11" s="8" customFormat="1" x14ac:dyDescent="0.2">
      <c r="A47" s="13"/>
      <c r="B47" s="36">
        <v>2</v>
      </c>
      <c r="C47" s="23"/>
      <c r="D47" s="23">
        <f>IF(B47&lt;D$32+1,(D$33+D$34-C$46)*VLOOKUP(B47,Data!A$40:B$49,2),0)</f>
        <v>0</v>
      </c>
      <c r="E47" s="14"/>
      <c r="F47" s="23">
        <f>I31</f>
        <v>0</v>
      </c>
      <c r="G47" s="27">
        <f t="shared" ref="G47:G54" si="8">IF(D$36+1&gt;=B47,-IPMT(D$35,B46,D$36,D$34-D$37)+D$35*D$37,0)+IF(D$36+2=B47,D$35*D$37,0)</f>
        <v>0</v>
      </c>
      <c r="H47" s="23">
        <f>IF(D$32+1=B47,MIN(C$46+SUM(D$46:D47),MAX(0,D$39-(D$33+D$34-C$46-SUM(D$46:D47)))),0)</f>
        <v>0</v>
      </c>
      <c r="I47" s="23">
        <f>IF(D$32+1=B47,IF(D$39&gt;D$33+D$34,D$39-D$33-D$34,IF(D$39&lt;D$33+D$34-SUM(C$46:D47),D$39-(D$33+D$34-SUM(C$46:D47)),0)),0)</f>
        <v>0</v>
      </c>
      <c r="J47" s="38">
        <f t="shared" si="7"/>
        <v>0</v>
      </c>
      <c r="K47" s="16"/>
    </row>
    <row r="48" spans="1:11" s="8" customFormat="1" x14ac:dyDescent="0.2">
      <c r="A48" s="13"/>
      <c r="B48" s="36">
        <v>3</v>
      </c>
      <c r="C48" s="23"/>
      <c r="D48" s="23">
        <f>IF(B48&lt;D$32+1,(D$33+D$34-C$46)*VLOOKUP(B48,Data!A$40:B$49,2),0)</f>
        <v>0</v>
      </c>
      <c r="E48" s="14"/>
      <c r="F48" s="23">
        <f t="shared" ref="F48:F56" si="9">I32</f>
        <v>0</v>
      </c>
      <c r="G48" s="23">
        <f t="shared" si="8"/>
        <v>0</v>
      </c>
      <c r="H48" s="23">
        <f>IF(D$32+1=B48,MIN(C$46+SUM(D$46:D48),MAX(0,D$39-(D$33+D$34-C$46-SUM(D$46:D48)))),0)</f>
        <v>0</v>
      </c>
      <c r="I48" s="23">
        <f>IF(D$32+1=B48,IF(D$39&gt;D$33+D$34,D$39-D$33-D$34,IF(D$39&lt;D$33+D$34-SUM(C$46:D48),D$39-(D$33+D$34-SUM(C$46:D48)),0)),0)</f>
        <v>0</v>
      </c>
      <c r="J48" s="38">
        <f t="shared" si="7"/>
        <v>0</v>
      </c>
      <c r="K48" s="16"/>
    </row>
    <row r="49" spans="1:13" s="8" customFormat="1" x14ac:dyDescent="0.2">
      <c r="A49" s="13"/>
      <c r="B49" s="36">
        <v>4</v>
      </c>
      <c r="C49" s="23"/>
      <c r="D49" s="23">
        <f>IF(B49&lt;D$32+1,(D$33+D$34-C$46)*VLOOKUP(B49,Data!A$40:B$49,2),0)</f>
        <v>0</v>
      </c>
      <c r="E49" s="14"/>
      <c r="F49" s="23">
        <f t="shared" si="9"/>
        <v>0</v>
      </c>
      <c r="G49" s="23">
        <f t="shared" si="8"/>
        <v>0</v>
      </c>
      <c r="H49" s="23">
        <f>IF(D$32+1=B49,MIN(C$46+SUM(D$46:D49),MAX(0,D$39-(D$33+D$34-C$46-SUM(D$46:D49)))),0)</f>
        <v>0</v>
      </c>
      <c r="I49" s="23">
        <f>IF(D$32+1=B49,IF(D$39&gt;D$33+D$34,D$39-D$33-D$34,IF(D$39&lt;D$33+D$34-SUM(C$46:D49),D$39-(D$33+D$34-SUM(C$46:D49)),0)),0)</f>
        <v>0</v>
      </c>
      <c r="J49" s="38">
        <f t="shared" si="7"/>
        <v>0</v>
      </c>
      <c r="K49" s="16"/>
    </row>
    <row r="50" spans="1:13" s="8" customFormat="1" x14ac:dyDescent="0.2">
      <c r="A50" s="13"/>
      <c r="B50" s="36">
        <v>5</v>
      </c>
      <c r="C50" s="23"/>
      <c r="D50" s="23">
        <f>IF(B50&lt;D$32+1,(D$33+D$34-C$46)*VLOOKUP(B50,Data!A$40:B$49,2),0)</f>
        <v>0</v>
      </c>
      <c r="E50" s="14"/>
      <c r="F50" s="23">
        <f t="shared" si="9"/>
        <v>0</v>
      </c>
      <c r="G50" s="23">
        <f t="shared" si="8"/>
        <v>0</v>
      </c>
      <c r="H50" s="23">
        <f>IF(D$32+1=B50,MIN(C$46+SUM(D$46:D50),MAX(0,D$39-(D$33+D$34-C$46-SUM(D$46:D50)))),0)</f>
        <v>0</v>
      </c>
      <c r="I50" s="23">
        <f>IF(D$32+1=B50,IF(D$39&gt;D$33+D$34,D$39-D$33-D$34,IF(D$39&lt;D$33+D$34-SUM(C$46:D50),D$39-(D$33+D$34-SUM(C$46:D50)),0)),0)</f>
        <v>0</v>
      </c>
      <c r="J50" s="38">
        <f t="shared" si="7"/>
        <v>0</v>
      </c>
      <c r="K50" s="16"/>
    </row>
    <row r="51" spans="1:13" s="8" customFormat="1" x14ac:dyDescent="0.2">
      <c r="A51" s="13"/>
      <c r="B51" s="36">
        <v>6</v>
      </c>
      <c r="C51" s="23"/>
      <c r="D51" s="23">
        <f>IF(B51&lt;D$32+1,(D$33+D$34-C$46)*VLOOKUP(B51,Data!A$40:B$49,2),0)</f>
        <v>0</v>
      </c>
      <c r="E51" s="14"/>
      <c r="F51" s="23">
        <f t="shared" si="9"/>
        <v>0</v>
      </c>
      <c r="G51" s="23">
        <f t="shared" si="8"/>
        <v>0</v>
      </c>
      <c r="H51" s="23">
        <f>IF(D$32+1=B51,MIN(C$46+SUM(D$46:D51),MAX(0,D$39-(D$33+D$34-C$46-SUM(D$46:D51)))),0)</f>
        <v>0</v>
      </c>
      <c r="I51" s="23">
        <f>IF(D$32+1=B51,IF(D$39&gt;D$33+D$34,D$39-D$33-D$34,IF(D$39&lt;D$33+D$34-SUM(C$46:D51),D$39-(D$33+D$34-SUM(C$46:D51)),0)),0)</f>
        <v>0</v>
      </c>
      <c r="J51" s="38">
        <f t="shared" si="7"/>
        <v>0</v>
      </c>
      <c r="K51" s="16"/>
    </row>
    <row r="52" spans="1:13" s="8" customFormat="1" x14ac:dyDescent="0.2">
      <c r="A52" s="13"/>
      <c r="B52" s="36">
        <v>7</v>
      </c>
      <c r="C52" s="23"/>
      <c r="D52" s="23">
        <f>IF(B52&lt;D$32+1,(D$33+D$34-C$46)*VLOOKUP(B52,Data!A$40:B$49,2),0)</f>
        <v>0</v>
      </c>
      <c r="E52" s="14"/>
      <c r="F52" s="23">
        <f t="shared" si="9"/>
        <v>0</v>
      </c>
      <c r="G52" s="23">
        <f t="shared" si="8"/>
        <v>0</v>
      </c>
      <c r="H52" s="23">
        <f>IF(D$32+1=B52,MIN(C$46+SUM(D$46:D52),MAX(0,D$39-(D$33+D$34-C$46-SUM(D$46:D52)))),0)</f>
        <v>0</v>
      </c>
      <c r="I52" s="23">
        <f>IF(D$32+1=B52,IF(D$39&gt;D$33+D$34,D$39-D$33-D$34,IF(D$39&lt;D$33+D$34-SUM(C$46:D52),D$39-(D$33+D$34-SUM(C$46:D52)),0)),0)</f>
        <v>0</v>
      </c>
      <c r="J52" s="38">
        <f t="shared" si="7"/>
        <v>0</v>
      </c>
      <c r="K52" s="16"/>
    </row>
    <row r="53" spans="1:13" s="8" customFormat="1" x14ac:dyDescent="0.2">
      <c r="A53" s="13"/>
      <c r="B53" s="36">
        <v>8</v>
      </c>
      <c r="C53" s="23"/>
      <c r="D53" s="23">
        <f>IF(B53&lt;D$32+1,(D$33+D$34-C$46)*VLOOKUP(B53,Data!A$40:B$49,2),0)</f>
        <v>0</v>
      </c>
      <c r="E53" s="14"/>
      <c r="F53" s="23">
        <f t="shared" si="9"/>
        <v>0</v>
      </c>
      <c r="G53" s="23">
        <f t="shared" si="8"/>
        <v>0</v>
      </c>
      <c r="H53" s="23">
        <f>IF(D$32+1=B53,MIN(C$46+SUM(D$46:D53),MAX(0,D$39-(D$33+D$34-C$46-SUM(D$46:D53)))),0)</f>
        <v>0</v>
      </c>
      <c r="I53" s="23">
        <f>IF(D$32+1=B53,IF(D$39&gt;D$33+D$34,D$39-D$33-D$34,IF(D$39&lt;D$33+D$34-SUM(C$46:D53),D$39-(D$33+D$34-SUM(C$46:D53)),0)),0)</f>
        <v>0</v>
      </c>
      <c r="J53" s="38">
        <f t="shared" si="7"/>
        <v>0</v>
      </c>
      <c r="K53" s="16"/>
    </row>
    <row r="54" spans="1:13" s="8" customFormat="1" x14ac:dyDescent="0.2">
      <c r="A54" s="13"/>
      <c r="B54" s="36">
        <v>9</v>
      </c>
      <c r="C54" s="23"/>
      <c r="D54" s="23">
        <f>IF(B54&lt;D$32+1,(D$33+D$34-C$46)*VLOOKUP(B54,Data!A$40:B$49,2),0)</f>
        <v>0</v>
      </c>
      <c r="E54" s="14"/>
      <c r="F54" s="23">
        <f t="shared" si="9"/>
        <v>0</v>
      </c>
      <c r="G54" s="23">
        <f t="shared" si="8"/>
        <v>0</v>
      </c>
      <c r="H54" s="23">
        <f>IF(D$32+1=B54,MIN(C$46+SUM(D$46:D54),MAX(0,D$39-(D$33+D$34-C$46-SUM(D$46:D54)))),0)</f>
        <v>0</v>
      </c>
      <c r="I54" s="23">
        <f>IF(D$32+1=B54,IF(D$39&gt;D$33+D$34,D$39-D$33-D$34,IF(D$39&lt;D$33+D$34-SUM(C$46:D54),D$39-(D$33+D$34-SUM(C$46:D54)),0)),0)</f>
        <v>0</v>
      </c>
      <c r="J54" s="38">
        <f t="shared" si="7"/>
        <v>0</v>
      </c>
      <c r="K54" s="16"/>
    </row>
    <row r="55" spans="1:13" s="8" customFormat="1" x14ac:dyDescent="0.2">
      <c r="A55" s="13"/>
      <c r="B55" s="36">
        <v>10</v>
      </c>
      <c r="C55" s="14"/>
      <c r="D55" s="23">
        <f>IF(B55&lt;D$32+1,(D$33+D$34-C$46)*VLOOKUP(B55,Data!A$40:B$49,2),0)</f>
        <v>0</v>
      </c>
      <c r="E55" s="14"/>
      <c r="F55" s="23">
        <f t="shared" si="9"/>
        <v>0</v>
      </c>
      <c r="G55" s="23">
        <f>IF(D$36+1&gt;=B55,-IPMT(D$35,B54,D$36,D$34-D$37)+D$35*D$37,0)+IF(D$36+2=B55,D$35*D$37,0)</f>
        <v>0</v>
      </c>
      <c r="H55" s="23">
        <f>IF(D$32+1=B55,MIN(C$46+SUM(D$46:D55),MAX(0,D$39-(D$33+D$34-C$46-SUM(D$46:D55)))),0)</f>
        <v>0</v>
      </c>
      <c r="I55" s="23">
        <f>IF(D$32+1=B55,IF(D$39&gt;D$33+D$34,D$39-D$33-D$34,IF(D$39&lt;D$33+D$34-SUM(C$46:D55),D$39-(D$33+D$34-SUM(C$46:D55)),0)),0)</f>
        <v>0</v>
      </c>
      <c r="J55" s="38">
        <f t="shared" si="7"/>
        <v>0</v>
      </c>
      <c r="K55" s="16"/>
    </row>
    <row r="56" spans="1:13" s="8" customFormat="1" ht="13.5" thickBot="1" x14ac:dyDescent="0.25">
      <c r="A56" s="18"/>
      <c r="B56" s="109">
        <v>11</v>
      </c>
      <c r="C56" s="40"/>
      <c r="D56" s="40">
        <f>IF(B56&lt;D$32+1,(D$33+D$34-C$46)*VLOOKUP(B56,Data!A$40:B$49,2),0)</f>
        <v>0</v>
      </c>
      <c r="E56" s="19"/>
      <c r="F56" s="40">
        <f t="shared" si="9"/>
        <v>0</v>
      </c>
      <c r="G56" s="40">
        <f>IF(D$36+1&gt;=B56,-IPMT(D$35,B55,D$36,D$34-D$37)+D$35*D$37,0)+IF(D$36+2=B55,D$35*D$37,0)</f>
        <v>0</v>
      </c>
      <c r="H56" s="40">
        <f>IF(D$32+1=B56,MIN(C$46+SUM(D$46:D56),MAX(0,D$39-(D$33+D$34-C$46-SUM(D$46:D56)))),0)</f>
        <v>0</v>
      </c>
      <c r="I56" s="40">
        <f>IF(D$32+1=B56,IF(D$39&gt;D$33+D$34,D$39-D$33-D$34,IF(D$39&lt;D$33+D$34-SUM(C$46:D56),D$39-(D$33+D$34-SUM(C$46:D56)),0)),0)</f>
        <v>0</v>
      </c>
      <c r="J56" s="41">
        <f t="shared" si="7"/>
        <v>0</v>
      </c>
      <c r="K56" s="20"/>
    </row>
    <row r="57" spans="1:13" s="8" customFormat="1" ht="13.5" thickBot="1" x14ac:dyDescent="0.25">
      <c r="A57" s="14"/>
      <c r="B57" s="14"/>
      <c r="C57" s="14"/>
      <c r="D57" s="23"/>
      <c r="E57" s="14"/>
      <c r="F57" s="27"/>
      <c r="G57" s="23"/>
      <c r="H57" s="23"/>
      <c r="I57" s="27"/>
      <c r="J57" s="23"/>
      <c r="K57" s="23"/>
    </row>
    <row r="58" spans="1:13" s="8" customFormat="1" ht="22.5" customHeight="1" x14ac:dyDescent="0.25">
      <c r="A58" s="135" t="s">
        <v>90</v>
      </c>
      <c r="B58" s="136"/>
      <c r="C58" s="136"/>
      <c r="D58" s="137" t="s">
        <v>87</v>
      </c>
      <c r="E58" s="136"/>
      <c r="F58" s="138" t="s">
        <v>91</v>
      </c>
      <c r="G58" s="136"/>
      <c r="H58" s="136"/>
      <c r="I58" s="136"/>
      <c r="J58" s="136"/>
      <c r="K58" s="139"/>
    </row>
    <row r="59" spans="1:13" s="8" customFormat="1" x14ac:dyDescent="0.2">
      <c r="A59" s="113" t="s">
        <v>17</v>
      </c>
      <c r="B59" s="14"/>
      <c r="C59" s="14"/>
      <c r="D59" s="102" t="str">
        <f>VLOOKUP($C$9,Data!A$5:H$37,2)</f>
        <v>Combine SP unit</v>
      </c>
      <c r="E59" s="14"/>
      <c r="F59" s="123"/>
      <c r="G59" s="83" t="s">
        <v>123</v>
      </c>
      <c r="H59" s="83" t="s">
        <v>89</v>
      </c>
      <c r="I59" s="83"/>
      <c r="J59" s="83" t="s">
        <v>4</v>
      </c>
      <c r="K59" s="84" t="s">
        <v>79</v>
      </c>
    </row>
    <row r="60" spans="1:13" s="8" customFormat="1" x14ac:dyDescent="0.2">
      <c r="A60" s="113" t="s">
        <v>18</v>
      </c>
      <c r="B60" s="14"/>
      <c r="C60" s="24"/>
      <c r="D60" s="55"/>
      <c r="E60" s="25"/>
      <c r="F60" s="85" t="s">
        <v>0</v>
      </c>
      <c r="G60" s="75" t="s">
        <v>81</v>
      </c>
      <c r="H60" s="75" t="s">
        <v>74</v>
      </c>
      <c r="I60" s="75" t="s">
        <v>3</v>
      </c>
      <c r="J60" s="75" t="s">
        <v>5</v>
      </c>
      <c r="K60" s="76" t="s">
        <v>80</v>
      </c>
    </row>
    <row r="61" spans="1:13" s="8" customFormat="1" x14ac:dyDescent="0.2">
      <c r="A61" s="113" t="s">
        <v>113</v>
      </c>
      <c r="B61" s="14"/>
      <c r="C61" s="24"/>
      <c r="D61" s="56"/>
      <c r="E61" s="17"/>
      <c r="F61" s="86">
        <v>0</v>
      </c>
      <c r="G61" s="87">
        <f>IF(F61&lt;D$68,D$65,0)+IF(D$69&gt;0,IF(F61=D$68,D$70,0))</f>
        <v>0</v>
      </c>
      <c r="H61" s="87"/>
      <c r="I61" s="87"/>
      <c r="J61" s="87"/>
      <c r="K61" s="92">
        <f t="shared" ref="K61:K71" si="10">G61+H61+I61+J61</f>
        <v>0</v>
      </c>
    </row>
    <row r="62" spans="1:13" s="8" customFormat="1" x14ac:dyDescent="0.2">
      <c r="A62" s="113" t="s">
        <v>114</v>
      </c>
      <c r="B62" s="14"/>
      <c r="C62" s="24"/>
      <c r="D62" s="56"/>
      <c r="E62" s="17"/>
      <c r="F62" s="88">
        <v>1</v>
      </c>
      <c r="G62" s="53">
        <f t="shared" ref="G62:G71" si="11">IF(F62&lt;D$68,D$66,0)+IF(D$69&gt;0,IF(F62=D$68,D$70,0))</f>
        <v>0</v>
      </c>
      <c r="H62" s="25">
        <f t="shared" ref="H62:H71" si="12">IF(D$69&gt;0,IF(F62=D$68+D$69,-D$71,0),0)</f>
        <v>0</v>
      </c>
      <c r="I62" s="25">
        <f>IF(D$64&gt;=F62,0,IF(F62&lt;=D$68+D$69,D$28*VLOOKUP(C$9,Data!$A$5:$D$37,3)*(((D$62+D$63*F62)/1000)^VLOOKUP(C$9,Data!$A$5:$D$37,4)-((D$62+D$63*(F62-1))/1000)^VLOOKUP(C$9,Data!$A$5:$D$37,4)),0))</f>
        <v>0</v>
      </c>
      <c r="J62" s="25">
        <f>-J78</f>
        <v>0</v>
      </c>
      <c r="K62" s="79">
        <f t="shared" si="10"/>
        <v>0</v>
      </c>
    </row>
    <row r="63" spans="1:13" s="8" customFormat="1" x14ac:dyDescent="0.2">
      <c r="A63" s="113" t="s">
        <v>19</v>
      </c>
      <c r="B63" s="14"/>
      <c r="C63" s="24"/>
      <c r="D63" s="56"/>
      <c r="E63" s="17"/>
      <c r="F63" s="88">
        <v>2</v>
      </c>
      <c r="G63" s="53">
        <f t="shared" si="11"/>
        <v>0</v>
      </c>
      <c r="H63" s="53">
        <f t="shared" si="12"/>
        <v>0</v>
      </c>
      <c r="I63" s="53">
        <f>IF(D$64&gt;=F63,0,IF(F63&lt;=D$68+D$69,D$28*VLOOKUP(C$9,Data!$A$5:$D$37,3)*(((D$62+D$63*F63)/1000)^VLOOKUP(C$9,Data!$A$5:$D$37,4)-((D$62+D$63*(F63-1))/1000)^VLOOKUP(C$9,Data!$A$5:$D$37,4)),0))</f>
        <v>0</v>
      </c>
      <c r="J63" s="53">
        <f t="shared" ref="J63:J72" si="13">-J79</f>
        <v>0</v>
      </c>
      <c r="K63" s="79">
        <f t="shared" si="10"/>
        <v>0</v>
      </c>
      <c r="M63" s="42"/>
    </row>
    <row r="64" spans="1:13" s="8" customFormat="1" x14ac:dyDescent="0.2">
      <c r="A64" s="113" t="s">
        <v>76</v>
      </c>
      <c r="B64" s="14"/>
      <c r="C64" s="14"/>
      <c r="D64" s="56"/>
      <c r="E64" s="17"/>
      <c r="F64" s="88">
        <v>3</v>
      </c>
      <c r="G64" s="53">
        <f t="shared" si="11"/>
        <v>0</v>
      </c>
      <c r="H64" s="53">
        <f t="shared" si="12"/>
        <v>0</v>
      </c>
      <c r="I64" s="53">
        <f>IF(D$64&gt;=F64,0,IF(F64&lt;=D$68+D$69,D$28*VLOOKUP(C$9,Data!$A$5:$D$37,3)*(((D$62+D$63*F64)/1000)^VLOOKUP(C$9,Data!$A$5:$D$37,4)-((D$62+D$63*(F64-1))/1000)^VLOOKUP(C$9,Data!$A$5:$D$37,4)),0))</f>
        <v>0</v>
      </c>
      <c r="J64" s="53">
        <f t="shared" si="13"/>
        <v>0</v>
      </c>
      <c r="K64" s="79">
        <f t="shared" si="10"/>
        <v>0</v>
      </c>
    </row>
    <row r="65" spans="1:16" s="8" customFormat="1" x14ac:dyDescent="0.2">
      <c r="A65" s="113" t="s">
        <v>73</v>
      </c>
      <c r="B65" s="14"/>
      <c r="C65" s="14"/>
      <c r="D65" s="55"/>
      <c r="E65" s="25"/>
      <c r="F65" s="88">
        <v>4</v>
      </c>
      <c r="G65" s="53">
        <f t="shared" si="11"/>
        <v>0</v>
      </c>
      <c r="H65" s="53">
        <f t="shared" si="12"/>
        <v>0</v>
      </c>
      <c r="I65" s="53">
        <f>IF(D$64&gt;=F65,0,IF(F65&lt;=D$68+D$69,D$28*VLOOKUP(C$9,Data!$A$5:$D$37,3)*(((D$62+D$63*F65)/1000)^VLOOKUP(C$9,Data!$A$5:$D$37,4)-((D$62+D$63*(F65-1))/1000)^VLOOKUP(C$9,Data!$A$5:$D$37,4)),0))</f>
        <v>0</v>
      </c>
      <c r="J65" s="53">
        <f t="shared" si="13"/>
        <v>0</v>
      </c>
      <c r="K65" s="79">
        <f t="shared" si="10"/>
        <v>0</v>
      </c>
    </row>
    <row r="66" spans="1:16" s="8" customFormat="1" x14ac:dyDescent="0.2">
      <c r="A66" s="113" t="s">
        <v>75</v>
      </c>
      <c r="B66" s="14"/>
      <c r="C66" s="14"/>
      <c r="D66" s="55"/>
      <c r="E66" s="25"/>
      <c r="F66" s="88">
        <v>5</v>
      </c>
      <c r="G66" s="53">
        <f t="shared" si="11"/>
        <v>0</v>
      </c>
      <c r="H66" s="53">
        <f t="shared" si="12"/>
        <v>0</v>
      </c>
      <c r="I66" s="53">
        <f>IF(D$64&gt;=F66,0,IF(F66&lt;=D$68+D$69,D$28*VLOOKUP(C$9,Data!$A$5:$D$37,3)*(((D$62+D$63*F66)/1000)^VLOOKUP(C$9,Data!$A$5:$D$37,4)-((D$62+D$63*(F66-1))/1000)^VLOOKUP(C$9,Data!$A$5:$D$37,4)),0))</f>
        <v>0</v>
      </c>
      <c r="J66" s="53">
        <f t="shared" si="13"/>
        <v>0</v>
      </c>
      <c r="K66" s="79">
        <f t="shared" si="10"/>
        <v>0</v>
      </c>
    </row>
    <row r="67" spans="1:16" s="8" customFormat="1" x14ac:dyDescent="0.2">
      <c r="A67" s="113" t="s">
        <v>25</v>
      </c>
      <c r="B67" s="14"/>
      <c r="C67" s="14"/>
      <c r="D67" s="56"/>
      <c r="E67" s="17"/>
      <c r="F67" s="88">
        <v>6</v>
      </c>
      <c r="G67" s="53">
        <f t="shared" si="11"/>
        <v>0</v>
      </c>
      <c r="H67" s="53">
        <f t="shared" si="12"/>
        <v>0</v>
      </c>
      <c r="I67" s="53">
        <f>IF(D$64&gt;=F67,0,IF(F67&lt;=D$68+D$69,D$28*VLOOKUP(C$9,Data!$A$5:$D$37,3)*(((D$62+D$63*F67)/1000)^VLOOKUP(C$9,Data!$A$5:$D$37,4)-((D$62+D$63*(F67-1))/1000)^VLOOKUP(C$9,Data!$A$5:$D$37,4)),0))</f>
        <v>0</v>
      </c>
      <c r="J67" s="53">
        <f t="shared" si="13"/>
        <v>0</v>
      </c>
      <c r="K67" s="79">
        <f t="shared" si="10"/>
        <v>0</v>
      </c>
    </row>
    <row r="68" spans="1:16" s="8" customFormat="1" x14ac:dyDescent="0.2">
      <c r="A68" s="113" t="s">
        <v>26</v>
      </c>
      <c r="B68" s="14"/>
      <c r="C68" s="14"/>
      <c r="D68" s="56"/>
      <c r="E68" s="17"/>
      <c r="F68" s="88">
        <v>7</v>
      </c>
      <c r="G68" s="53">
        <f t="shared" si="11"/>
        <v>0</v>
      </c>
      <c r="H68" s="53">
        <f t="shared" si="12"/>
        <v>0</v>
      </c>
      <c r="I68" s="53">
        <f>IF(D$64&gt;=F68,0,IF(F68&lt;=D$68+D$69,D$28*VLOOKUP(C$9,Data!$A$5:$D$37,3)*(((D$62+D$63*F68)/1000)^VLOOKUP(C$9,Data!$A$5:$D$37,4)-((D$62+D$63*(F68-1))/1000)^VLOOKUP(C$9,Data!$A$5:$D$37,4)),0))</f>
        <v>0</v>
      </c>
      <c r="J68" s="53">
        <f t="shared" si="13"/>
        <v>0</v>
      </c>
      <c r="K68" s="79">
        <f t="shared" si="10"/>
        <v>0</v>
      </c>
    </row>
    <row r="69" spans="1:16" s="8" customFormat="1" x14ac:dyDescent="0.2">
      <c r="A69" s="113" t="s">
        <v>77</v>
      </c>
      <c r="B69" s="14"/>
      <c r="C69" s="14"/>
      <c r="D69" s="56"/>
      <c r="E69" s="17"/>
      <c r="F69" s="88">
        <v>8</v>
      </c>
      <c r="G69" s="53">
        <f t="shared" si="11"/>
        <v>0</v>
      </c>
      <c r="H69" s="53">
        <f t="shared" si="12"/>
        <v>0</v>
      </c>
      <c r="I69" s="53">
        <f>IF(D$64&gt;=F69,0,IF(F69&lt;=D$68+D$69,D$28*VLOOKUP(C$9,Data!$A$5:$D$37,3)*(((D$62+D$63*F69)/1000)^VLOOKUP(C$9,Data!$A$5:$D$37,4)-((D$62+D$63*(F69-1))/1000)^VLOOKUP(C$9,Data!$A$5:$D$37,4)),0))</f>
        <v>0</v>
      </c>
      <c r="J69" s="53">
        <f t="shared" si="13"/>
        <v>0</v>
      </c>
      <c r="K69" s="79">
        <f t="shared" si="10"/>
        <v>0</v>
      </c>
    </row>
    <row r="70" spans="1:16" s="8" customFormat="1" x14ac:dyDescent="0.2">
      <c r="A70" s="113" t="s">
        <v>78</v>
      </c>
      <c r="B70" s="14"/>
      <c r="C70" s="14"/>
      <c r="D70" s="55"/>
      <c r="E70" s="25"/>
      <c r="F70" s="88">
        <v>9</v>
      </c>
      <c r="G70" s="53">
        <f t="shared" si="11"/>
        <v>0</v>
      </c>
      <c r="H70" s="53">
        <f t="shared" si="12"/>
        <v>0</v>
      </c>
      <c r="I70" s="53">
        <f>IF(D$64&gt;=F70,0,IF(F70&lt;=D$68+D$69,D$28*VLOOKUP(C$9,Data!$A$5:$D$37,3)*(((D$62+D$63*F70)/1000)^VLOOKUP(C$9,Data!$A$5:$D$37,4)-((D$62+D$63*(F70-1))/1000)^VLOOKUP(C$9,Data!$A$5:$D$37,4)),0))</f>
        <v>0</v>
      </c>
      <c r="J70" s="53">
        <f t="shared" si="13"/>
        <v>0</v>
      </c>
      <c r="K70" s="79">
        <f t="shared" si="10"/>
        <v>0</v>
      </c>
    </row>
    <row r="71" spans="1:16" s="8" customFormat="1" x14ac:dyDescent="0.2">
      <c r="A71" s="113" t="s">
        <v>110</v>
      </c>
      <c r="B71" s="14"/>
      <c r="C71" s="14"/>
      <c r="D71" s="27">
        <f>IF(D69&gt;0,D60*(VLOOKUP(C9,Data!$A$5:$H$37,6)-VLOOKUP(C9,Data!$A$5:$H$37,7)*((D61+D68+D69)^0.5)-VLOOKUP(C9,Data!$A$5:$H$37,8)*(((D62+D63*(D68+D69))/(D61+D68+D69))^0.5))^2,0)</f>
        <v>0</v>
      </c>
      <c r="E71" s="27"/>
      <c r="F71" s="88">
        <v>10</v>
      </c>
      <c r="G71" s="53">
        <f t="shared" si="11"/>
        <v>0</v>
      </c>
      <c r="H71" s="53">
        <f t="shared" si="12"/>
        <v>0</v>
      </c>
      <c r="I71" s="53">
        <f>IF(D$64&gt;=F71,0,IF(F71&lt;=D$68+D$69,D$28*VLOOKUP(C$9,Data!$A$5:$D$37,3)*(((D$62+D$63*F71)/1000)^VLOOKUP(C$9,Data!$A$5:$D$37,4)-((D$62+D$63*(F71-1))/1000)^VLOOKUP(C$9,Data!$A$5:$D$37,4)),0))</f>
        <v>0</v>
      </c>
      <c r="J71" s="53">
        <f t="shared" si="13"/>
        <v>0</v>
      </c>
      <c r="K71" s="79">
        <f t="shared" si="10"/>
        <v>0</v>
      </c>
    </row>
    <row r="72" spans="1:16" s="8" customFormat="1" x14ac:dyDescent="0.2">
      <c r="A72" s="13"/>
      <c r="B72" s="14"/>
      <c r="C72" s="14"/>
      <c r="D72" s="27"/>
      <c r="E72" s="27"/>
      <c r="F72" s="89">
        <v>11</v>
      </c>
      <c r="G72" s="90">
        <f>IF(F72&lt;D$68,D$66,0)+IF(D$69&gt;0,IF(F72=D$68,D$70,0))</f>
        <v>0</v>
      </c>
      <c r="H72" s="90">
        <f>IF(D$69&gt;0,IF(F72=D$68+D$69,-D$71,0),0)</f>
        <v>0</v>
      </c>
      <c r="I72" s="90">
        <f>IF(D$64&gt;=F72,0,IF(F72&lt;=D$68+D$69,D$28*VLOOKUP(C$9,Data!$C$5:$D$37,1)*(((D$62+D$63*F72)/1000)^VLOOKUP(C$9,Data!$C$5:$D$37,2)-((D$62+D$63*(F72-1))/1000)^VLOOKUP(C$9,Data!$C$5:$D$37,2)),0))</f>
        <v>0</v>
      </c>
      <c r="J72" s="90">
        <f t="shared" si="13"/>
        <v>0</v>
      </c>
      <c r="K72" s="91">
        <f>G72+H72+I72+J72</f>
        <v>0</v>
      </c>
    </row>
    <row r="73" spans="1:16" s="8" customFormat="1" x14ac:dyDescent="0.2">
      <c r="A73" s="13"/>
      <c r="B73" s="14"/>
      <c r="C73" s="14"/>
      <c r="D73" s="14"/>
      <c r="E73" s="14"/>
      <c r="F73" s="17" t="s">
        <v>97</v>
      </c>
      <c r="G73" s="25">
        <f>SUM(G61:G72)</f>
        <v>0</v>
      </c>
      <c r="H73" s="25">
        <f>SUM(H61:H72)</f>
        <v>0</v>
      </c>
      <c r="I73" s="25">
        <f>SUM(I61:I72)</f>
        <v>0</v>
      </c>
      <c r="J73" s="25">
        <f>SUM(J61:J72)</f>
        <v>0</v>
      </c>
      <c r="K73" s="52">
        <f>SUM(K61:K72)</f>
        <v>0</v>
      </c>
    </row>
    <row r="74" spans="1:16" s="8" customFormat="1" x14ac:dyDescent="0.2">
      <c r="A74" s="13"/>
      <c r="B74" s="43" t="s">
        <v>92</v>
      </c>
      <c r="C74" s="14"/>
      <c r="D74" s="29"/>
      <c r="E74" s="29"/>
      <c r="F74" s="14"/>
      <c r="G74" s="14"/>
      <c r="H74" s="14"/>
      <c r="I74" s="44"/>
      <c r="J74" s="44"/>
      <c r="K74" s="45"/>
    </row>
    <row r="75" spans="1:16" s="8" customFormat="1" x14ac:dyDescent="0.2">
      <c r="A75" s="13"/>
      <c r="B75" s="30"/>
      <c r="C75" s="46" t="s">
        <v>93</v>
      </c>
      <c r="D75" s="46" t="s">
        <v>6</v>
      </c>
      <c r="E75" s="14"/>
      <c r="F75" s="46" t="s">
        <v>8</v>
      </c>
      <c r="G75" s="46" t="s">
        <v>2</v>
      </c>
      <c r="H75" s="46" t="s">
        <v>12</v>
      </c>
      <c r="I75" s="31" t="s">
        <v>13</v>
      </c>
      <c r="J75" s="47" t="s">
        <v>14</v>
      </c>
      <c r="K75" s="16"/>
    </row>
    <row r="76" spans="1:16" s="8" customFormat="1" x14ac:dyDescent="0.2">
      <c r="A76" s="13"/>
      <c r="B76" s="33" t="s">
        <v>0</v>
      </c>
      <c r="C76" s="34" t="s">
        <v>94</v>
      </c>
      <c r="D76" s="34" t="s">
        <v>7</v>
      </c>
      <c r="E76" s="29"/>
      <c r="F76" s="34" t="s">
        <v>9</v>
      </c>
      <c r="G76" s="34" t="s">
        <v>16</v>
      </c>
      <c r="H76" s="34" t="s">
        <v>7</v>
      </c>
      <c r="I76" s="34" t="s">
        <v>83</v>
      </c>
      <c r="J76" s="35" t="s">
        <v>15</v>
      </c>
      <c r="K76" s="16"/>
    </row>
    <row r="77" spans="1:16" s="8" customFormat="1" x14ac:dyDescent="0.2">
      <c r="A77" s="13"/>
      <c r="B77" s="107"/>
      <c r="C77" s="108"/>
      <c r="D77" s="108"/>
      <c r="E77" s="108"/>
      <c r="F77" s="108"/>
      <c r="G77" s="110"/>
      <c r="H77" s="108"/>
      <c r="I77" s="108"/>
      <c r="J77" s="96"/>
      <c r="K77" s="16"/>
    </row>
    <row r="78" spans="1:16" s="8" customFormat="1" x14ac:dyDescent="0.2">
      <c r="A78" s="13"/>
      <c r="B78" s="36">
        <v>1</v>
      </c>
      <c r="C78" s="48">
        <f t="shared" ref="C78:C88" si="14">IF(B78=D$68+1,IF(D$69&gt;0,MIN(D$70,D$15),0),0)</f>
        <v>0</v>
      </c>
      <c r="D78" s="48">
        <f>IF(B78&lt;D$68+D$69+1,IF(B78&gt;D$68,(D$70-SUM(C$78:C$87))*VLOOKUP(B78-D$68,Data!A$40:B$49,2),0),0)</f>
        <v>0</v>
      </c>
      <c r="E78" s="14"/>
      <c r="F78" s="25">
        <f t="shared" ref="F78" si="15">I62</f>
        <v>0</v>
      </c>
      <c r="G78" s="27">
        <f>IF(F61&lt;D$68,D$65,0)</f>
        <v>0</v>
      </c>
      <c r="H78" s="27">
        <f>IF(D$69=0,0,IF(D$68+D$69+1=B78,MIN(SUM(C$78:C$87)+SUM(D$78:D78),MAX(0,D$71-(D$70-SUM(C$78:C$87)-SUM(D$78:D78)))),0))</f>
        <v>0</v>
      </c>
      <c r="I78" s="25">
        <f>IF(D$69=0,0,IF(D$68+D$69+1=B78,IF(D$71&gt;D$70,D$71-D$70,IF(D$71&lt;D$70-SUM(C$78:D78),D$71-(D$70-SUM(C$78:D78)),0)),0))</f>
        <v>0</v>
      </c>
      <c r="J78" s="37">
        <f t="shared" ref="J78:J87" si="16">(C78+D78+F78+G78-H78)*(D$11*(1-D$12)+D$12*(1-D$11)+D$13*(1-0.5*D$11))+I78*D$14</f>
        <v>0</v>
      </c>
      <c r="K78" s="16"/>
      <c r="L78" s="49"/>
      <c r="M78" s="50"/>
      <c r="N78" s="50"/>
      <c r="O78" s="50"/>
      <c r="P78" s="50"/>
    </row>
    <row r="79" spans="1:16" s="8" customFormat="1" x14ac:dyDescent="0.2">
      <c r="A79" s="13"/>
      <c r="B79" s="36">
        <v>2</v>
      </c>
      <c r="C79" s="23">
        <f t="shared" si="14"/>
        <v>0</v>
      </c>
      <c r="D79" s="23">
        <f>IF(B79&lt;D$68+D$69+1,IF(B79&gt;D$68,(D$70-SUM(C$78:C$87))*VLOOKUP(B79-D$68,Data!A$40:B$49,2),0),0)</f>
        <v>0</v>
      </c>
      <c r="E79" s="14"/>
      <c r="F79" s="53">
        <f>I63</f>
        <v>0</v>
      </c>
      <c r="G79" s="23">
        <f t="shared" ref="G79:G87" si="17">IF(F62&lt;D$68,D$66,0)</f>
        <v>0</v>
      </c>
      <c r="H79" s="23">
        <f>IF(D$69=0,0,IF(D$68+D$69+1=B79,MIN(SUM(C$78:C$87)+SUM(D$78:D79),MAX(0,D$71-(D$70-SUM(C$78:C$87)-SUM(D$78:D79)))),0))</f>
        <v>0</v>
      </c>
      <c r="I79" s="23">
        <f>IF(D$69=0,0,IF(D$68+D$69+1=B79,IF(D$71&gt;D$70,D$71-D$70,IF(D$71&lt;D$70-SUM(C$78:D79),D$71-(D$70-SUM(C$78:D79)),0)),0))</f>
        <v>0</v>
      </c>
      <c r="J79" s="38">
        <f t="shared" si="16"/>
        <v>0</v>
      </c>
      <c r="K79" s="16"/>
      <c r="L79" s="49"/>
      <c r="M79" s="50"/>
      <c r="N79" s="50"/>
      <c r="O79" s="50"/>
      <c r="P79" s="50"/>
    </row>
    <row r="80" spans="1:16" s="8" customFormat="1" x14ac:dyDescent="0.2">
      <c r="A80" s="13"/>
      <c r="B80" s="36">
        <v>3</v>
      </c>
      <c r="C80" s="23">
        <f t="shared" si="14"/>
        <v>0</v>
      </c>
      <c r="D80" s="23">
        <f>IF(B80&lt;D$68+D$69+1,IF(B80&gt;D$68,(D$70-SUM(C$78:C$87))*VLOOKUP(B80-D$68,Data!A$40:B$49,2),0),0)</f>
        <v>0</v>
      </c>
      <c r="E80" s="14"/>
      <c r="F80" s="53">
        <f t="shared" ref="F80:F88" si="18">I64</f>
        <v>0</v>
      </c>
      <c r="G80" s="23">
        <f t="shared" si="17"/>
        <v>0</v>
      </c>
      <c r="H80" s="23">
        <f>IF(D$69=0,0,IF(D$68+D$69+1=B80,MIN(SUM(C$78:C$87)+SUM(D$78:D80),MAX(0,D$71-(D$70-SUM(C$78:C$87)-SUM(D$78:D80)))),0))</f>
        <v>0</v>
      </c>
      <c r="I80" s="23">
        <f>IF(D$69=0,0,IF(D$68+D$69+1=B80,IF(D$71&gt;D$70,D$71-D$70,IF(D$71&lt;D$70-SUM(C$78:D80),D$71-(D$70-SUM(C$78:D80)),0)),0))</f>
        <v>0</v>
      </c>
      <c r="J80" s="38">
        <f t="shared" si="16"/>
        <v>0</v>
      </c>
      <c r="K80" s="16"/>
      <c r="L80" s="49"/>
      <c r="M80" s="50"/>
      <c r="N80" s="50"/>
      <c r="O80" s="50"/>
      <c r="P80" s="50"/>
    </row>
    <row r="81" spans="1:16" s="8" customFormat="1" x14ac:dyDescent="0.2">
      <c r="A81" s="13"/>
      <c r="B81" s="36">
        <v>4</v>
      </c>
      <c r="C81" s="23">
        <f t="shared" si="14"/>
        <v>0</v>
      </c>
      <c r="D81" s="23">
        <f>IF(B81&lt;D$68+D$69+1,IF(B81&gt;D$68,(D$70-SUM(C$78:C$87))*VLOOKUP(B81-D$68,Data!A$40:B$49,2),0),0)</f>
        <v>0</v>
      </c>
      <c r="E81" s="14"/>
      <c r="F81" s="53">
        <f t="shared" si="18"/>
        <v>0</v>
      </c>
      <c r="G81" s="23">
        <f t="shared" si="17"/>
        <v>0</v>
      </c>
      <c r="H81" s="23">
        <f>IF(D$69=0,0,IF(D$68+D$69+1=B81,MIN(SUM(C$78:C$87)+SUM(D$78:D81),MAX(0,D$71-(D$70-SUM(C$78:C$87)-SUM(D$78:D81)))),0))</f>
        <v>0</v>
      </c>
      <c r="I81" s="23">
        <f>IF(D$69=0,0,IF(D$68+D$69+1=B81,IF(D$71&gt;D$70,D$71-D$70,IF(D$71&lt;D$70-SUM(C$78:D81),D$71-(D$70-SUM(C$78:D81)),0)),0))</f>
        <v>0</v>
      </c>
      <c r="J81" s="38">
        <f t="shared" si="16"/>
        <v>0</v>
      </c>
      <c r="K81" s="16"/>
      <c r="L81" s="49"/>
      <c r="M81" s="50"/>
      <c r="N81" s="50"/>
      <c r="O81" s="50"/>
      <c r="P81" s="50"/>
    </row>
    <row r="82" spans="1:16" s="8" customFormat="1" x14ac:dyDescent="0.2">
      <c r="A82" s="13"/>
      <c r="B82" s="36">
        <v>5</v>
      </c>
      <c r="C82" s="23">
        <f t="shared" si="14"/>
        <v>0</v>
      </c>
      <c r="D82" s="23">
        <f>IF(B82&lt;D$68+D$69+1,IF(B82&gt;D$68,(D$70-SUM(C$78:C$87))*VLOOKUP(B82-D$68,Data!A$40:B$49,2),0),0)</f>
        <v>0</v>
      </c>
      <c r="E82" s="14"/>
      <c r="F82" s="53">
        <f t="shared" si="18"/>
        <v>0</v>
      </c>
      <c r="G82" s="23">
        <f t="shared" si="17"/>
        <v>0</v>
      </c>
      <c r="H82" s="23">
        <f>IF(D$69=0,0,IF(D$68+D$69+1=B82,MIN(SUM(C$78:C$87)+SUM(D$78:D82),MAX(0,D$71-(D$70-SUM(C$78:C$87)-SUM(D$78:D82)))),0))</f>
        <v>0</v>
      </c>
      <c r="I82" s="23">
        <f>IF(D$69=0,0,IF(D$68+D$69+1=B82,IF(D$71&gt;D$70,D$71-D$70,IF(D$71&lt;D$70-SUM(C$78:D82),D$71-(D$70-SUM(C$78:D82)),0)),0))</f>
        <v>0</v>
      </c>
      <c r="J82" s="38">
        <f t="shared" si="16"/>
        <v>0</v>
      </c>
      <c r="K82" s="16"/>
      <c r="L82" s="49"/>
      <c r="M82" s="50"/>
      <c r="N82" s="50"/>
      <c r="O82" s="50"/>
      <c r="P82" s="50"/>
    </row>
    <row r="83" spans="1:16" s="8" customFormat="1" x14ac:dyDescent="0.2">
      <c r="A83" s="13"/>
      <c r="B83" s="36">
        <v>6</v>
      </c>
      <c r="C83" s="23">
        <f t="shared" si="14"/>
        <v>0</v>
      </c>
      <c r="D83" s="23">
        <f>IF(B83&lt;D$68+D$69+1,IF(B83&gt;D$68,(D$70-SUM(C$78:C$87))*VLOOKUP(B83-D$68,Data!A$40:B$49,2),0),0)</f>
        <v>0</v>
      </c>
      <c r="E83" s="14"/>
      <c r="F83" s="53">
        <f t="shared" si="18"/>
        <v>0</v>
      </c>
      <c r="G83" s="23">
        <f t="shared" si="17"/>
        <v>0</v>
      </c>
      <c r="H83" s="23">
        <f>IF(D$69=0,0,IF(D$68+D$69+1=B83,MIN(SUM(C$78:C$87)+SUM(D$78:D83),MAX(0,D$71-(D$70-SUM(C$78:C$87)-SUM(D$78:D83)))),0))</f>
        <v>0</v>
      </c>
      <c r="I83" s="23">
        <f>IF(D$69=0,0,IF(D$68+D$69+1=B83,IF(D$71&gt;D$70,D$71-D$70,IF(D$71&lt;D$70-SUM(C$78:D83),D$71-(D$70-SUM(C$78:D83)),0)),0))</f>
        <v>0</v>
      </c>
      <c r="J83" s="38">
        <f t="shared" si="16"/>
        <v>0</v>
      </c>
      <c r="K83" s="16"/>
      <c r="L83" s="49"/>
      <c r="M83" s="50"/>
      <c r="N83" s="50"/>
      <c r="O83" s="50"/>
      <c r="P83" s="50"/>
    </row>
    <row r="84" spans="1:16" s="8" customFormat="1" x14ac:dyDescent="0.2">
      <c r="A84" s="13"/>
      <c r="B84" s="36">
        <v>7</v>
      </c>
      <c r="C84" s="23">
        <f t="shared" si="14"/>
        <v>0</v>
      </c>
      <c r="D84" s="23">
        <f>IF(B84&lt;D$68+D$69+1,IF(B84&gt;D$68,(D$70-SUM(C$78:C$87))*VLOOKUP(B84-D$68,Data!A$40:B$49,2),0),0)</f>
        <v>0</v>
      </c>
      <c r="E84" s="14"/>
      <c r="F84" s="53">
        <f t="shared" si="18"/>
        <v>0</v>
      </c>
      <c r="G84" s="23">
        <f t="shared" si="17"/>
        <v>0</v>
      </c>
      <c r="H84" s="23">
        <f>IF(D$69=0,0,IF(D$68+D$69+1=B84,MIN(SUM(C$78:C$87)+SUM(D$78:D84),MAX(0,D$71-(D$70-SUM(C$78:C$87)-SUM(D$78:D84)))),0))</f>
        <v>0</v>
      </c>
      <c r="I84" s="23">
        <f>IF(D$69=0,0,IF(D$68+D$69+1=B84,IF(D$71&gt;D$70,D$71-D$70,IF(D$71&lt;D$70-SUM(C$78:D84),D$71-(D$70-SUM(C$78:D84)),0)),0))</f>
        <v>0</v>
      </c>
      <c r="J84" s="38">
        <f t="shared" si="16"/>
        <v>0</v>
      </c>
      <c r="K84" s="16"/>
      <c r="L84" s="49"/>
      <c r="M84" s="50"/>
      <c r="N84" s="50"/>
      <c r="O84" s="50"/>
      <c r="P84" s="50"/>
    </row>
    <row r="85" spans="1:16" s="8" customFormat="1" x14ac:dyDescent="0.2">
      <c r="A85" s="13"/>
      <c r="B85" s="36">
        <v>8</v>
      </c>
      <c r="C85" s="23">
        <f t="shared" si="14"/>
        <v>0</v>
      </c>
      <c r="D85" s="23">
        <f>IF(B85&lt;D$68+D$69+1,IF(B85&gt;D$68,(D$70-SUM(C$78:C$87))*VLOOKUP(B85-D$68,Data!A$40:B$49,2),0),0)</f>
        <v>0</v>
      </c>
      <c r="E85" s="14"/>
      <c r="F85" s="53">
        <f t="shared" si="18"/>
        <v>0</v>
      </c>
      <c r="G85" s="23">
        <f t="shared" si="17"/>
        <v>0</v>
      </c>
      <c r="H85" s="23">
        <f>IF(D$69=0,0,IF(D$68+D$69+1=B85,MIN(SUM(C$78:C$87)+SUM(D$78:D85),MAX(0,D$71-(D$70-SUM(C$78:C$87)-SUM(D$78:D85)))),0))</f>
        <v>0</v>
      </c>
      <c r="I85" s="23">
        <f>IF(D$69=0,0,IF(D$68+D$69+1=B85,IF(D$71&gt;D$70,D$71-D$70,IF(D$71&lt;D$70-SUM(C$78:D85),D$71-(D$70-SUM(C$78:D85)),0)),0))</f>
        <v>0</v>
      </c>
      <c r="J85" s="38">
        <f t="shared" si="16"/>
        <v>0</v>
      </c>
      <c r="K85" s="16"/>
      <c r="L85" s="49"/>
      <c r="M85" s="50"/>
      <c r="N85" s="50"/>
      <c r="O85" s="50"/>
      <c r="P85" s="50"/>
    </row>
    <row r="86" spans="1:16" s="8" customFormat="1" x14ac:dyDescent="0.2">
      <c r="A86" s="13"/>
      <c r="B86" s="36">
        <v>9</v>
      </c>
      <c r="C86" s="23">
        <f t="shared" si="14"/>
        <v>0</v>
      </c>
      <c r="D86" s="23">
        <f>IF(B86&lt;D$68+D$69+1,IF(B86&gt;D$68,(D$70-SUM(C$78:C$87))*VLOOKUP(B86-D$68,Data!A$40:B$49,2),0),0)</f>
        <v>0</v>
      </c>
      <c r="E86" s="14"/>
      <c r="F86" s="53">
        <f t="shared" si="18"/>
        <v>0</v>
      </c>
      <c r="G86" s="23">
        <f t="shared" si="17"/>
        <v>0</v>
      </c>
      <c r="H86" s="23">
        <f>IF(D$69=0,0,IF(D$68+D$69+1=B86,MIN(SUM(C$78:C$87)+SUM(D$78:D86),MAX(0,D$71-(D$70-SUM(C$78:C$87)-SUM(D$78:D86)))),0))</f>
        <v>0</v>
      </c>
      <c r="I86" s="23">
        <f>IF(D$69=0,0,IF(D$68+D$69+1=B86,IF(D$71&gt;D$70,D$71-D$70,IF(D$71&lt;D$70-SUM(C$78:D86),D$71-(D$70-SUM(C$78:D86)),0)),0))</f>
        <v>0</v>
      </c>
      <c r="J86" s="38">
        <f t="shared" si="16"/>
        <v>0</v>
      </c>
      <c r="K86" s="16"/>
      <c r="L86" s="49"/>
      <c r="M86" s="50"/>
      <c r="N86" s="50"/>
      <c r="O86" s="50"/>
      <c r="P86" s="50"/>
    </row>
    <row r="87" spans="1:16" s="8" customFormat="1" x14ac:dyDescent="0.2">
      <c r="A87" s="13"/>
      <c r="B87" s="36">
        <v>10</v>
      </c>
      <c r="C87" s="23">
        <f t="shared" si="14"/>
        <v>0</v>
      </c>
      <c r="D87" s="23">
        <f>IF(B87&lt;D$68+D$69+1,IF(B87&gt;D$68,(D$70-SUM(C$78:C$87))*VLOOKUP(B87-D$68,Data!A$40:B$49,2),0),0)</f>
        <v>0</v>
      </c>
      <c r="E87" s="14"/>
      <c r="F87" s="53">
        <f t="shared" si="18"/>
        <v>0</v>
      </c>
      <c r="G87" s="23">
        <f t="shared" si="17"/>
        <v>0</v>
      </c>
      <c r="H87" s="23">
        <f>IF(D$69=0,0,IF(D$68+D$69+1=B87,MIN(SUM(C$78:C$87)+SUM(D$78:D87),MAX(0,D$71-(D$70-SUM(C$78:C$87)-SUM(D$78:D87)))),0))</f>
        <v>0</v>
      </c>
      <c r="I87" s="23">
        <f>IF(D$69=0,0,IF(D$68+D$69+1=B87,IF(D$71&gt;D$70,D$71-D$70,IF(D$71&lt;D$70-SUM(C$78:D87),D$71-(D$70-SUM(C$78:D87)),0)),0))</f>
        <v>0</v>
      </c>
      <c r="J87" s="38">
        <f t="shared" si="16"/>
        <v>0</v>
      </c>
      <c r="K87" s="16"/>
      <c r="L87" s="49"/>
      <c r="M87" s="50"/>
      <c r="N87" s="50"/>
      <c r="O87" s="50"/>
      <c r="P87" s="50"/>
    </row>
    <row r="88" spans="1:16" s="8" customFormat="1" ht="13.5" thickBot="1" x14ac:dyDescent="0.25">
      <c r="A88" s="18"/>
      <c r="B88" s="39">
        <v>11</v>
      </c>
      <c r="C88" s="40">
        <f t="shared" si="14"/>
        <v>0</v>
      </c>
      <c r="D88" s="40">
        <f>IF(B88&lt;D$68+D$69+1,IF(B88&gt;D$68,(D$70-SUM(C$78:C$87))*VLOOKUP(B88-D$68,Data!A$40:B$49,2),0),0)</f>
        <v>0</v>
      </c>
      <c r="E88" s="19"/>
      <c r="F88" s="54">
        <f t="shared" si="18"/>
        <v>0</v>
      </c>
      <c r="G88" s="40">
        <f>IF(F71&lt;D$68,D$66,0)</f>
        <v>0</v>
      </c>
      <c r="H88" s="40">
        <f>IF(D$69=0,0,IF(D$68+D$69+1=B88,MIN(SUM(C$78:C$87)+SUM(D$78:D88),MAX(0,D$71-(D$70-SUM(C$78:C$87)-SUM(D$78:D88)))),0))</f>
        <v>0</v>
      </c>
      <c r="I88" s="40">
        <f>IF(D$69=0,0,IF(D$68+D$69+1=B88,IF(D$71&gt;D$70,D$71-D$70,IF(D$71&lt;D$70-SUM(C$78:D88),D$71-(D$70-SUM(C$78:D88)),0)),0))</f>
        <v>0</v>
      </c>
      <c r="J88" s="41">
        <f>(C88+D88+F88+G88-H88)*(D$11*(1-D$12)+D$12*(1-D$11)+D$13*(1-0.5*D$11))+I88*D$14</f>
        <v>0</v>
      </c>
      <c r="K88" s="20"/>
      <c r="L88" s="49"/>
      <c r="M88" s="50"/>
      <c r="N88" s="50"/>
      <c r="O88" s="50"/>
      <c r="P88" s="50"/>
    </row>
    <row r="89" spans="1:16" s="8" customFormat="1" x14ac:dyDescent="0.2">
      <c r="D89" s="51"/>
      <c r="E89" s="51"/>
      <c r="F89" s="51"/>
    </row>
    <row r="117" spans="1:9" s="64" customFormat="1" x14ac:dyDescent="0.2">
      <c r="A117" s="130" t="s">
        <v>127</v>
      </c>
      <c r="B117" s="65"/>
      <c r="C117" s="66"/>
      <c r="D117" s="67"/>
      <c r="E117" s="67"/>
      <c r="F117" s="67"/>
      <c r="G117" s="67"/>
    </row>
    <row r="118" spans="1:9" s="64" customFormat="1" x14ac:dyDescent="0.2">
      <c r="A118" s="131" t="s">
        <v>102</v>
      </c>
      <c r="B118" s="68"/>
      <c r="C118" s="68"/>
      <c r="D118" s="68"/>
      <c r="E118" s="68"/>
      <c r="F118" s="68"/>
      <c r="G118" s="68"/>
    </row>
    <row r="119" spans="1:9" s="59" customFormat="1" x14ac:dyDescent="0.2">
      <c r="A119" s="132" t="s">
        <v>103</v>
      </c>
      <c r="B119" s="93">
        <f ca="1">TODAY()</f>
        <v>44971</v>
      </c>
      <c r="C119" s="69"/>
      <c r="D119" s="69"/>
      <c r="E119" s="69"/>
      <c r="F119" s="69"/>
      <c r="G119" s="69"/>
    </row>
    <row r="120" spans="1:9" s="59" customFormat="1" x14ac:dyDescent="0.2">
      <c r="A120" s="132"/>
      <c r="B120" s="93"/>
      <c r="C120" s="69"/>
      <c r="D120" s="69"/>
      <c r="E120" s="69"/>
      <c r="F120" s="69"/>
      <c r="G120" s="69"/>
    </row>
    <row r="121" spans="1:9" s="112" customFormat="1" ht="12" x14ac:dyDescent="0.2">
      <c r="A121" s="133" t="s">
        <v>128</v>
      </c>
    </row>
    <row r="122" spans="1:9" s="112" customFormat="1" ht="9" x14ac:dyDescent="0.15">
      <c r="A122" s="134"/>
    </row>
    <row r="123" spans="1:9" s="112" customFormat="1" ht="9" x14ac:dyDescent="0.15"/>
    <row r="124" spans="1:9" x14ac:dyDescent="0.2">
      <c r="A124" s="70"/>
      <c r="B124" s="71"/>
      <c r="C124" s="71"/>
      <c r="D124" s="71"/>
      <c r="E124" s="71"/>
      <c r="F124" s="71"/>
      <c r="G124" s="71"/>
      <c r="H124" s="71"/>
      <c r="I124" s="71"/>
    </row>
    <row r="125" spans="1:9" ht="13.7" customHeight="1" x14ac:dyDescent="0.2">
      <c r="A125" s="111"/>
      <c r="B125" s="111"/>
      <c r="C125" s="111"/>
      <c r="D125" s="111"/>
      <c r="E125" s="111"/>
      <c r="F125" s="111"/>
      <c r="G125" s="111"/>
      <c r="H125" s="111"/>
      <c r="I125" s="111"/>
    </row>
    <row r="126" spans="1:9" ht="18" customHeight="1" x14ac:dyDescent="0.2">
      <c r="A126" s="111"/>
      <c r="B126" s="111"/>
      <c r="C126" s="111"/>
      <c r="D126" s="111"/>
      <c r="E126" s="111"/>
      <c r="F126" s="111"/>
      <c r="G126" s="111"/>
      <c r="H126" s="111"/>
      <c r="I126" s="111"/>
    </row>
    <row r="127" spans="1:9" ht="18" customHeight="1" x14ac:dyDescent="0.2">
      <c r="A127" s="111"/>
      <c r="B127" s="111"/>
      <c r="C127" s="111"/>
      <c r="D127" s="111"/>
      <c r="E127" s="111"/>
      <c r="F127" s="111"/>
      <c r="G127" s="111"/>
      <c r="H127" s="111"/>
      <c r="I127" s="111"/>
    </row>
  </sheetData>
  <sheetProtection sheet="1" objects="1" scenarios="1"/>
  <dataValidations count="11">
    <dataValidation allowBlank="1" showInputMessage="1" showErrorMessage="1" prompt="Current brackets are 5% or 15%." sqref="D14"/>
    <dataValidation allowBlank="1" showInputMessage="1" showErrorMessage="1" prompt="See current IRS regulations for maximum Section 179 expensing allowed._x000a_" sqref="D15"/>
    <dataValidation allowBlank="1" showInputMessage="1" showErrorMessage="1" prompt="Rate of return that could be earned on your own funds if not invested in machinery." sqref="D16"/>
    <dataValidation allowBlank="1" showInputMessage="1" showErrorMessage="1" prompt="Enter new list price even for used machinery.  Used to estimate remaining salvage value and repair costs." sqref="D28"/>
    <dataValidation allowBlank="1" showInputMessage="1" showErrorMessage="1" prompt="Exclude the last year if there is a final balloon payment that is larger than the regular payments._x000a_" sqref="D36"/>
    <dataValidation allowBlank="1" showInputMessage="1" showErrorMessage="1" prompt="Principal due on final payment." sqref="D37"/>
    <dataValidation allowBlank="1" showInputMessage="1" showErrorMessage="1" prompt="Enter new list price even for a used machine. Used to estimate remaining salvage value and repair costs." sqref="D60"/>
    <dataValidation type="whole" allowBlank="1" showInputMessage="1" showErrorMessage="1" prompt="Enter zero if buyout option will not be exercised.  Lease term plus years machine will be kept cannot exceed 10 years." sqref="D69">
      <formula1>0</formula1>
      <formula2>10</formula2>
    </dataValidation>
    <dataValidation allowBlank="1" showInputMessage="1" showErrorMessage="1" prompt="Leave blank if buyout option will not be exercised." sqref="D70"/>
    <dataValidation type="whole" operator="lessThan" allowBlank="1" showInputMessage="1" showErrorMessage="1" error="Cannot exceed 9 years." prompt="Maximum value of 9." sqref="D32">
      <formula1>11</formula1>
    </dataValidation>
    <dataValidation type="whole" operator="lessThan" allowBlank="1" showInputMessage="1" showErrorMessage="1" error="Not over 9 years." prompt="Not more than 10 years." sqref="D68">
      <formula1>11</formula1>
    </dataValidation>
  </dataValidations>
  <hyperlinks>
    <hyperlink ref="A4:B4" r:id="rId1" display="Estimating the Field Capacity of Farm Machines"/>
    <hyperlink ref="A4:E4" r:id="rId2" display="Machinery Leasing-Is it for you?"/>
    <hyperlink ref="A3:D3" r:id="rId3" display="For more information, see File A3-21 Acquiring Farm Machinery Services or"/>
    <hyperlink ref="A118" r:id="rId4"/>
    <hyperlink ref="A4:C4" r:id="rId5" display="File A3-35 Machinery Leasing-Is it for you?"/>
  </hyperlinks>
  <pageMargins left="0.75" right="0.75" top="0.75" bottom="0.75" header="0.5" footer="0.5"/>
  <pageSetup scale="69" fitToHeight="3" orientation="portrait" horizontalDpi="300" verticalDpi="300" r:id="rId6"/>
  <headerFooter alignWithMargins="0"/>
  <rowBreaks count="1" manualBreakCount="1">
    <brk id="57" max="10" man="1"/>
  </rowBreaks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9" name="Drop Down 1">
              <controlPr defaultSize="0" autoLine="0" autoPict="0" altText="Dropdown menu to select type of machine">
                <anchor moveWithCells="1">
                  <from>
                    <xdr:col>1</xdr:col>
                    <xdr:colOff>638175</xdr:colOff>
                    <xdr:row>7</xdr:row>
                    <xdr:rowOff>123825</xdr:rowOff>
                  </from>
                  <to>
                    <xdr:col>3</xdr:col>
                    <xdr:colOff>752475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49"/>
  <sheetViews>
    <sheetView showGridLines="0" workbookViewId="0"/>
  </sheetViews>
  <sheetFormatPr defaultRowHeight="12.75" x14ac:dyDescent="0.2"/>
  <cols>
    <col min="2" max="2" width="20.7109375" customWidth="1"/>
  </cols>
  <sheetData>
    <row r="1" spans="1:11" s="144" customFormat="1" ht="18.75" thickBot="1" x14ac:dyDescent="0.3">
      <c r="A1" s="144" t="s">
        <v>27</v>
      </c>
    </row>
    <row r="2" spans="1:11" s="72" customFormat="1" ht="13.5" thickTop="1" x14ac:dyDescent="0.2">
      <c r="A2" s="94"/>
      <c r="B2" s="94"/>
      <c r="C2" s="94"/>
      <c r="D2" s="94"/>
      <c r="E2" s="94"/>
      <c r="F2" s="94"/>
      <c r="G2" s="94"/>
      <c r="H2" s="94"/>
    </row>
    <row r="3" spans="1:11" s="60" customFormat="1" x14ac:dyDescent="0.2">
      <c r="C3" s="121" t="s">
        <v>28</v>
      </c>
      <c r="D3" s="121"/>
      <c r="E3" s="58" t="s">
        <v>96</v>
      </c>
      <c r="F3" s="121" t="s">
        <v>29</v>
      </c>
      <c r="G3" s="121"/>
      <c r="H3" s="121"/>
    </row>
    <row r="4" spans="1:11" x14ac:dyDescent="0.2">
      <c r="A4" s="95" t="s">
        <v>30</v>
      </c>
      <c r="B4" s="1" t="s">
        <v>31</v>
      </c>
      <c r="C4" s="2" t="s">
        <v>32</v>
      </c>
      <c r="D4" s="2" t="s">
        <v>33</v>
      </c>
      <c r="E4" s="2" t="s">
        <v>95</v>
      </c>
      <c r="F4" s="2" t="s">
        <v>34</v>
      </c>
      <c r="G4" s="2" t="s">
        <v>35</v>
      </c>
      <c r="H4" s="2" t="s">
        <v>36</v>
      </c>
    </row>
    <row r="5" spans="1:11" x14ac:dyDescent="0.2">
      <c r="A5" s="3">
        <v>1</v>
      </c>
      <c r="B5" s="1" t="s">
        <v>37</v>
      </c>
      <c r="C5" s="4">
        <v>7.0000000000000001E-3</v>
      </c>
      <c r="D5" s="5">
        <v>2</v>
      </c>
      <c r="E5" s="6">
        <v>12000</v>
      </c>
      <c r="F5" s="3">
        <v>0.98099999999999998</v>
      </c>
      <c r="G5" s="3">
        <v>9.2999999999999999E-2</v>
      </c>
      <c r="H5" s="3">
        <v>5.7999999999999996E-3</v>
      </c>
      <c r="J5" s="4"/>
      <c r="K5" s="5"/>
    </row>
    <row r="6" spans="1:11" x14ac:dyDescent="0.2">
      <c r="A6" s="3">
        <v>2</v>
      </c>
      <c r="B6" s="1" t="s">
        <v>38</v>
      </c>
      <c r="C6" s="4">
        <v>7.0000000000000001E-3</v>
      </c>
      <c r="D6" s="5">
        <v>2</v>
      </c>
      <c r="E6" s="6">
        <v>12000</v>
      </c>
      <c r="F6" s="6">
        <v>0.94210000000000005</v>
      </c>
      <c r="G6" s="6">
        <v>9.9699999999999997E-2</v>
      </c>
      <c r="H6" s="6">
        <v>8.0000000000000004E-4</v>
      </c>
      <c r="J6" s="4"/>
      <c r="K6" s="5"/>
    </row>
    <row r="7" spans="1:11" x14ac:dyDescent="0.2">
      <c r="A7" s="3">
        <v>3</v>
      </c>
      <c r="B7" s="1" t="s">
        <v>39</v>
      </c>
      <c r="C7" s="4">
        <v>7.0000000000000001E-3</v>
      </c>
      <c r="D7" s="5">
        <v>2</v>
      </c>
      <c r="E7" s="6">
        <v>16000</v>
      </c>
      <c r="F7" s="6">
        <v>0.97560000000000002</v>
      </c>
      <c r="G7" s="6">
        <v>0.1187</v>
      </c>
      <c r="H7" s="6">
        <v>1.9E-3</v>
      </c>
      <c r="J7" s="4"/>
      <c r="K7" s="5"/>
    </row>
    <row r="8" spans="1:11" x14ac:dyDescent="0.2">
      <c r="A8" s="3">
        <v>4</v>
      </c>
      <c r="B8" s="1" t="s">
        <v>40</v>
      </c>
      <c r="C8" s="4">
        <v>2.5000000000000001E-2</v>
      </c>
      <c r="D8" s="5">
        <v>2.1</v>
      </c>
      <c r="E8" s="6">
        <v>3000</v>
      </c>
      <c r="F8" s="6">
        <v>1.1317999999999999</v>
      </c>
      <c r="G8" s="6">
        <v>0.16450000000000001</v>
      </c>
      <c r="H8" s="6">
        <v>7.9000000000000008E-3</v>
      </c>
      <c r="J8" s="4"/>
      <c r="K8" s="5"/>
    </row>
    <row r="9" spans="1:11" x14ac:dyDescent="0.2">
      <c r="A9" s="3">
        <v>5</v>
      </c>
      <c r="B9" s="1" t="s">
        <v>41</v>
      </c>
      <c r="C9" s="4">
        <v>0.01</v>
      </c>
      <c r="D9" s="5">
        <v>1.8</v>
      </c>
      <c r="E9" s="6">
        <v>4000</v>
      </c>
      <c r="F9" s="6">
        <v>0.79110000000000003</v>
      </c>
      <c r="G9" s="6">
        <v>9.1300000000000006E-2</v>
      </c>
      <c r="H9" s="6">
        <v>0</v>
      </c>
      <c r="J9" s="4"/>
      <c r="K9" s="5"/>
    </row>
    <row r="10" spans="1:11" x14ac:dyDescent="0.2">
      <c r="A10" s="3">
        <v>6</v>
      </c>
      <c r="B10" s="1" t="s">
        <v>42</v>
      </c>
      <c r="C10" s="4">
        <v>0.03</v>
      </c>
      <c r="D10" s="5">
        <v>2</v>
      </c>
      <c r="E10" s="6">
        <v>3000</v>
      </c>
      <c r="F10" s="6">
        <v>0.75570000000000004</v>
      </c>
      <c r="G10" s="6">
        <v>6.7199999999999996E-2</v>
      </c>
      <c r="H10" s="6">
        <v>0</v>
      </c>
      <c r="J10" s="4"/>
      <c r="K10" s="5"/>
    </row>
    <row r="11" spans="1:11" x14ac:dyDescent="0.2">
      <c r="A11" s="3">
        <v>7</v>
      </c>
      <c r="B11" s="1" t="s">
        <v>43</v>
      </c>
      <c r="C11" s="4">
        <v>0.1</v>
      </c>
      <c r="D11" s="5">
        <v>1.3</v>
      </c>
      <c r="E11" s="6">
        <v>1500</v>
      </c>
      <c r="F11" s="6">
        <v>0.88260000000000005</v>
      </c>
      <c r="G11" s="6">
        <v>7.7799999999999994E-2</v>
      </c>
      <c r="H11" s="6">
        <v>0</v>
      </c>
      <c r="J11" s="4"/>
      <c r="K11" s="5"/>
    </row>
    <row r="12" spans="1:11" x14ac:dyDescent="0.2">
      <c r="A12" s="3">
        <v>8</v>
      </c>
      <c r="B12" s="1" t="s">
        <v>44</v>
      </c>
      <c r="C12" s="4">
        <v>7.0000000000000001E-3</v>
      </c>
      <c r="D12" s="5">
        <v>2</v>
      </c>
      <c r="E12" s="6">
        <v>3000</v>
      </c>
      <c r="F12" s="6">
        <v>0.78600000000000003</v>
      </c>
      <c r="G12" s="6">
        <v>6.3E-2</v>
      </c>
      <c r="H12" s="6">
        <v>3.3E-3</v>
      </c>
      <c r="J12" s="4"/>
      <c r="K12" s="5"/>
    </row>
    <row r="13" spans="1:11" x14ac:dyDescent="0.2">
      <c r="A13" s="3">
        <v>9</v>
      </c>
      <c r="B13" s="1" t="s">
        <v>45</v>
      </c>
      <c r="C13" s="4">
        <v>0.28999999999999998</v>
      </c>
      <c r="D13" s="5">
        <v>1.8</v>
      </c>
      <c r="E13" s="6">
        <v>2000</v>
      </c>
      <c r="F13" s="6">
        <v>0.73819999999999997</v>
      </c>
      <c r="G13" s="6">
        <v>5.0999999999999997E-2</v>
      </c>
      <c r="H13" s="6">
        <v>0</v>
      </c>
      <c r="J13" s="4"/>
      <c r="K13" s="5"/>
    </row>
    <row r="14" spans="1:11" x14ac:dyDescent="0.2">
      <c r="A14" s="3">
        <v>10</v>
      </c>
      <c r="B14" s="1" t="s">
        <v>46</v>
      </c>
      <c r="C14" s="4">
        <v>0.18</v>
      </c>
      <c r="D14" s="5">
        <v>1.7</v>
      </c>
      <c r="E14" s="6">
        <v>2000</v>
      </c>
      <c r="F14" s="6">
        <v>0.89059999999999995</v>
      </c>
      <c r="G14" s="6">
        <v>0.1095</v>
      </c>
      <c r="H14" s="6">
        <v>0</v>
      </c>
      <c r="J14" s="4"/>
      <c r="K14" s="5"/>
    </row>
    <row r="15" spans="1:11" x14ac:dyDescent="0.2">
      <c r="A15" s="3">
        <v>11</v>
      </c>
      <c r="B15" s="1" t="s">
        <v>47</v>
      </c>
      <c r="C15" s="4">
        <v>0.28000000000000003</v>
      </c>
      <c r="D15" s="5">
        <v>1.4</v>
      </c>
      <c r="E15" s="6">
        <v>2000</v>
      </c>
      <c r="F15" s="6">
        <v>0.73819999999999997</v>
      </c>
      <c r="G15" s="6">
        <v>5.0999999999999997E-2</v>
      </c>
      <c r="H15" s="6">
        <v>0</v>
      </c>
      <c r="J15" s="4"/>
      <c r="K15" s="5"/>
    </row>
    <row r="16" spans="1:11" x14ac:dyDescent="0.2">
      <c r="A16" s="3">
        <v>12</v>
      </c>
      <c r="B16" s="1" t="s">
        <v>48</v>
      </c>
      <c r="C16" s="4">
        <v>0.28000000000000003</v>
      </c>
      <c r="D16" s="5">
        <v>1.4</v>
      </c>
      <c r="E16" s="6">
        <v>2000</v>
      </c>
      <c r="F16" s="6">
        <v>0.89059999999999995</v>
      </c>
      <c r="G16" s="6">
        <v>0.1095</v>
      </c>
      <c r="H16" s="6">
        <v>0</v>
      </c>
      <c r="J16" s="4"/>
      <c r="K16" s="5"/>
    </row>
    <row r="17" spans="1:11" x14ac:dyDescent="0.2">
      <c r="A17" s="3">
        <v>13</v>
      </c>
      <c r="B17" s="1" t="s">
        <v>49</v>
      </c>
      <c r="C17" s="4">
        <v>0.27</v>
      </c>
      <c r="D17" s="5">
        <v>1.4</v>
      </c>
      <c r="E17" s="6">
        <v>2000</v>
      </c>
      <c r="F17" s="6">
        <v>0.89059999999999995</v>
      </c>
      <c r="G17" s="6">
        <v>0.1095</v>
      </c>
      <c r="H17" s="6">
        <v>0</v>
      </c>
      <c r="J17" s="4"/>
      <c r="K17" s="5"/>
    </row>
    <row r="18" spans="1:11" x14ac:dyDescent="0.2">
      <c r="A18" s="3">
        <v>14</v>
      </c>
      <c r="B18" s="1" t="s">
        <v>50</v>
      </c>
      <c r="C18" s="4">
        <v>0.17</v>
      </c>
      <c r="D18" s="5">
        <v>2.2000000000000002</v>
      </c>
      <c r="E18" s="6">
        <v>2000</v>
      </c>
      <c r="F18" s="6">
        <v>0.89059999999999995</v>
      </c>
      <c r="G18" s="6">
        <v>0.1095</v>
      </c>
      <c r="H18" s="6">
        <v>0</v>
      </c>
      <c r="J18" s="4"/>
      <c r="K18" s="5"/>
    </row>
    <row r="19" spans="1:11" x14ac:dyDescent="0.2">
      <c r="A19" s="3">
        <v>15</v>
      </c>
      <c r="B19" s="1" t="s">
        <v>51</v>
      </c>
      <c r="C19" s="4">
        <v>0.16</v>
      </c>
      <c r="D19" s="5">
        <v>1.3</v>
      </c>
      <c r="E19" s="6">
        <v>2000</v>
      </c>
      <c r="F19" s="6">
        <v>0.89059999999999995</v>
      </c>
      <c r="G19" s="6">
        <v>0.1095</v>
      </c>
      <c r="H19" s="6">
        <v>0</v>
      </c>
      <c r="J19" s="4"/>
      <c r="K19" s="5"/>
    </row>
    <row r="20" spans="1:11" x14ac:dyDescent="0.2">
      <c r="A20" s="3">
        <v>16</v>
      </c>
      <c r="B20" s="1" t="s">
        <v>52</v>
      </c>
      <c r="C20" s="4">
        <v>0.23</v>
      </c>
      <c r="D20" s="5">
        <v>1.4</v>
      </c>
      <c r="E20" s="6">
        <v>2000</v>
      </c>
      <c r="F20" s="6">
        <v>0.89059999999999995</v>
      </c>
      <c r="G20" s="6">
        <v>0.1095</v>
      </c>
      <c r="H20" s="6">
        <v>0</v>
      </c>
      <c r="J20" s="4"/>
      <c r="K20" s="5"/>
    </row>
    <row r="21" spans="1:11" x14ac:dyDescent="0.2">
      <c r="A21" s="3">
        <v>17</v>
      </c>
      <c r="B21" s="1" t="s">
        <v>53</v>
      </c>
      <c r="C21" s="4">
        <v>0.36</v>
      </c>
      <c r="D21" s="5">
        <v>2</v>
      </c>
      <c r="E21" s="6">
        <v>1500</v>
      </c>
      <c r="F21" s="6">
        <v>0.89059999999999995</v>
      </c>
      <c r="G21" s="6">
        <v>0.1095</v>
      </c>
      <c r="H21" s="6">
        <v>0</v>
      </c>
      <c r="J21" s="4"/>
      <c r="K21" s="5"/>
    </row>
    <row r="22" spans="1:11" x14ac:dyDescent="0.2">
      <c r="A22" s="3">
        <v>18</v>
      </c>
      <c r="B22" s="1" t="s">
        <v>54</v>
      </c>
      <c r="C22" s="4">
        <v>0.32</v>
      </c>
      <c r="D22" s="5">
        <v>2.1</v>
      </c>
      <c r="E22" s="6">
        <v>1500</v>
      </c>
      <c r="F22" s="6">
        <v>0.88260000000000005</v>
      </c>
      <c r="G22" s="6">
        <v>7.7799999999999994E-2</v>
      </c>
      <c r="H22" s="6">
        <v>0</v>
      </c>
      <c r="J22" s="4"/>
      <c r="K22" s="5"/>
    </row>
    <row r="23" spans="1:11" x14ac:dyDescent="0.2">
      <c r="A23" s="3">
        <v>19</v>
      </c>
      <c r="B23" s="1" t="s">
        <v>55</v>
      </c>
      <c r="C23" s="4">
        <v>0.05</v>
      </c>
      <c r="D23" s="5">
        <v>2.2999999999999998</v>
      </c>
      <c r="E23" s="6">
        <v>2000</v>
      </c>
      <c r="F23" s="6">
        <v>1.1317999999999999</v>
      </c>
      <c r="G23" s="6">
        <v>0.16450000000000001</v>
      </c>
      <c r="H23" s="6">
        <v>0</v>
      </c>
      <c r="J23" s="4"/>
      <c r="K23" s="5"/>
    </row>
    <row r="24" spans="1:11" x14ac:dyDescent="0.2">
      <c r="A24" s="3">
        <v>20</v>
      </c>
      <c r="B24" s="1" t="s">
        <v>56</v>
      </c>
      <c r="C24" s="4">
        <v>0.05</v>
      </c>
      <c r="D24" s="5">
        <v>2.2999999999999998</v>
      </c>
      <c r="E24" s="6">
        <v>2000</v>
      </c>
      <c r="F24" s="6">
        <v>1.1317999999999999</v>
      </c>
      <c r="G24" s="6">
        <v>0.16450000000000001</v>
      </c>
      <c r="H24" s="6">
        <v>7.9000000000000008E-3</v>
      </c>
      <c r="J24" s="4"/>
      <c r="K24" s="5"/>
    </row>
    <row r="25" spans="1:11" x14ac:dyDescent="0.2">
      <c r="A25" s="3">
        <v>21</v>
      </c>
      <c r="B25" s="1" t="s">
        <v>57</v>
      </c>
      <c r="C25" s="4">
        <v>0.46</v>
      </c>
      <c r="D25" s="5">
        <v>1.6</v>
      </c>
      <c r="E25" s="6">
        <v>2000</v>
      </c>
      <c r="F25" s="6">
        <v>0.75570000000000004</v>
      </c>
      <c r="G25" s="6">
        <v>6.7199999999999996E-2</v>
      </c>
      <c r="H25" s="6">
        <v>0</v>
      </c>
      <c r="J25" s="4"/>
      <c r="K25" s="5"/>
    </row>
    <row r="26" spans="1:11" x14ac:dyDescent="0.2">
      <c r="A26" s="3">
        <v>22</v>
      </c>
      <c r="B26" s="1" t="s">
        <v>58</v>
      </c>
      <c r="C26" s="4">
        <v>0.18</v>
      </c>
      <c r="D26" s="5">
        <v>1.6</v>
      </c>
      <c r="E26" s="6">
        <v>2500</v>
      </c>
      <c r="F26" s="6">
        <v>0.75570000000000004</v>
      </c>
      <c r="G26" s="6">
        <v>6.7199999999999996E-2</v>
      </c>
      <c r="H26" s="6">
        <v>0</v>
      </c>
      <c r="J26" s="4"/>
      <c r="K26" s="5"/>
    </row>
    <row r="27" spans="1:11" x14ac:dyDescent="0.2">
      <c r="A27" s="3">
        <v>23</v>
      </c>
      <c r="B27" s="1" t="s">
        <v>59</v>
      </c>
      <c r="C27" s="4">
        <v>0.18</v>
      </c>
      <c r="D27" s="5">
        <v>1.6</v>
      </c>
      <c r="E27" s="6">
        <v>2500</v>
      </c>
      <c r="F27" s="6">
        <v>0.75570000000000004</v>
      </c>
      <c r="G27" s="6">
        <v>6.7199999999999996E-2</v>
      </c>
      <c r="H27" s="6">
        <v>0</v>
      </c>
      <c r="J27" s="4"/>
      <c r="K27" s="5"/>
    </row>
    <row r="28" spans="1:11" x14ac:dyDescent="0.2">
      <c r="A28" s="3">
        <v>24</v>
      </c>
      <c r="B28" s="1" t="s">
        <v>60</v>
      </c>
      <c r="C28" s="4">
        <v>0.23</v>
      </c>
      <c r="D28" s="5">
        <v>1.8</v>
      </c>
      <c r="E28" s="6">
        <v>2000</v>
      </c>
      <c r="F28" s="6">
        <v>0.85209999999999997</v>
      </c>
      <c r="G28" s="6">
        <v>0.1014</v>
      </c>
      <c r="H28" s="6">
        <v>0</v>
      </c>
      <c r="J28" s="4"/>
      <c r="K28" s="5"/>
    </row>
    <row r="29" spans="1:11" x14ac:dyDescent="0.2">
      <c r="A29" s="3">
        <v>25</v>
      </c>
      <c r="B29" s="1" t="s">
        <v>61</v>
      </c>
      <c r="C29" s="4">
        <v>0.43</v>
      </c>
      <c r="D29" s="5">
        <v>1.8</v>
      </c>
      <c r="E29" s="6">
        <v>1500</v>
      </c>
      <c r="F29" s="6">
        <v>0.85209999999999997</v>
      </c>
      <c r="G29" s="6">
        <v>0.1014</v>
      </c>
      <c r="H29" s="6">
        <v>0</v>
      </c>
      <c r="J29" s="4"/>
      <c r="K29" s="5"/>
    </row>
    <row r="30" spans="1:11" x14ac:dyDescent="0.2">
      <c r="A30" s="3">
        <v>26</v>
      </c>
      <c r="B30" s="1" t="s">
        <v>62</v>
      </c>
      <c r="C30" s="4">
        <v>0.17</v>
      </c>
      <c r="D30" s="5">
        <v>1.4</v>
      </c>
      <c r="E30" s="6">
        <v>2500</v>
      </c>
      <c r="F30" s="6">
        <v>0.79110000000000003</v>
      </c>
      <c r="G30" s="6">
        <v>9.1300000000000006E-2</v>
      </c>
      <c r="H30" s="6">
        <v>0</v>
      </c>
      <c r="J30" s="4"/>
      <c r="K30" s="5"/>
    </row>
    <row r="31" spans="1:11" x14ac:dyDescent="0.2">
      <c r="A31" s="3">
        <v>27</v>
      </c>
      <c r="B31" s="1" t="s">
        <v>63</v>
      </c>
      <c r="C31" s="4">
        <v>0.15</v>
      </c>
      <c r="D31" s="5">
        <v>1.6</v>
      </c>
      <c r="E31" s="6">
        <v>2500</v>
      </c>
      <c r="F31" s="6">
        <v>0.79110000000000003</v>
      </c>
      <c r="G31" s="6">
        <v>9.1300000000000006E-2</v>
      </c>
      <c r="H31" s="6">
        <v>0</v>
      </c>
      <c r="J31" s="4"/>
      <c r="K31" s="5"/>
    </row>
    <row r="32" spans="1:11" x14ac:dyDescent="0.2">
      <c r="A32" s="3">
        <v>28</v>
      </c>
      <c r="B32" s="1" t="s">
        <v>64</v>
      </c>
      <c r="C32" s="4">
        <v>0.63</v>
      </c>
      <c r="D32" s="5">
        <v>1.3</v>
      </c>
      <c r="E32" s="6">
        <v>1200</v>
      </c>
      <c r="F32" s="6">
        <v>0.88260000000000005</v>
      </c>
      <c r="G32" s="6">
        <v>7.7799999999999994E-2</v>
      </c>
      <c r="H32" s="6">
        <v>0</v>
      </c>
      <c r="J32" s="4"/>
      <c r="K32" s="5"/>
    </row>
    <row r="33" spans="1:11" x14ac:dyDescent="0.2">
      <c r="A33" s="3">
        <v>29</v>
      </c>
      <c r="B33" s="1" t="s">
        <v>65</v>
      </c>
      <c r="C33" s="4">
        <v>0.1</v>
      </c>
      <c r="D33" s="5">
        <v>1.3</v>
      </c>
      <c r="E33" s="6">
        <v>1500</v>
      </c>
      <c r="F33" s="6">
        <v>0.88260000000000005</v>
      </c>
      <c r="G33" s="6">
        <v>7.7799999999999994E-2</v>
      </c>
      <c r="H33" s="6">
        <v>0</v>
      </c>
      <c r="J33" s="4"/>
      <c r="K33" s="5"/>
    </row>
    <row r="34" spans="1:11" x14ac:dyDescent="0.2">
      <c r="A34" s="3">
        <v>30</v>
      </c>
      <c r="B34" s="1" t="s">
        <v>66</v>
      </c>
      <c r="C34" s="4">
        <v>0.16</v>
      </c>
      <c r="D34" s="5">
        <v>1.6</v>
      </c>
      <c r="E34" s="6">
        <v>2000</v>
      </c>
      <c r="F34" s="6">
        <v>0.94269999999999998</v>
      </c>
      <c r="G34" s="6">
        <v>0.1111</v>
      </c>
      <c r="H34" s="6">
        <v>0</v>
      </c>
      <c r="J34" s="4"/>
      <c r="K34" s="5"/>
    </row>
    <row r="35" spans="1:11" x14ac:dyDescent="0.2">
      <c r="A35" s="3">
        <v>31</v>
      </c>
      <c r="B35" s="1" t="s">
        <v>67</v>
      </c>
      <c r="C35" s="4">
        <v>0.19</v>
      </c>
      <c r="D35" s="5">
        <v>1.3</v>
      </c>
      <c r="E35" s="6">
        <v>3000</v>
      </c>
      <c r="F35" s="6">
        <v>0.94269999999999998</v>
      </c>
      <c r="G35" s="6">
        <v>0.1111</v>
      </c>
      <c r="H35" s="6">
        <v>0</v>
      </c>
      <c r="J35" s="4"/>
      <c r="K35" s="5"/>
    </row>
    <row r="36" spans="1:11" x14ac:dyDescent="0.2">
      <c r="A36" s="3">
        <v>32</v>
      </c>
      <c r="B36" s="1" t="s">
        <v>68</v>
      </c>
      <c r="C36" s="4">
        <v>0.63</v>
      </c>
      <c r="D36" s="5">
        <v>1.3</v>
      </c>
      <c r="E36" s="6">
        <v>3000</v>
      </c>
      <c r="F36" s="6">
        <v>0.94269999999999998</v>
      </c>
      <c r="G36" s="6">
        <v>0.1111</v>
      </c>
      <c r="H36" s="6">
        <v>0</v>
      </c>
      <c r="J36" s="4"/>
      <c r="K36" s="5"/>
    </row>
    <row r="37" spans="1:11" x14ac:dyDescent="0.2">
      <c r="A37" s="3">
        <v>33</v>
      </c>
      <c r="B37" s="1" t="s">
        <v>69</v>
      </c>
      <c r="C37" s="4">
        <v>0.19</v>
      </c>
      <c r="D37" s="5">
        <v>1.3</v>
      </c>
      <c r="E37" s="6">
        <v>3000</v>
      </c>
      <c r="F37" s="6">
        <v>0.94269999999999998</v>
      </c>
      <c r="G37" s="6">
        <v>0.1111</v>
      </c>
      <c r="H37" s="6">
        <v>0</v>
      </c>
      <c r="J37" s="4"/>
      <c r="K37" s="5"/>
    </row>
    <row r="39" spans="1:11" x14ac:dyDescent="0.2">
      <c r="A39" t="s">
        <v>0</v>
      </c>
      <c r="B39" t="s">
        <v>72</v>
      </c>
      <c r="C39" s="7"/>
      <c r="D39" s="7"/>
      <c r="E39" s="7"/>
    </row>
    <row r="40" spans="1:11" x14ac:dyDescent="0.2">
      <c r="A40">
        <v>1</v>
      </c>
      <c r="B40">
        <v>0.15</v>
      </c>
      <c r="C40" s="7"/>
      <c r="D40" s="7"/>
      <c r="E40" s="7"/>
    </row>
    <row r="41" spans="1:11" x14ac:dyDescent="0.2">
      <c r="A41">
        <v>2</v>
      </c>
      <c r="B41">
        <v>0.255</v>
      </c>
      <c r="C41" s="7"/>
      <c r="D41" s="7"/>
      <c r="E41" s="7"/>
    </row>
    <row r="42" spans="1:11" x14ac:dyDescent="0.2">
      <c r="A42">
        <v>3</v>
      </c>
      <c r="B42">
        <v>0.17849999999999999</v>
      </c>
      <c r="C42" s="7"/>
      <c r="D42" s="7"/>
      <c r="E42" s="7"/>
    </row>
    <row r="43" spans="1:11" x14ac:dyDescent="0.2">
      <c r="A43">
        <v>4</v>
      </c>
      <c r="B43">
        <v>0.1666</v>
      </c>
      <c r="C43" s="7"/>
      <c r="D43" s="7"/>
      <c r="E43" s="7"/>
    </row>
    <row r="44" spans="1:11" x14ac:dyDescent="0.2">
      <c r="A44">
        <v>5</v>
      </c>
      <c r="B44">
        <v>0.1666</v>
      </c>
      <c r="C44" s="7"/>
      <c r="D44" s="7"/>
      <c r="E44" s="7"/>
    </row>
    <row r="45" spans="1:11" x14ac:dyDescent="0.2">
      <c r="A45">
        <v>6</v>
      </c>
      <c r="B45">
        <v>8.3299999999999999E-2</v>
      </c>
      <c r="C45" s="7"/>
      <c r="D45" s="7"/>
      <c r="E45" s="7"/>
    </row>
    <row r="46" spans="1:11" x14ac:dyDescent="0.2">
      <c r="A46">
        <v>7</v>
      </c>
      <c r="B46">
        <v>0</v>
      </c>
      <c r="C46" s="7"/>
      <c r="D46" s="7"/>
      <c r="E46" s="7"/>
    </row>
    <row r="47" spans="1:11" x14ac:dyDescent="0.2">
      <c r="A47">
        <v>8</v>
      </c>
      <c r="B47">
        <v>0</v>
      </c>
      <c r="C47" s="7"/>
      <c r="D47" s="7"/>
      <c r="E47" s="7"/>
    </row>
    <row r="48" spans="1:11" x14ac:dyDescent="0.2">
      <c r="A48">
        <v>9</v>
      </c>
      <c r="B48">
        <v>0</v>
      </c>
      <c r="C48" s="7"/>
      <c r="D48" s="7"/>
      <c r="E48" s="7"/>
    </row>
    <row r="49" spans="1:5" x14ac:dyDescent="0.2">
      <c r="A49">
        <v>10</v>
      </c>
      <c r="B49">
        <v>0</v>
      </c>
      <c r="C49" s="7"/>
      <c r="D49" s="7"/>
      <c r="E49" s="7"/>
    </row>
  </sheetData>
  <sheetProtection sheet="1" objects="1" scenarios="1"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Example</vt:lpstr>
      <vt:lpstr>Blank</vt:lpstr>
      <vt:lpstr>Data</vt:lpstr>
      <vt:lpstr>Sheet3</vt:lpstr>
      <vt:lpstr>Blank!Print_Area</vt:lpstr>
      <vt:lpstr>Example!Print_Area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M.Edwards</dc:creator>
  <cp:lastModifiedBy>Johanns, Ann M [ECONA]</cp:lastModifiedBy>
  <cp:lastPrinted>2023-02-14T14:44:55Z</cp:lastPrinted>
  <dcterms:created xsi:type="dcterms:W3CDTF">2003-01-23T03:17:03Z</dcterms:created>
  <dcterms:modified xsi:type="dcterms:W3CDTF">2023-02-14T16:44:33Z</dcterms:modified>
</cp:coreProperties>
</file>