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crops\xls\"/>
    </mc:Choice>
  </mc:AlternateContent>
  <xr:revisionPtr revIDLastSave="0" documentId="14_{6EFF2836-2F10-4840-AEBD-5F22E7E9525A}" xr6:coauthVersionLast="47" xr6:coauthVersionMax="47" xr10:uidLastSave="{00000000-0000-0000-0000-000000000000}"/>
  <workbookProtection workbookAlgorithmName="SHA-512" workbookHashValue="e33P5feImtyRWISrslbaPAkghiawiICPpVQCclFnS8DTW1RDgtq/VJV1UpPyWQcBJFFa3ctCiHIuyd9VXtqiFQ==" workbookSaltValue="w6TIlKgFNChtxYua7T/o+A==" workbookSpinCount="100000" lockStructure="1"/>
  <bookViews>
    <workbookView xWindow="-28920" yWindow="-120" windowWidth="29040" windowHeight="17640" tabRatio="786" xr2:uid="{00000000-000D-0000-FFFF-FFFF00000000}"/>
  </bookViews>
  <sheets>
    <sheet name="Read Me" sheetId="35" r:id="rId1"/>
    <sheet name="Payment by County - Non Irr." sheetId="43" r:id="rId2"/>
    <sheet name="Sensitivity Analysis" sheetId="27" r:id="rId3"/>
    <sheet name="Historic Yields C" sheetId="28" state="hidden" r:id="rId4"/>
    <sheet name="Historic Yields S" sheetId="29" state="hidden" r:id="rId5"/>
    <sheet name="corn yields Nonirrigated" sheetId="15" state="hidden" r:id="rId6"/>
    <sheet name="soybean yields Nonirrigated" sheetId="16" state="hidden" r:id="rId7"/>
    <sheet name="ARC-CO All Counties - Non-irr." sheetId="19" r:id="rId8"/>
    <sheet name="Payment by County - Irr" sheetId="44" r:id="rId9"/>
    <sheet name="corn yields Irrigated" sheetId="24" state="hidden" r:id="rId10"/>
    <sheet name="soybean yields Irrigated" sheetId="25" state="hidden" r:id="rId11"/>
    <sheet name="ARC-CO All Counties - Irrigated" sheetId="26" r:id="rId12"/>
    <sheet name="Avg. PLC Yields by County" sheetId="31" r:id="rId13"/>
  </sheets>
  <externalReferences>
    <externalReference r:id="rId14"/>
  </externalReferences>
  <definedNames>
    <definedName name="_xlnm._FilterDatabase" localSheetId="11" hidden="1">'ARC-CO All Counties - Irrigated'!#REF!</definedName>
    <definedName name="_xlnm._FilterDatabase" localSheetId="7" hidden="1">'ARC-CO All Counties - Non-irr.'!$A$6:$P$106</definedName>
    <definedName name="_xlnm._FilterDatabase" localSheetId="12" hidden="1">'Avg. PLC Yields by County'!$A$6:$D$106</definedName>
    <definedName name="_xlnm._FilterDatabase" localSheetId="9" hidden="1">'corn yields Irrigated'!$A$3:$I$3</definedName>
    <definedName name="_xlnm._FilterDatabase" localSheetId="5" hidden="1">'corn yields Nonirrigated'!$A$3:$D$3</definedName>
    <definedName name="_xlnm._FilterDatabase" localSheetId="10" hidden="1">'soybean yields Irrigated'!$A$3:$I$3</definedName>
    <definedName name="_xlnm._FilterDatabase" localSheetId="6" hidden="1">'soybean yields Nonirrigated'!$A$3:$D$3</definedName>
    <definedName name="All_TYlds">'[1]70% of T-yields Sorting'!$A$3:$B$19692</definedName>
    <definedName name="ARC_CO.2014_1031" localSheetId="9">'corn yields Irrigated'!$A$4:$I$103</definedName>
    <definedName name="ARC_CO.2014_1031" localSheetId="10">'soybean yields Irrigated'!#REF!</definedName>
    <definedName name="ARC_CO.2014_1031" localSheetId="6">'soybean yields Nonirrigated'!#REF!</definedName>
    <definedName name="ARC_CO.2014_1031">'corn yields Nonirrigated'!$A$4:$D$103</definedName>
    <definedName name="ARC_CO_All" localSheetId="10">#REF!</definedName>
    <definedName name="ARC_CO_All" localSheetId="6">#REF!</definedName>
    <definedName name="I_NI">[1]I_NI!$F$2:$G$912</definedName>
    <definedName name="IA_v2">[1]IA!$AM$3:$BB$602</definedName>
    <definedName name="_xlnm.Print_Area" localSheetId="11">'ARC-CO All Counties - Irrigated'!$A$1:$P$34</definedName>
    <definedName name="_xlnm.Print_Area" localSheetId="7">'ARC-CO All Counties - Non-irr.'!$A$1:$P$109</definedName>
    <definedName name="_xlnm.Print_Area" localSheetId="12">'Avg. PLC Yields by County'!$A$1:$P$111</definedName>
    <definedName name="_xlnm.Print_Area" localSheetId="8">'Payment by County - Irr'!$A$1:$Q$89</definedName>
    <definedName name="_xlnm.Print_Area" localSheetId="1">'Payment by County - Non Irr.'!$A$1:$Q$95</definedName>
    <definedName name="_xlnm.Print_Area" localSheetId="0">'Read Me'!$A$1:$G$28</definedName>
    <definedName name="_xlnm.Print_Titles" localSheetId="8">'Payment by County - Irr'!$1:$4</definedName>
    <definedName name="_xlnm.Print_Titles" localSheetId="1">'Payment by County - Non Irr.'!$1:$4</definedName>
    <definedName name="RMA_TYlds">'[1]70% of T-yields Sorting'!$R$3:$S$13095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44" l="1"/>
  <c r="A16" i="35"/>
  <c r="H43" i="44"/>
  <c r="A65" i="44" l="1"/>
  <c r="A50" i="44"/>
  <c r="Q65" i="44" l="1"/>
  <c r="H65" i="44"/>
  <c r="F34" i="44"/>
  <c r="E34" i="44"/>
  <c r="D34" i="44"/>
  <c r="C34" i="44"/>
  <c r="B34" i="44"/>
  <c r="O34" i="44"/>
  <c r="N34" i="44"/>
  <c r="M34" i="44"/>
  <c r="L34" i="44"/>
  <c r="K34" i="44"/>
  <c r="Q35" i="44" l="1"/>
  <c r="Q43" i="44"/>
  <c r="Q44" i="44"/>
  <c r="P51" i="44"/>
  <c r="Q51" i="44"/>
  <c r="G51" i="44"/>
  <c r="H51" i="44"/>
  <c r="H44" i="44"/>
  <c r="Q50" i="43"/>
  <c r="Q49" i="43"/>
  <c r="H50" i="43"/>
  <c r="H49" i="43"/>
  <c r="Q66" i="44"/>
  <c r="P66" i="44"/>
  <c r="G66" i="44"/>
  <c r="H66" i="44"/>
  <c r="Q64" i="44"/>
  <c r="H64" i="44"/>
  <c r="G64" i="44" s="1"/>
  <c r="P57" i="43"/>
  <c r="G57" i="43"/>
  <c r="Q57" i="43"/>
  <c r="H57" i="43"/>
  <c r="Q70" i="43"/>
  <c r="Q72" i="43"/>
  <c r="P72" i="43"/>
  <c r="H72" i="43"/>
  <c r="G72" i="43"/>
  <c r="H70" i="43"/>
  <c r="P44" i="44"/>
  <c r="P43" i="44"/>
  <c r="G44" i="44"/>
  <c r="G43" i="44"/>
  <c r="P50" i="43"/>
  <c r="P49" i="43"/>
  <c r="G49" i="43"/>
  <c r="G50" i="43"/>
  <c r="P67" i="43"/>
  <c r="P61" i="44"/>
  <c r="G61" i="44"/>
  <c r="H61" i="44"/>
  <c r="Q61" i="44"/>
  <c r="Q67" i="43"/>
  <c r="G67" i="43"/>
  <c r="H67" i="43"/>
  <c r="P64" i="44" l="1"/>
  <c r="H45" i="44"/>
  <c r="Q45" i="44"/>
  <c r="Q51" i="43"/>
  <c r="H51" i="43"/>
  <c r="J66" i="44" l="1"/>
  <c r="A66" i="44"/>
  <c r="J65" i="44"/>
  <c r="A56" i="43"/>
  <c r="A51" i="44"/>
  <c r="J51" i="44"/>
  <c r="J54" i="44"/>
  <c r="A54" i="44"/>
  <c r="A44" i="44"/>
  <c r="A43" i="44"/>
  <c r="A42" i="44"/>
  <c r="A17" i="44"/>
  <c r="A16" i="44"/>
  <c r="A12" i="44"/>
  <c r="A11" i="44"/>
  <c r="J27" i="44"/>
  <c r="A27" i="44"/>
  <c r="A45" i="43"/>
  <c r="A39" i="44"/>
  <c r="A40" i="44"/>
  <c r="A46" i="43"/>
  <c r="A71" i="43"/>
  <c r="J71" i="43"/>
  <c r="J72" i="43"/>
  <c r="A72" i="43"/>
  <c r="A48" i="43"/>
  <c r="J57" i="43"/>
  <c r="A57" i="43"/>
  <c r="A50" i="43"/>
  <c r="J50" i="43" s="1"/>
  <c r="J33" i="43"/>
  <c r="A33" i="43"/>
  <c r="A49" i="43"/>
  <c r="J49" i="43" s="1"/>
  <c r="B27" i="43" l="1"/>
  <c r="B28" i="43" s="1"/>
  <c r="A14" i="43"/>
  <c r="A16" i="43"/>
  <c r="A21" i="43"/>
  <c r="A12" i="43"/>
  <c r="A11" i="43"/>
  <c r="J60" i="43"/>
  <c r="A60" i="43"/>
  <c r="A10" i="35"/>
  <c r="A14" i="44"/>
  <c r="A13" i="43"/>
  <c r="A13" i="44"/>
  <c r="B11" i="27"/>
  <c r="A9" i="27"/>
  <c r="A8" i="27"/>
  <c r="A81" i="44"/>
  <c r="A72" i="44"/>
  <c r="A71" i="44"/>
  <c r="J67" i="44"/>
  <c r="A67" i="44"/>
  <c r="H67" i="44"/>
  <c r="J63" i="44"/>
  <c r="A63" i="44"/>
  <c r="Q67" i="44"/>
  <c r="J56" i="44"/>
  <c r="A56" i="44"/>
  <c r="A52" i="44"/>
  <c r="J52" i="44" s="1"/>
  <c r="J50" i="44"/>
  <c r="A49" i="44"/>
  <c r="J49" i="44" s="1"/>
  <c r="J48" i="44"/>
  <c r="A48" i="44"/>
  <c r="A45" i="44"/>
  <c r="J45" i="44" s="1"/>
  <c r="J44" i="44"/>
  <c r="A64" i="44"/>
  <c r="J42" i="44"/>
  <c r="J40" i="44"/>
  <c r="J39" i="44"/>
  <c r="J37" i="44"/>
  <c r="J33" i="44"/>
  <c r="H33" i="44"/>
  <c r="Q33" i="44" s="1"/>
  <c r="G33" i="44"/>
  <c r="P33" i="44" s="1"/>
  <c r="F33" i="44"/>
  <c r="O33" i="44" s="1"/>
  <c r="E33" i="44"/>
  <c r="N33" i="44" s="1"/>
  <c r="D33" i="44"/>
  <c r="M33" i="44" s="1"/>
  <c r="C33" i="44"/>
  <c r="L33" i="44" s="1"/>
  <c r="B33" i="44"/>
  <c r="K33" i="44" s="1"/>
  <c r="Q29" i="44"/>
  <c r="P29" i="44"/>
  <c r="O29" i="44"/>
  <c r="N29" i="44"/>
  <c r="M29" i="44"/>
  <c r="L29" i="44"/>
  <c r="K29" i="44"/>
  <c r="J29" i="44"/>
  <c r="K24" i="44"/>
  <c r="B24" i="44"/>
  <c r="A24" i="44"/>
  <c r="J24" i="44" s="1"/>
  <c r="A22" i="44"/>
  <c r="J22" i="44" s="1"/>
  <c r="K21" i="44"/>
  <c r="K22" i="44" s="1"/>
  <c r="B21" i="44"/>
  <c r="B22" i="44" s="1"/>
  <c r="G19" i="44"/>
  <c r="P19" i="44" s="1"/>
  <c r="F19" i="44"/>
  <c r="O19" i="44" s="1"/>
  <c r="E19" i="44"/>
  <c r="N19" i="44" s="1"/>
  <c r="D19" i="44"/>
  <c r="M19" i="44" s="1"/>
  <c r="C19" i="44"/>
  <c r="L19" i="44" s="1"/>
  <c r="H35" i="44" l="1"/>
  <c r="E7" i="44"/>
  <c r="C22" i="44"/>
  <c r="C25" i="44"/>
  <c r="L25" i="44"/>
  <c r="L22" i="44"/>
  <c r="C28" i="43"/>
  <c r="J43" i="44"/>
  <c r="J64" i="44" s="1"/>
  <c r="B25" i="44"/>
  <c r="K25" i="44"/>
  <c r="J73" i="43"/>
  <c r="J69" i="43"/>
  <c r="J62" i="43"/>
  <c r="A78" i="43"/>
  <c r="A77" i="43"/>
  <c r="A73" i="43"/>
  <c r="A58" i="43"/>
  <c r="J58" i="43" s="1"/>
  <c r="A70" i="43"/>
  <c r="A69" i="43"/>
  <c r="A51" i="43"/>
  <c r="J51" i="43" s="1"/>
  <c r="J43" i="43"/>
  <c r="J39" i="43"/>
  <c r="J35" i="43"/>
  <c r="J56" i="43"/>
  <c r="A55" i="43"/>
  <c r="J55" i="43" s="1"/>
  <c r="A62" i="43"/>
  <c r="J54" i="43"/>
  <c r="L35" i="43"/>
  <c r="M35" i="43"/>
  <c r="N35" i="43"/>
  <c r="O35" i="43"/>
  <c r="P35" i="43"/>
  <c r="Q35" i="43"/>
  <c r="K35" i="43"/>
  <c r="D25" i="43"/>
  <c r="M25" i="43" s="1"/>
  <c r="E25" i="43"/>
  <c r="N25" i="43" s="1"/>
  <c r="F25" i="43"/>
  <c r="O25" i="43" s="1"/>
  <c r="G25" i="43"/>
  <c r="P25" i="43" s="1"/>
  <c r="C25" i="43"/>
  <c r="L25" i="43" s="1"/>
  <c r="C39" i="43"/>
  <c r="L39" i="43" s="1"/>
  <c r="D39" i="43"/>
  <c r="M39" i="43" s="1"/>
  <c r="E39" i="43"/>
  <c r="N39" i="43" s="1"/>
  <c r="F39" i="43"/>
  <c r="O39" i="43" s="1"/>
  <c r="G39" i="43"/>
  <c r="P39" i="43" s="1"/>
  <c r="H39" i="43"/>
  <c r="Q39" i="43" s="1"/>
  <c r="B39" i="43"/>
  <c r="K39" i="43" s="1"/>
  <c r="K27" i="43"/>
  <c r="K28" i="43" s="1"/>
  <c r="K30" i="43"/>
  <c r="B30" i="43"/>
  <c r="C31" i="43" s="1"/>
  <c r="J48" i="43"/>
  <c r="A54" i="43"/>
  <c r="J45" i="43"/>
  <c r="J46" i="43"/>
  <c r="A28" i="43"/>
  <c r="J28" i="43" s="1"/>
  <c r="A30" i="43"/>
  <c r="J30" i="43" s="1"/>
  <c r="L31" i="43" l="1"/>
  <c r="L28" i="43"/>
  <c r="L30" i="44"/>
  <c r="M30" i="44"/>
  <c r="Q56" i="44"/>
  <c r="K30" i="44"/>
  <c r="N30" i="44"/>
  <c r="O30" i="44"/>
  <c r="H56" i="44"/>
  <c r="F30" i="44"/>
  <c r="E30" i="44"/>
  <c r="B30" i="44"/>
  <c r="D30" i="44"/>
  <c r="C30" i="44"/>
  <c r="J70" i="43"/>
  <c r="K31" i="43"/>
  <c r="B31" i="43"/>
  <c r="S7" i="26"/>
  <c r="S6" i="19"/>
  <c r="O7" i="19"/>
  <c r="J4" i="24"/>
  <c r="Q62" i="43" l="1"/>
  <c r="H58" i="44"/>
  <c r="Q58" i="44"/>
  <c r="Q31" i="44"/>
  <c r="Q38" i="44" s="1"/>
  <c r="H31" i="44"/>
  <c r="F36" i="43"/>
  <c r="H62" i="43"/>
  <c r="L36" i="43"/>
  <c r="M36" i="43"/>
  <c r="N36" i="43"/>
  <c r="O36" i="43"/>
  <c r="K36" i="43"/>
  <c r="E36" i="43"/>
  <c r="D36" i="43"/>
  <c r="C36" i="43"/>
  <c r="B36" i="43"/>
  <c r="H38" i="44" l="1"/>
  <c r="H40" i="44" s="1"/>
  <c r="H71" i="43"/>
  <c r="H73" i="43" s="1"/>
  <c r="Q71" i="43"/>
  <c r="Q73" i="43" s="1"/>
  <c r="P70" i="43"/>
  <c r="Q64" i="43"/>
  <c r="H64" i="43"/>
  <c r="G70" i="43" s="1"/>
  <c r="Q37" i="43"/>
  <c r="H37" i="43"/>
  <c r="S3" i="19" s="1"/>
  <c r="H39" i="44"/>
  <c r="Q39" i="44"/>
  <c r="Q46" i="44" s="1"/>
  <c r="Q40" i="44"/>
  <c r="K4" i="15"/>
  <c r="A20" i="35"/>
  <c r="X4" i="24"/>
  <c r="L15" i="25"/>
  <c r="B155" i="29"/>
  <c r="F155" i="29" s="1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73" i="28"/>
  <c r="H46" i="44" l="1"/>
  <c r="H49" i="44"/>
  <c r="G49" i="44" s="1"/>
  <c r="Q49" i="44"/>
  <c r="Q50" i="44" s="1"/>
  <c r="Q52" i="44" s="1"/>
  <c r="S3" i="26"/>
  <c r="T3" i="26"/>
  <c r="T3" i="19"/>
  <c r="F73" i="28"/>
  <c r="F78" i="28"/>
  <c r="F80" i="28"/>
  <c r="F86" i="28"/>
  <c r="F94" i="28"/>
  <c r="F95" i="28"/>
  <c r="F96" i="28"/>
  <c r="F102" i="28"/>
  <c r="F103" i="28"/>
  <c r="F104" i="28"/>
  <c r="F110" i="28"/>
  <c r="F111" i="28"/>
  <c r="F112" i="28"/>
  <c r="F118" i="28"/>
  <c r="F119" i="28"/>
  <c r="F120" i="28"/>
  <c r="F126" i="28"/>
  <c r="F127" i="28"/>
  <c r="F128" i="28"/>
  <c r="F134" i="28"/>
  <c r="F135" i="28"/>
  <c r="F136" i="28"/>
  <c r="F142" i="28"/>
  <c r="F144" i="28"/>
  <c r="F149" i="28"/>
  <c r="F150" i="28"/>
  <c r="F151" i="28" s="1"/>
  <c r="F152" i="28"/>
  <c r="F158" i="28"/>
  <c r="F159" i="28"/>
  <c r="F160" i="28"/>
  <c r="F166" i="28"/>
  <c r="F167" i="28"/>
  <c r="F168" i="28"/>
  <c r="B40" i="43"/>
  <c r="C40" i="43"/>
  <c r="D40" i="43"/>
  <c r="E40" i="43"/>
  <c r="F40" i="43"/>
  <c r="B7" i="27"/>
  <c r="L31" i="15"/>
  <c r="L4" i="15"/>
  <c r="L49" i="15"/>
  <c r="D23" i="43"/>
  <c r="D22" i="43"/>
  <c r="A8" i="35"/>
  <c r="G4" i="31"/>
  <c r="T4" i="26"/>
  <c r="S4" i="26"/>
  <c r="O4" i="26"/>
  <c r="T4" i="19"/>
  <c r="S4" i="19"/>
  <c r="O4" i="19"/>
  <c r="B22" i="27"/>
  <c r="B9" i="27"/>
  <c r="F23" i="27" s="1"/>
  <c r="E23" i="27" s="1"/>
  <c r="B8" i="27"/>
  <c r="F12" i="27" s="1"/>
  <c r="I12" i="27" s="1"/>
  <c r="A87" i="43"/>
  <c r="O40" i="43"/>
  <c r="N40" i="43"/>
  <c r="M40" i="43"/>
  <c r="L40" i="43"/>
  <c r="K40" i="43"/>
  <c r="A34" i="26"/>
  <c r="L5" i="25"/>
  <c r="M5" i="25"/>
  <c r="L6" i="25"/>
  <c r="M6" i="25"/>
  <c r="L7" i="25"/>
  <c r="M7" i="25"/>
  <c r="L8" i="25"/>
  <c r="M8" i="25"/>
  <c r="L9" i="25"/>
  <c r="M9" i="25"/>
  <c r="L10" i="25"/>
  <c r="M10" i="25"/>
  <c r="L11" i="25"/>
  <c r="M11" i="25"/>
  <c r="L12" i="25"/>
  <c r="M12" i="25"/>
  <c r="L13" i="25"/>
  <c r="M13" i="25"/>
  <c r="L14" i="25"/>
  <c r="M14" i="25"/>
  <c r="M15" i="25"/>
  <c r="L16" i="25"/>
  <c r="M16" i="25"/>
  <c r="L17" i="25"/>
  <c r="M17" i="25"/>
  <c r="L18" i="25"/>
  <c r="M18" i="25"/>
  <c r="L19" i="25"/>
  <c r="M19" i="25"/>
  <c r="M4" i="25"/>
  <c r="L4" i="25"/>
  <c r="L6" i="24"/>
  <c r="M6" i="24"/>
  <c r="L7" i="24"/>
  <c r="M7" i="24"/>
  <c r="L8" i="24"/>
  <c r="M8" i="24"/>
  <c r="L9" i="24"/>
  <c r="M9" i="24"/>
  <c r="L10" i="24"/>
  <c r="M10" i="24"/>
  <c r="L11" i="24"/>
  <c r="M11" i="24"/>
  <c r="L12" i="24"/>
  <c r="M12" i="24"/>
  <c r="L13" i="24"/>
  <c r="M13" i="24"/>
  <c r="L14" i="24"/>
  <c r="M14" i="24"/>
  <c r="L15" i="24"/>
  <c r="M15" i="24"/>
  <c r="L16" i="24"/>
  <c r="M16" i="24"/>
  <c r="L17" i="24"/>
  <c r="M17" i="24"/>
  <c r="L18" i="24"/>
  <c r="M18" i="24"/>
  <c r="L19" i="24"/>
  <c r="M19" i="24"/>
  <c r="L20" i="24"/>
  <c r="M20" i="24"/>
  <c r="L21" i="24"/>
  <c r="M21" i="24"/>
  <c r="L22" i="24"/>
  <c r="M22" i="24"/>
  <c r="L23" i="24"/>
  <c r="M23" i="24"/>
  <c r="L24" i="24"/>
  <c r="M24" i="24"/>
  <c r="L25" i="24"/>
  <c r="M25" i="24"/>
  <c r="L26" i="24"/>
  <c r="M26" i="24"/>
  <c r="L5" i="24"/>
  <c r="M5" i="24"/>
  <c r="M4" i="24"/>
  <c r="L4" i="24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K29" i="16"/>
  <c r="L29" i="16"/>
  <c r="K30" i="16"/>
  <c r="L30" i="16"/>
  <c r="K31" i="16"/>
  <c r="L31" i="16"/>
  <c r="K32" i="16"/>
  <c r="L32" i="16"/>
  <c r="K33" i="16"/>
  <c r="L33" i="16"/>
  <c r="K34" i="16"/>
  <c r="L34" i="16"/>
  <c r="K35" i="16"/>
  <c r="L35" i="16"/>
  <c r="K36" i="16"/>
  <c r="L36" i="16"/>
  <c r="K37" i="16"/>
  <c r="L37" i="16"/>
  <c r="K38" i="16"/>
  <c r="L38" i="16"/>
  <c r="K39" i="16"/>
  <c r="L39" i="16"/>
  <c r="K40" i="16"/>
  <c r="L40" i="16"/>
  <c r="K41" i="16"/>
  <c r="L41" i="16"/>
  <c r="K42" i="16"/>
  <c r="L42" i="16"/>
  <c r="K43" i="16"/>
  <c r="L43" i="16"/>
  <c r="K44" i="16"/>
  <c r="L44" i="16"/>
  <c r="K45" i="16"/>
  <c r="L45" i="16"/>
  <c r="K46" i="16"/>
  <c r="L46" i="16"/>
  <c r="K47" i="16"/>
  <c r="L47" i="16"/>
  <c r="K48" i="16"/>
  <c r="L48" i="16"/>
  <c r="K49" i="16"/>
  <c r="L49" i="16"/>
  <c r="K50" i="16"/>
  <c r="L50" i="16"/>
  <c r="K51" i="16"/>
  <c r="L51" i="16"/>
  <c r="K52" i="16"/>
  <c r="L52" i="16"/>
  <c r="K53" i="16"/>
  <c r="L53" i="16"/>
  <c r="K54" i="16"/>
  <c r="L54" i="16"/>
  <c r="K55" i="16"/>
  <c r="L55" i="16"/>
  <c r="K56" i="16"/>
  <c r="L56" i="16"/>
  <c r="K57" i="16"/>
  <c r="L57" i="16"/>
  <c r="K58" i="16"/>
  <c r="L58" i="16"/>
  <c r="K59" i="16"/>
  <c r="L59" i="16"/>
  <c r="K60" i="16"/>
  <c r="L60" i="16"/>
  <c r="K61" i="16"/>
  <c r="L61" i="16"/>
  <c r="K62" i="16"/>
  <c r="L62" i="16"/>
  <c r="K63" i="16"/>
  <c r="L63" i="16"/>
  <c r="K64" i="16"/>
  <c r="L64" i="16"/>
  <c r="K65" i="16"/>
  <c r="L65" i="16"/>
  <c r="K66" i="16"/>
  <c r="L66" i="16"/>
  <c r="K67" i="16"/>
  <c r="L67" i="16"/>
  <c r="K68" i="16"/>
  <c r="L68" i="16"/>
  <c r="K69" i="16"/>
  <c r="L69" i="16"/>
  <c r="K70" i="16"/>
  <c r="L70" i="16"/>
  <c r="K71" i="16"/>
  <c r="L71" i="16"/>
  <c r="K72" i="16"/>
  <c r="L72" i="16"/>
  <c r="K73" i="16"/>
  <c r="L73" i="16"/>
  <c r="K74" i="16"/>
  <c r="L74" i="16"/>
  <c r="K75" i="16"/>
  <c r="L75" i="16"/>
  <c r="K76" i="16"/>
  <c r="L76" i="16"/>
  <c r="K77" i="16"/>
  <c r="L77" i="16"/>
  <c r="K78" i="16"/>
  <c r="L78" i="16"/>
  <c r="K79" i="16"/>
  <c r="L79" i="16"/>
  <c r="K80" i="16"/>
  <c r="L80" i="16"/>
  <c r="K81" i="16"/>
  <c r="L81" i="16"/>
  <c r="K82" i="16"/>
  <c r="L82" i="16"/>
  <c r="K83" i="16"/>
  <c r="L83" i="16"/>
  <c r="K84" i="16"/>
  <c r="L84" i="16"/>
  <c r="K85" i="16"/>
  <c r="L85" i="16"/>
  <c r="K86" i="16"/>
  <c r="L86" i="16"/>
  <c r="K87" i="16"/>
  <c r="L87" i="16"/>
  <c r="K88" i="16"/>
  <c r="L88" i="16"/>
  <c r="K89" i="16"/>
  <c r="L89" i="16"/>
  <c r="K90" i="16"/>
  <c r="L90" i="16"/>
  <c r="K91" i="16"/>
  <c r="L91" i="16"/>
  <c r="K92" i="16"/>
  <c r="L92" i="16"/>
  <c r="K93" i="16"/>
  <c r="L93" i="16"/>
  <c r="K94" i="16"/>
  <c r="L94" i="16"/>
  <c r="K95" i="16"/>
  <c r="L95" i="16"/>
  <c r="K96" i="16"/>
  <c r="L96" i="16"/>
  <c r="K97" i="16"/>
  <c r="L97" i="16"/>
  <c r="K98" i="16"/>
  <c r="L98" i="16"/>
  <c r="K99" i="16"/>
  <c r="L99" i="16"/>
  <c r="K100" i="16"/>
  <c r="L100" i="16"/>
  <c r="K101" i="16"/>
  <c r="L101" i="16"/>
  <c r="K102" i="16"/>
  <c r="L102" i="16"/>
  <c r="K103" i="16"/>
  <c r="L103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L12" i="16"/>
  <c r="K12" i="16"/>
  <c r="L11" i="16"/>
  <c r="K11" i="16"/>
  <c r="L10" i="16"/>
  <c r="K10" i="16"/>
  <c r="L9" i="16"/>
  <c r="K9" i="16"/>
  <c r="L8" i="16"/>
  <c r="K8" i="16"/>
  <c r="L7" i="16"/>
  <c r="K7" i="16"/>
  <c r="L6" i="16"/>
  <c r="K6" i="16"/>
  <c r="L5" i="16"/>
  <c r="K5" i="16"/>
  <c r="L4" i="16"/>
  <c r="K4" i="16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K32" i="15"/>
  <c r="L32" i="15"/>
  <c r="B172" i="29"/>
  <c r="F172" i="29" s="1"/>
  <c r="B171" i="29"/>
  <c r="F171" i="29" s="1"/>
  <c r="B170" i="29"/>
  <c r="F170" i="29" s="1"/>
  <c r="B169" i="29"/>
  <c r="F169" i="29" s="1"/>
  <c r="B168" i="29"/>
  <c r="F168" i="29" s="1"/>
  <c r="B167" i="29"/>
  <c r="F167" i="29" s="1"/>
  <c r="B166" i="29"/>
  <c r="F166" i="29" s="1"/>
  <c r="B165" i="29"/>
  <c r="F165" i="29" s="1"/>
  <c r="B164" i="29"/>
  <c r="F164" i="29" s="1"/>
  <c r="B163" i="29"/>
  <c r="F163" i="29" s="1"/>
  <c r="B162" i="29"/>
  <c r="F162" i="29" s="1"/>
  <c r="B161" i="29"/>
  <c r="F161" i="29" s="1"/>
  <c r="B160" i="29"/>
  <c r="F160" i="29" s="1"/>
  <c r="B159" i="29"/>
  <c r="F159" i="29" s="1"/>
  <c r="B158" i="29"/>
  <c r="F158" i="29" s="1"/>
  <c r="B157" i="29"/>
  <c r="F157" i="29" s="1"/>
  <c r="B156" i="29"/>
  <c r="F156" i="29" s="1"/>
  <c r="B154" i="29"/>
  <c r="F154" i="29" s="1"/>
  <c r="B153" i="29"/>
  <c r="F153" i="29" s="1"/>
  <c r="B152" i="29"/>
  <c r="F152" i="29" s="1"/>
  <c r="B151" i="29"/>
  <c r="F150" i="29" s="1"/>
  <c r="F151" i="29" s="1"/>
  <c r="B150" i="29"/>
  <c r="F149" i="29" s="1"/>
  <c r="B149" i="29"/>
  <c r="F148" i="29" s="1"/>
  <c r="B148" i="29"/>
  <c r="F147" i="29" s="1"/>
  <c r="B147" i="29"/>
  <c r="F146" i="29" s="1"/>
  <c r="B146" i="29"/>
  <c r="F145" i="29" s="1"/>
  <c r="B145" i="29"/>
  <c r="B144" i="29"/>
  <c r="F144" i="29" s="1"/>
  <c r="B143" i="29"/>
  <c r="F143" i="29" s="1"/>
  <c r="B142" i="29"/>
  <c r="F142" i="29" s="1"/>
  <c r="B141" i="29"/>
  <c r="F141" i="29" s="1"/>
  <c r="B140" i="29"/>
  <c r="F140" i="29" s="1"/>
  <c r="B139" i="29"/>
  <c r="F139" i="29" s="1"/>
  <c r="B138" i="29"/>
  <c r="F138" i="29" s="1"/>
  <c r="B137" i="29"/>
  <c r="F137" i="29" s="1"/>
  <c r="B136" i="29"/>
  <c r="F136" i="29" s="1"/>
  <c r="B135" i="29"/>
  <c r="F135" i="29" s="1"/>
  <c r="B134" i="29"/>
  <c r="F134" i="29" s="1"/>
  <c r="B133" i="29"/>
  <c r="F133" i="29" s="1"/>
  <c r="B132" i="29"/>
  <c r="F132" i="29" s="1"/>
  <c r="B131" i="29"/>
  <c r="F131" i="29" s="1"/>
  <c r="B130" i="29"/>
  <c r="F130" i="29" s="1"/>
  <c r="B129" i="29"/>
  <c r="F129" i="29" s="1"/>
  <c r="B128" i="29"/>
  <c r="F128" i="29" s="1"/>
  <c r="B127" i="29"/>
  <c r="F127" i="29" s="1"/>
  <c r="B126" i="29"/>
  <c r="F126" i="29" s="1"/>
  <c r="B125" i="29"/>
  <c r="F125" i="29" s="1"/>
  <c r="B124" i="29"/>
  <c r="F124" i="29" s="1"/>
  <c r="B123" i="29"/>
  <c r="F123" i="29" s="1"/>
  <c r="B122" i="29"/>
  <c r="F122" i="29" s="1"/>
  <c r="B121" i="29"/>
  <c r="F121" i="29" s="1"/>
  <c r="B120" i="29"/>
  <c r="F120" i="29" s="1"/>
  <c r="B119" i="29"/>
  <c r="F119" i="29" s="1"/>
  <c r="B118" i="29"/>
  <c r="F118" i="29" s="1"/>
  <c r="B117" i="29"/>
  <c r="F117" i="29" s="1"/>
  <c r="B116" i="29"/>
  <c r="F116" i="29" s="1"/>
  <c r="B115" i="29"/>
  <c r="F115" i="29" s="1"/>
  <c r="B114" i="29"/>
  <c r="F114" i="29" s="1"/>
  <c r="B113" i="29"/>
  <c r="F113" i="29" s="1"/>
  <c r="B112" i="29"/>
  <c r="F112" i="29" s="1"/>
  <c r="B111" i="29"/>
  <c r="F111" i="29" s="1"/>
  <c r="B110" i="29"/>
  <c r="F110" i="29" s="1"/>
  <c r="B109" i="29"/>
  <c r="F109" i="29" s="1"/>
  <c r="B108" i="29"/>
  <c r="F108" i="29" s="1"/>
  <c r="B107" i="29"/>
  <c r="F107" i="29" s="1"/>
  <c r="B106" i="29"/>
  <c r="F106" i="29" s="1"/>
  <c r="B105" i="29"/>
  <c r="F105" i="29" s="1"/>
  <c r="B104" i="29"/>
  <c r="F104" i="29" s="1"/>
  <c r="B103" i="29"/>
  <c r="F103" i="29" s="1"/>
  <c r="B102" i="29"/>
  <c r="F102" i="29" s="1"/>
  <c r="B101" i="29"/>
  <c r="F101" i="29" s="1"/>
  <c r="B100" i="29"/>
  <c r="F100" i="29" s="1"/>
  <c r="B99" i="29"/>
  <c r="F99" i="29" s="1"/>
  <c r="B98" i="29"/>
  <c r="F98" i="29" s="1"/>
  <c r="B97" i="29"/>
  <c r="F97" i="29" s="1"/>
  <c r="B96" i="29"/>
  <c r="F96" i="29" s="1"/>
  <c r="B95" i="29"/>
  <c r="F95" i="29" s="1"/>
  <c r="B94" i="29"/>
  <c r="F94" i="29" s="1"/>
  <c r="B93" i="29"/>
  <c r="F93" i="29" s="1"/>
  <c r="B92" i="29"/>
  <c r="F92" i="29" s="1"/>
  <c r="B91" i="29"/>
  <c r="F91" i="29" s="1"/>
  <c r="B90" i="29"/>
  <c r="F90" i="29" s="1"/>
  <c r="B89" i="29"/>
  <c r="F89" i="29" s="1"/>
  <c r="B88" i="29"/>
  <c r="F88" i="29" s="1"/>
  <c r="B87" i="29"/>
  <c r="F87" i="29" s="1"/>
  <c r="B86" i="29"/>
  <c r="F86" i="29" s="1"/>
  <c r="B85" i="29"/>
  <c r="F85" i="29" s="1"/>
  <c r="B84" i="29"/>
  <c r="F84" i="29" s="1"/>
  <c r="B83" i="29"/>
  <c r="F83" i="29" s="1"/>
  <c r="B82" i="29"/>
  <c r="F82" i="29" s="1"/>
  <c r="B81" i="29"/>
  <c r="F81" i="29" s="1"/>
  <c r="B80" i="29"/>
  <c r="F80" i="29" s="1"/>
  <c r="B79" i="29"/>
  <c r="F79" i="29" s="1"/>
  <c r="B78" i="29"/>
  <c r="F78" i="29" s="1"/>
  <c r="B77" i="29"/>
  <c r="F77" i="29" s="1"/>
  <c r="B76" i="29"/>
  <c r="F76" i="29" s="1"/>
  <c r="B75" i="29"/>
  <c r="F75" i="29" s="1"/>
  <c r="B74" i="29"/>
  <c r="F74" i="29" s="1"/>
  <c r="B73" i="29"/>
  <c r="F73" i="29" s="1"/>
  <c r="F75" i="28"/>
  <c r="F76" i="28"/>
  <c r="F77" i="28"/>
  <c r="F79" i="28"/>
  <c r="F81" i="28"/>
  <c r="F82" i="28"/>
  <c r="F83" i="28"/>
  <c r="F84" i="28"/>
  <c r="F85" i="28"/>
  <c r="F87" i="28"/>
  <c r="F88" i="28"/>
  <c r="F89" i="28"/>
  <c r="F90" i="28"/>
  <c r="F91" i="28"/>
  <c r="F92" i="28"/>
  <c r="F93" i="28"/>
  <c r="F97" i="28"/>
  <c r="F98" i="28"/>
  <c r="F99" i="28"/>
  <c r="F100" i="28"/>
  <c r="F101" i="28"/>
  <c r="F105" i="28"/>
  <c r="F106" i="28"/>
  <c r="F107" i="28"/>
  <c r="F108" i="28"/>
  <c r="F109" i="28"/>
  <c r="F113" i="28"/>
  <c r="F114" i="28"/>
  <c r="F115" i="28"/>
  <c r="F116" i="28"/>
  <c r="F117" i="28"/>
  <c r="F121" i="28"/>
  <c r="F122" i="28"/>
  <c r="F123" i="28"/>
  <c r="F124" i="28"/>
  <c r="F125" i="28"/>
  <c r="F129" i="28"/>
  <c r="F130" i="28"/>
  <c r="F131" i="28"/>
  <c r="F132" i="28"/>
  <c r="F133" i="28"/>
  <c r="F137" i="28"/>
  <c r="F138" i="28"/>
  <c r="F139" i="28"/>
  <c r="F140" i="28"/>
  <c r="F141" i="28"/>
  <c r="F143" i="28"/>
  <c r="F145" i="28"/>
  <c r="F146" i="28"/>
  <c r="F147" i="28"/>
  <c r="F148" i="28"/>
  <c r="F153" i="28"/>
  <c r="F154" i="28"/>
  <c r="F155" i="28"/>
  <c r="F156" i="28"/>
  <c r="F157" i="28"/>
  <c r="F161" i="28"/>
  <c r="F162" i="28"/>
  <c r="F163" i="28"/>
  <c r="F164" i="28"/>
  <c r="F165" i="28"/>
  <c r="F169" i="28"/>
  <c r="F170" i="28"/>
  <c r="F171" i="28"/>
  <c r="F172" i="28"/>
  <c r="A13" i="35"/>
  <c r="A12" i="35"/>
  <c r="A11" i="35"/>
  <c r="A25" i="35"/>
  <c r="M9" i="26"/>
  <c r="N9" i="26"/>
  <c r="O9" i="26"/>
  <c r="P9" i="26"/>
  <c r="M10" i="26"/>
  <c r="N10" i="26"/>
  <c r="O10" i="26"/>
  <c r="P10" i="26"/>
  <c r="M11" i="26"/>
  <c r="N11" i="26"/>
  <c r="O11" i="26"/>
  <c r="P11" i="26"/>
  <c r="M12" i="26"/>
  <c r="N12" i="26"/>
  <c r="O12" i="26"/>
  <c r="P12" i="26"/>
  <c r="M13" i="26"/>
  <c r="N13" i="26"/>
  <c r="O13" i="26"/>
  <c r="P13" i="26"/>
  <c r="M14" i="26"/>
  <c r="N14" i="26"/>
  <c r="O14" i="26"/>
  <c r="P14" i="26"/>
  <c r="M15" i="26"/>
  <c r="N15" i="26"/>
  <c r="O15" i="26"/>
  <c r="P15" i="26"/>
  <c r="M16" i="26"/>
  <c r="N16" i="26"/>
  <c r="O16" i="26"/>
  <c r="P16" i="26"/>
  <c r="M17" i="26"/>
  <c r="N17" i="26"/>
  <c r="O17" i="26"/>
  <c r="P17" i="26"/>
  <c r="M18" i="26"/>
  <c r="N18" i="26"/>
  <c r="O18" i="26"/>
  <c r="P18" i="26"/>
  <c r="M19" i="26"/>
  <c r="N19" i="26"/>
  <c r="O19" i="26"/>
  <c r="P19" i="26"/>
  <c r="M20" i="26"/>
  <c r="N20" i="26"/>
  <c r="O20" i="26"/>
  <c r="P20" i="26"/>
  <c r="M21" i="26"/>
  <c r="N21" i="26"/>
  <c r="O21" i="26"/>
  <c r="P21" i="26"/>
  <c r="M22" i="26"/>
  <c r="N22" i="26"/>
  <c r="O22" i="26"/>
  <c r="P22" i="26"/>
  <c r="M23" i="26"/>
  <c r="N23" i="26"/>
  <c r="O23" i="26"/>
  <c r="P23" i="26"/>
  <c r="M24" i="26"/>
  <c r="N24" i="26"/>
  <c r="O24" i="26"/>
  <c r="P24" i="26"/>
  <c r="M25" i="26"/>
  <c r="N25" i="26"/>
  <c r="O25" i="26"/>
  <c r="P25" i="26"/>
  <c r="M26" i="26"/>
  <c r="N26" i="26"/>
  <c r="O26" i="26"/>
  <c r="P26" i="26"/>
  <c r="M27" i="26"/>
  <c r="N27" i="26"/>
  <c r="O27" i="26"/>
  <c r="P27" i="26"/>
  <c r="M28" i="26"/>
  <c r="N28" i="26"/>
  <c r="O28" i="26"/>
  <c r="P28" i="26"/>
  <c r="M29" i="26"/>
  <c r="N29" i="26"/>
  <c r="O29" i="26"/>
  <c r="P29" i="26"/>
  <c r="M30" i="26"/>
  <c r="N30" i="26"/>
  <c r="O30" i="26"/>
  <c r="P30" i="26"/>
  <c r="M31" i="26"/>
  <c r="N31" i="26"/>
  <c r="O31" i="26"/>
  <c r="P31" i="26"/>
  <c r="P8" i="26"/>
  <c r="O8" i="26"/>
  <c r="N8" i="26"/>
  <c r="M8" i="26"/>
  <c r="D9" i="26"/>
  <c r="D10" i="26"/>
  <c r="D11" i="26"/>
  <c r="D15" i="26"/>
  <c r="D16" i="26"/>
  <c r="D18" i="26"/>
  <c r="D25" i="26"/>
  <c r="J5" i="25"/>
  <c r="D12" i="26" s="1"/>
  <c r="J6" i="25"/>
  <c r="D13" i="26" s="1"/>
  <c r="J7" i="25"/>
  <c r="D14" i="26" s="1"/>
  <c r="J8" i="25"/>
  <c r="D17" i="26" s="1"/>
  <c r="J9" i="25"/>
  <c r="D19" i="26" s="1"/>
  <c r="J10" i="25"/>
  <c r="D20" i="26" s="1"/>
  <c r="J11" i="25"/>
  <c r="D21" i="26" s="1"/>
  <c r="J12" i="25"/>
  <c r="D22" i="26" s="1"/>
  <c r="J13" i="25"/>
  <c r="D23" i="26" s="1"/>
  <c r="J14" i="25"/>
  <c r="D24" i="26" s="1"/>
  <c r="J15" i="25"/>
  <c r="D26" i="26" s="1"/>
  <c r="J16" i="25"/>
  <c r="D27" i="26" s="1"/>
  <c r="J17" i="25"/>
  <c r="D28" i="26" s="1"/>
  <c r="J18" i="25"/>
  <c r="D29" i="26" s="1"/>
  <c r="D31" i="26"/>
  <c r="J19" i="25"/>
  <c r="D30" i="26" s="1"/>
  <c r="J4" i="25"/>
  <c r="D8" i="26" s="1"/>
  <c r="J5" i="24"/>
  <c r="C9" i="26" s="1"/>
  <c r="J6" i="24"/>
  <c r="C10" i="26" s="1"/>
  <c r="J7" i="24"/>
  <c r="C11" i="26" s="1"/>
  <c r="J8" i="24"/>
  <c r="X8" i="24" s="1"/>
  <c r="J9" i="24"/>
  <c r="C13" i="26" s="1"/>
  <c r="J10" i="24"/>
  <c r="C14" i="26" s="1"/>
  <c r="J11" i="24"/>
  <c r="C15" i="26" s="1"/>
  <c r="J12" i="24"/>
  <c r="C16" i="26" s="1"/>
  <c r="J13" i="24"/>
  <c r="X13" i="24" s="1"/>
  <c r="J14" i="24"/>
  <c r="X14" i="24" s="1"/>
  <c r="J15" i="24"/>
  <c r="X15" i="24" s="1"/>
  <c r="J16" i="24"/>
  <c r="C20" i="26" s="1"/>
  <c r="J17" i="24"/>
  <c r="X17" i="24" s="1"/>
  <c r="J18" i="24"/>
  <c r="C22" i="26" s="1"/>
  <c r="J19" i="24"/>
  <c r="C23" i="26" s="1"/>
  <c r="J20" i="24"/>
  <c r="C24" i="26" s="1"/>
  <c r="J21" i="24"/>
  <c r="X21" i="24" s="1"/>
  <c r="J22" i="24"/>
  <c r="X22" i="24" s="1"/>
  <c r="J23" i="24"/>
  <c r="C27" i="26" s="1"/>
  <c r="J24" i="24"/>
  <c r="X24" i="24" s="1"/>
  <c r="J25" i="24"/>
  <c r="C30" i="26" s="1"/>
  <c r="J26" i="24"/>
  <c r="X26" i="24" s="1"/>
  <c r="C8" i="26"/>
  <c r="P32" i="26"/>
  <c r="O32" i="26"/>
  <c r="N32" i="26"/>
  <c r="M32" i="26"/>
  <c r="L32" i="26"/>
  <c r="K32" i="26"/>
  <c r="G6" i="31"/>
  <c r="C29" i="26"/>
  <c r="D107" i="31"/>
  <c r="C107" i="31"/>
  <c r="A37" i="29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F74" i="28"/>
  <c r="A37" i="28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O8" i="19"/>
  <c r="P8" i="19"/>
  <c r="O9" i="19"/>
  <c r="P9" i="19"/>
  <c r="O10" i="19"/>
  <c r="P10" i="19"/>
  <c r="O11" i="19"/>
  <c r="P11" i="19"/>
  <c r="O12" i="19"/>
  <c r="P12" i="19"/>
  <c r="O13" i="19"/>
  <c r="P13" i="19"/>
  <c r="O14" i="19"/>
  <c r="P14" i="19"/>
  <c r="O15" i="19"/>
  <c r="P15" i="19"/>
  <c r="O16" i="19"/>
  <c r="P16" i="19"/>
  <c r="O17" i="19"/>
  <c r="P17" i="19"/>
  <c r="O18" i="19"/>
  <c r="P18" i="19"/>
  <c r="O19" i="19"/>
  <c r="P19" i="19"/>
  <c r="O20" i="19"/>
  <c r="P20" i="19"/>
  <c r="O21" i="19"/>
  <c r="P21" i="19"/>
  <c r="O22" i="19"/>
  <c r="P22" i="19"/>
  <c r="O23" i="19"/>
  <c r="P23" i="19"/>
  <c r="O24" i="19"/>
  <c r="P24" i="19"/>
  <c r="O25" i="19"/>
  <c r="P25" i="19"/>
  <c r="O26" i="19"/>
  <c r="P26" i="19"/>
  <c r="O27" i="19"/>
  <c r="P27" i="19"/>
  <c r="O28" i="19"/>
  <c r="P28" i="19"/>
  <c r="O29" i="19"/>
  <c r="P29" i="19"/>
  <c r="O30" i="19"/>
  <c r="P30" i="19"/>
  <c r="O31" i="19"/>
  <c r="P31" i="19"/>
  <c r="O32" i="19"/>
  <c r="P32" i="19"/>
  <c r="O33" i="19"/>
  <c r="P33" i="19"/>
  <c r="O34" i="19"/>
  <c r="P34" i="19"/>
  <c r="O35" i="19"/>
  <c r="P35" i="19"/>
  <c r="O36" i="19"/>
  <c r="P36" i="19"/>
  <c r="O37" i="19"/>
  <c r="P37" i="19"/>
  <c r="O38" i="19"/>
  <c r="P38" i="19"/>
  <c r="O39" i="19"/>
  <c r="P39" i="19"/>
  <c r="O40" i="19"/>
  <c r="P40" i="19"/>
  <c r="O41" i="19"/>
  <c r="P41" i="19"/>
  <c r="O42" i="19"/>
  <c r="P42" i="19"/>
  <c r="O43" i="19"/>
  <c r="P43" i="19"/>
  <c r="O44" i="19"/>
  <c r="P44" i="19"/>
  <c r="O45" i="19"/>
  <c r="P45" i="19"/>
  <c r="O46" i="19"/>
  <c r="P46" i="19"/>
  <c r="O47" i="19"/>
  <c r="P47" i="19"/>
  <c r="O48" i="19"/>
  <c r="P48" i="19"/>
  <c r="O49" i="19"/>
  <c r="P49" i="19"/>
  <c r="O50" i="19"/>
  <c r="P50" i="19"/>
  <c r="O51" i="19"/>
  <c r="P51" i="19"/>
  <c r="O52" i="19"/>
  <c r="P52" i="19"/>
  <c r="O53" i="19"/>
  <c r="P53" i="19"/>
  <c r="O54" i="19"/>
  <c r="P54" i="19"/>
  <c r="O55" i="19"/>
  <c r="P55" i="19"/>
  <c r="O56" i="19"/>
  <c r="P56" i="19"/>
  <c r="O57" i="19"/>
  <c r="P57" i="19"/>
  <c r="O58" i="19"/>
  <c r="P58" i="19"/>
  <c r="O59" i="19"/>
  <c r="P59" i="19"/>
  <c r="O60" i="19"/>
  <c r="P60" i="19"/>
  <c r="O61" i="19"/>
  <c r="P61" i="19"/>
  <c r="O62" i="19"/>
  <c r="P62" i="19"/>
  <c r="O63" i="19"/>
  <c r="P63" i="19"/>
  <c r="O64" i="19"/>
  <c r="P64" i="19"/>
  <c r="O65" i="19"/>
  <c r="P65" i="19"/>
  <c r="O66" i="19"/>
  <c r="P66" i="19"/>
  <c r="O67" i="19"/>
  <c r="P67" i="19"/>
  <c r="O68" i="19"/>
  <c r="P68" i="19"/>
  <c r="O69" i="19"/>
  <c r="P69" i="19"/>
  <c r="O70" i="19"/>
  <c r="P70" i="19"/>
  <c r="O71" i="19"/>
  <c r="P71" i="19"/>
  <c r="O72" i="19"/>
  <c r="P72" i="19"/>
  <c r="O73" i="19"/>
  <c r="P73" i="19"/>
  <c r="O74" i="19"/>
  <c r="P74" i="19"/>
  <c r="O75" i="19"/>
  <c r="P75" i="19"/>
  <c r="O76" i="19"/>
  <c r="P76" i="19"/>
  <c r="O77" i="19"/>
  <c r="P77" i="19"/>
  <c r="O78" i="19"/>
  <c r="P78" i="19"/>
  <c r="O79" i="19"/>
  <c r="P79" i="19"/>
  <c r="O80" i="19"/>
  <c r="P80" i="19"/>
  <c r="O81" i="19"/>
  <c r="P81" i="19"/>
  <c r="O82" i="19"/>
  <c r="P82" i="19"/>
  <c r="O83" i="19"/>
  <c r="P83" i="19"/>
  <c r="O84" i="19"/>
  <c r="P84" i="19"/>
  <c r="O85" i="19"/>
  <c r="P85" i="19"/>
  <c r="O86" i="19"/>
  <c r="P86" i="19"/>
  <c r="O87" i="19"/>
  <c r="P87" i="19"/>
  <c r="O88" i="19"/>
  <c r="P88" i="19"/>
  <c r="O89" i="19"/>
  <c r="P89" i="19"/>
  <c r="O90" i="19"/>
  <c r="P90" i="19"/>
  <c r="O91" i="19"/>
  <c r="P91" i="19"/>
  <c r="O92" i="19"/>
  <c r="P92" i="19"/>
  <c r="O93" i="19"/>
  <c r="P93" i="19"/>
  <c r="O94" i="19"/>
  <c r="P94" i="19"/>
  <c r="O95" i="19"/>
  <c r="P95" i="19"/>
  <c r="O96" i="19"/>
  <c r="P96" i="19"/>
  <c r="O97" i="19"/>
  <c r="P97" i="19"/>
  <c r="O98" i="19"/>
  <c r="P98" i="19"/>
  <c r="O99" i="19"/>
  <c r="P99" i="19"/>
  <c r="O100" i="19"/>
  <c r="P100" i="19"/>
  <c r="O101" i="19"/>
  <c r="P101" i="19"/>
  <c r="O102" i="19"/>
  <c r="P102" i="19"/>
  <c r="O103" i="19"/>
  <c r="P103" i="19"/>
  <c r="O104" i="19"/>
  <c r="P104" i="19"/>
  <c r="O105" i="19"/>
  <c r="P105" i="19"/>
  <c r="O106" i="19"/>
  <c r="P106" i="19"/>
  <c r="P7" i="19"/>
  <c r="M8" i="19"/>
  <c r="N8" i="19"/>
  <c r="M9" i="19"/>
  <c r="N9" i="19"/>
  <c r="M10" i="19"/>
  <c r="N10" i="19"/>
  <c r="M11" i="19"/>
  <c r="N11" i="19"/>
  <c r="M12" i="19"/>
  <c r="N12" i="19"/>
  <c r="M13" i="19"/>
  <c r="N13" i="19"/>
  <c r="M14" i="19"/>
  <c r="N14" i="19"/>
  <c r="M15" i="19"/>
  <c r="N15" i="19"/>
  <c r="M16" i="19"/>
  <c r="N16" i="19"/>
  <c r="M17" i="19"/>
  <c r="N17" i="19"/>
  <c r="M18" i="19"/>
  <c r="N18" i="19"/>
  <c r="M19" i="19"/>
  <c r="N19" i="19"/>
  <c r="M20" i="19"/>
  <c r="N20" i="19"/>
  <c r="M21" i="19"/>
  <c r="N21" i="19"/>
  <c r="M22" i="19"/>
  <c r="N22" i="19"/>
  <c r="M23" i="19"/>
  <c r="N23" i="19"/>
  <c r="M24" i="19"/>
  <c r="N24" i="19"/>
  <c r="M25" i="19"/>
  <c r="N25" i="19"/>
  <c r="M26" i="19"/>
  <c r="N26" i="19"/>
  <c r="M27" i="19"/>
  <c r="N27" i="19"/>
  <c r="M28" i="19"/>
  <c r="N28" i="19"/>
  <c r="M29" i="19"/>
  <c r="N29" i="19"/>
  <c r="M30" i="19"/>
  <c r="N30" i="19"/>
  <c r="M31" i="19"/>
  <c r="N31" i="19"/>
  <c r="M32" i="19"/>
  <c r="N32" i="19"/>
  <c r="M33" i="19"/>
  <c r="N33" i="19"/>
  <c r="M34" i="19"/>
  <c r="N34" i="19"/>
  <c r="M35" i="19"/>
  <c r="N35" i="19"/>
  <c r="M36" i="19"/>
  <c r="N36" i="19"/>
  <c r="M37" i="19"/>
  <c r="N37" i="19"/>
  <c r="M38" i="19"/>
  <c r="N38" i="19"/>
  <c r="M39" i="19"/>
  <c r="N39" i="19"/>
  <c r="M40" i="19"/>
  <c r="N40" i="19"/>
  <c r="M41" i="19"/>
  <c r="N41" i="19"/>
  <c r="M42" i="19"/>
  <c r="N42" i="19"/>
  <c r="M43" i="19"/>
  <c r="N43" i="19"/>
  <c r="M44" i="19"/>
  <c r="N44" i="19"/>
  <c r="M45" i="19"/>
  <c r="N45" i="19"/>
  <c r="M46" i="19"/>
  <c r="N46" i="19"/>
  <c r="M47" i="19"/>
  <c r="N47" i="19"/>
  <c r="M48" i="19"/>
  <c r="N48" i="19"/>
  <c r="M49" i="19"/>
  <c r="N49" i="19"/>
  <c r="M50" i="19"/>
  <c r="N50" i="19"/>
  <c r="M51" i="19"/>
  <c r="N51" i="19"/>
  <c r="M52" i="19"/>
  <c r="N52" i="19"/>
  <c r="M53" i="19"/>
  <c r="N53" i="19"/>
  <c r="M54" i="19"/>
  <c r="N54" i="19"/>
  <c r="M55" i="19"/>
  <c r="N55" i="19"/>
  <c r="M56" i="19"/>
  <c r="N56" i="19"/>
  <c r="M57" i="19"/>
  <c r="N57" i="19"/>
  <c r="M58" i="19"/>
  <c r="N58" i="19"/>
  <c r="M59" i="19"/>
  <c r="N59" i="19"/>
  <c r="M60" i="19"/>
  <c r="N60" i="19"/>
  <c r="M61" i="19"/>
  <c r="N61" i="19"/>
  <c r="M62" i="19"/>
  <c r="N62" i="19"/>
  <c r="M63" i="19"/>
  <c r="N63" i="19"/>
  <c r="M64" i="19"/>
  <c r="N64" i="19"/>
  <c r="M65" i="19"/>
  <c r="N65" i="19"/>
  <c r="M66" i="19"/>
  <c r="N66" i="19"/>
  <c r="M67" i="19"/>
  <c r="N67" i="19"/>
  <c r="M68" i="19"/>
  <c r="N68" i="19"/>
  <c r="M69" i="19"/>
  <c r="N69" i="19"/>
  <c r="M70" i="19"/>
  <c r="N70" i="19"/>
  <c r="M71" i="19"/>
  <c r="N71" i="19"/>
  <c r="M72" i="19"/>
  <c r="N72" i="19"/>
  <c r="M73" i="19"/>
  <c r="N73" i="19"/>
  <c r="M74" i="19"/>
  <c r="N74" i="19"/>
  <c r="M75" i="19"/>
  <c r="N75" i="19"/>
  <c r="M76" i="19"/>
  <c r="N76" i="19"/>
  <c r="M77" i="19"/>
  <c r="N77" i="19"/>
  <c r="M78" i="19"/>
  <c r="N78" i="19"/>
  <c r="M79" i="19"/>
  <c r="N79" i="19"/>
  <c r="M80" i="19"/>
  <c r="N80" i="19"/>
  <c r="M81" i="19"/>
  <c r="N81" i="19"/>
  <c r="M82" i="19"/>
  <c r="N82" i="19"/>
  <c r="M83" i="19"/>
  <c r="N83" i="19"/>
  <c r="M84" i="19"/>
  <c r="N84" i="19"/>
  <c r="M85" i="19"/>
  <c r="N85" i="19"/>
  <c r="M86" i="19"/>
  <c r="N86" i="19"/>
  <c r="M87" i="19"/>
  <c r="N87" i="19"/>
  <c r="M88" i="19"/>
  <c r="N88" i="19"/>
  <c r="M89" i="19"/>
  <c r="N89" i="19"/>
  <c r="M90" i="19"/>
  <c r="N90" i="19"/>
  <c r="M91" i="19"/>
  <c r="N91" i="19"/>
  <c r="M92" i="19"/>
  <c r="N92" i="19"/>
  <c r="M93" i="19"/>
  <c r="N93" i="19"/>
  <c r="M94" i="19"/>
  <c r="N94" i="19"/>
  <c r="M95" i="19"/>
  <c r="N95" i="19"/>
  <c r="M96" i="19"/>
  <c r="N96" i="19"/>
  <c r="M97" i="19"/>
  <c r="N97" i="19"/>
  <c r="M98" i="19"/>
  <c r="N98" i="19"/>
  <c r="M99" i="19"/>
  <c r="N99" i="19"/>
  <c r="M100" i="19"/>
  <c r="N100" i="19"/>
  <c r="M101" i="19"/>
  <c r="N101" i="19"/>
  <c r="M102" i="19"/>
  <c r="N102" i="19"/>
  <c r="M103" i="19"/>
  <c r="N103" i="19"/>
  <c r="M104" i="19"/>
  <c r="N104" i="19"/>
  <c r="M105" i="19"/>
  <c r="N105" i="19"/>
  <c r="M106" i="19"/>
  <c r="N106" i="19"/>
  <c r="N7" i="19"/>
  <c r="M7" i="19"/>
  <c r="L107" i="19"/>
  <c r="K107" i="19"/>
  <c r="U4" i="26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55" i="19"/>
  <c r="D55" i="19"/>
  <c r="C56" i="19"/>
  <c r="D56" i="19"/>
  <c r="C57" i="19"/>
  <c r="D57" i="19"/>
  <c r="C58" i="19"/>
  <c r="D58" i="19"/>
  <c r="C59" i="19"/>
  <c r="D59" i="19"/>
  <c r="C60" i="19"/>
  <c r="D60" i="19"/>
  <c r="C61" i="19"/>
  <c r="D61" i="19"/>
  <c r="C62" i="19"/>
  <c r="D62" i="19"/>
  <c r="C63" i="19"/>
  <c r="D63" i="19"/>
  <c r="C64" i="19"/>
  <c r="D64" i="19"/>
  <c r="C65" i="19"/>
  <c r="D65" i="19"/>
  <c r="C66" i="19"/>
  <c r="D66" i="19"/>
  <c r="C67" i="19"/>
  <c r="D67" i="19"/>
  <c r="C68" i="19"/>
  <c r="D68" i="19"/>
  <c r="C69" i="19"/>
  <c r="D69" i="19"/>
  <c r="C70" i="19"/>
  <c r="D70" i="19"/>
  <c r="C71" i="19"/>
  <c r="D71" i="19"/>
  <c r="C72" i="19"/>
  <c r="D72" i="19"/>
  <c r="C73" i="19"/>
  <c r="D73" i="19"/>
  <c r="C74" i="19"/>
  <c r="D74" i="19"/>
  <c r="C75" i="19"/>
  <c r="D75" i="19"/>
  <c r="C76" i="19"/>
  <c r="D76" i="19"/>
  <c r="C77" i="19"/>
  <c r="D77" i="19"/>
  <c r="C78" i="19"/>
  <c r="D78" i="19"/>
  <c r="C79" i="19"/>
  <c r="D79" i="19"/>
  <c r="C80" i="19"/>
  <c r="D80" i="19"/>
  <c r="C81" i="19"/>
  <c r="D81" i="19"/>
  <c r="C82" i="19"/>
  <c r="D82" i="19"/>
  <c r="C83" i="19"/>
  <c r="D83" i="19"/>
  <c r="C84" i="19"/>
  <c r="D84" i="19"/>
  <c r="C85" i="19"/>
  <c r="D85" i="19"/>
  <c r="C86" i="19"/>
  <c r="D86" i="19"/>
  <c r="C87" i="19"/>
  <c r="D87" i="19"/>
  <c r="C88" i="19"/>
  <c r="D88" i="19"/>
  <c r="C89" i="19"/>
  <c r="D89" i="19"/>
  <c r="C90" i="19"/>
  <c r="D90" i="19"/>
  <c r="C91" i="19"/>
  <c r="D91" i="19"/>
  <c r="C92" i="19"/>
  <c r="D92" i="19"/>
  <c r="C93" i="19"/>
  <c r="D93" i="19"/>
  <c r="C94" i="19"/>
  <c r="D94" i="19"/>
  <c r="C95" i="19"/>
  <c r="D95" i="19"/>
  <c r="C96" i="19"/>
  <c r="D96" i="19"/>
  <c r="C97" i="19"/>
  <c r="D97" i="19"/>
  <c r="C98" i="19"/>
  <c r="D98" i="19"/>
  <c r="C99" i="19"/>
  <c r="D99" i="19"/>
  <c r="C100" i="19"/>
  <c r="D100" i="19"/>
  <c r="C101" i="19"/>
  <c r="D101" i="19"/>
  <c r="C102" i="19"/>
  <c r="D102" i="19"/>
  <c r="C103" i="19"/>
  <c r="D103" i="19"/>
  <c r="C104" i="19"/>
  <c r="D104" i="19"/>
  <c r="C105" i="19"/>
  <c r="D105" i="19"/>
  <c r="C106" i="19"/>
  <c r="D106" i="19"/>
  <c r="D7" i="19"/>
  <c r="C7" i="19"/>
  <c r="X16" i="24" l="1"/>
  <c r="C107" i="19"/>
  <c r="H50" i="44"/>
  <c r="H52" i="44" s="1"/>
  <c r="P49" i="44"/>
  <c r="C21" i="26"/>
  <c r="X5" i="24"/>
  <c r="X25" i="24"/>
  <c r="C28" i="26"/>
  <c r="C31" i="26"/>
  <c r="X9" i="24"/>
  <c r="C18" i="26"/>
  <c r="C12" i="26"/>
  <c r="X7" i="24"/>
  <c r="X10" i="24"/>
  <c r="C17" i="26"/>
  <c r="C26" i="26"/>
  <c r="C19" i="26"/>
  <c r="X18" i="24"/>
  <c r="X23" i="24"/>
  <c r="D107" i="19"/>
  <c r="C25" i="26"/>
  <c r="X6" i="24"/>
  <c r="X11" i="24"/>
  <c r="X12" i="24"/>
  <c r="X19" i="24"/>
  <c r="X20" i="24"/>
  <c r="D32" i="26"/>
  <c r="P107" i="19"/>
  <c r="N107" i="19"/>
  <c r="C12" i="27"/>
  <c r="O107" i="19"/>
  <c r="M107" i="19"/>
  <c r="H12" i="27"/>
  <c r="D12" i="27"/>
  <c r="G12" i="27"/>
  <c r="E12" i="27"/>
  <c r="J12" i="27"/>
  <c r="B12" i="27"/>
  <c r="C23" i="27"/>
  <c r="J23" i="27"/>
  <c r="D23" i="27"/>
  <c r="I23" i="27"/>
  <c r="H23" i="27"/>
  <c r="B23" i="27"/>
  <c r="G23" i="27"/>
  <c r="Q41" i="43"/>
  <c r="Q44" i="43" s="1"/>
  <c r="B34" i="29"/>
  <c r="B19" i="43" s="1"/>
  <c r="H41" i="43"/>
  <c r="H44" i="43" s="1"/>
  <c r="H46" i="43" s="1"/>
  <c r="B34" i="28"/>
  <c r="H45" i="43" l="1"/>
  <c r="H52" i="43" s="1"/>
  <c r="C32" i="26"/>
  <c r="C18" i="43"/>
  <c r="E31" i="26"/>
  <c r="E7" i="19"/>
  <c r="E10" i="19"/>
  <c r="E20" i="19"/>
  <c r="E34" i="19"/>
  <c r="E29" i="19"/>
  <c r="E14" i="19"/>
  <c r="E80" i="19"/>
  <c r="E106" i="19"/>
  <c r="E74" i="19"/>
  <c r="E91" i="19"/>
  <c r="E33" i="19"/>
  <c r="E96" i="19"/>
  <c r="E48" i="19"/>
  <c r="E16" i="19"/>
  <c r="E40" i="19"/>
  <c r="E24" i="19"/>
  <c r="E32" i="19"/>
  <c r="E52" i="19"/>
  <c r="E63" i="19"/>
  <c r="E101" i="19"/>
  <c r="E83" i="19"/>
  <c r="E102" i="19"/>
  <c r="E70" i="19"/>
  <c r="E97" i="19"/>
  <c r="E37" i="19"/>
  <c r="E99" i="19"/>
  <c r="E72" i="19"/>
  <c r="E17" i="19"/>
  <c r="E45" i="19"/>
  <c r="E25" i="19"/>
  <c r="E35" i="19"/>
  <c r="E57" i="19"/>
  <c r="E69" i="19"/>
  <c r="E58" i="19"/>
  <c r="E94" i="19"/>
  <c r="E62" i="19"/>
  <c r="E50" i="19"/>
  <c r="E51" i="19"/>
  <c r="E55" i="19"/>
  <c r="E81" i="19"/>
  <c r="E12" i="19"/>
  <c r="E22" i="19"/>
  <c r="E15" i="19"/>
  <c r="E9" i="19"/>
  <c r="E77" i="19"/>
  <c r="E68" i="19"/>
  <c r="E90" i="19"/>
  <c r="E43" i="19"/>
  <c r="E53" i="19"/>
  <c r="E54" i="19"/>
  <c r="E61" i="19"/>
  <c r="E104" i="19"/>
  <c r="E31" i="19"/>
  <c r="E19" i="19"/>
  <c r="E23" i="19"/>
  <c r="E28" i="19"/>
  <c r="E13" i="19"/>
  <c r="E42" i="19"/>
  <c r="E100" i="19"/>
  <c r="E82" i="19"/>
  <c r="E65" i="19"/>
  <c r="E79" i="19"/>
  <c r="E67" i="19"/>
  <c r="E87" i="19"/>
  <c r="E60" i="19"/>
  <c r="E89" i="19"/>
  <c r="E88" i="19"/>
  <c r="E84" i="19"/>
  <c r="E21" i="19"/>
  <c r="E26" i="19"/>
  <c r="E71" i="19"/>
  <c r="E47" i="19"/>
  <c r="E93" i="19"/>
  <c r="E27" i="19"/>
  <c r="E92" i="19"/>
  <c r="E103" i="19"/>
  <c r="E76" i="19"/>
  <c r="E75" i="19"/>
  <c r="E44" i="19"/>
  <c r="E39" i="19"/>
  <c r="E36" i="19"/>
  <c r="E86" i="19"/>
  <c r="E41" i="19"/>
  <c r="E49" i="19"/>
  <c r="E78" i="19"/>
  <c r="E64" i="19"/>
  <c r="E8" i="19"/>
  <c r="E66" i="19"/>
  <c r="E73" i="19"/>
  <c r="E11" i="19"/>
  <c r="E56" i="19"/>
  <c r="E30" i="19"/>
  <c r="E105" i="19"/>
  <c r="E98" i="19"/>
  <c r="E38" i="19"/>
  <c r="E46" i="19"/>
  <c r="E18" i="19"/>
  <c r="E85" i="19"/>
  <c r="E59" i="19"/>
  <c r="E95" i="19"/>
  <c r="F18" i="43"/>
  <c r="E18" i="43"/>
  <c r="D18" i="43"/>
  <c r="D19" i="43"/>
  <c r="B18" i="43"/>
  <c r="F19" i="43"/>
  <c r="C19" i="43"/>
  <c r="E19" i="43"/>
  <c r="H55" i="43" l="1"/>
  <c r="H56" i="43" s="1"/>
  <c r="H58" i="43" s="1"/>
  <c r="E13" i="26"/>
  <c r="I13" i="26" s="1"/>
  <c r="G13" i="27"/>
  <c r="G35" i="28" s="1"/>
  <c r="G47" i="28" s="1"/>
  <c r="H13" i="27"/>
  <c r="H35" i="28" s="1"/>
  <c r="H61" i="28" s="1"/>
  <c r="F13" i="27"/>
  <c r="F35" i="28" s="1"/>
  <c r="F39" i="28" s="1"/>
  <c r="E27" i="26"/>
  <c r="G27" i="26" s="1"/>
  <c r="E22" i="26"/>
  <c r="G22" i="26" s="1"/>
  <c r="E17" i="26"/>
  <c r="G17" i="26" s="1"/>
  <c r="E19" i="26"/>
  <c r="G19" i="26" s="1"/>
  <c r="E25" i="26"/>
  <c r="I25" i="26" s="1"/>
  <c r="E8" i="26"/>
  <c r="I8" i="26" s="1"/>
  <c r="E11" i="26"/>
  <c r="I11" i="26" s="1"/>
  <c r="E12" i="26"/>
  <c r="I12" i="26" s="1"/>
  <c r="E10" i="26"/>
  <c r="G10" i="26" s="1"/>
  <c r="E20" i="26"/>
  <c r="I20" i="26" s="1"/>
  <c r="E24" i="26"/>
  <c r="I24" i="26" s="1"/>
  <c r="E15" i="26"/>
  <c r="I15" i="26" s="1"/>
  <c r="E26" i="26"/>
  <c r="G26" i="26" s="1"/>
  <c r="E29" i="26"/>
  <c r="I29" i="26" s="1"/>
  <c r="E30" i="26"/>
  <c r="I30" i="26" s="1"/>
  <c r="E21" i="26"/>
  <c r="I21" i="26" s="1"/>
  <c r="E16" i="26"/>
  <c r="I16" i="26" s="1"/>
  <c r="E23" i="26"/>
  <c r="I23" i="26" s="1"/>
  <c r="E9" i="26"/>
  <c r="I9" i="26" s="1"/>
  <c r="E18" i="26"/>
  <c r="I18" i="26" s="1"/>
  <c r="E28" i="26"/>
  <c r="G28" i="26" s="1"/>
  <c r="E14" i="26"/>
  <c r="I14" i="26" s="1"/>
  <c r="C13" i="27"/>
  <c r="C35" i="28" s="1"/>
  <c r="C52" i="28" s="1"/>
  <c r="I13" i="27"/>
  <c r="I35" i="28" s="1"/>
  <c r="I52" i="28" s="1"/>
  <c r="D13" i="27"/>
  <c r="D35" i="28" s="1"/>
  <c r="D40" i="28" s="1"/>
  <c r="B13" i="27"/>
  <c r="B35" i="28" s="1"/>
  <c r="B42" i="28" s="1"/>
  <c r="E13" i="27"/>
  <c r="E35" i="28" s="1"/>
  <c r="E45" i="28" s="1"/>
  <c r="J13" i="27"/>
  <c r="J35" i="28" s="1"/>
  <c r="J46" i="28" s="1"/>
  <c r="G103" i="19"/>
  <c r="I103" i="19"/>
  <c r="G9" i="19"/>
  <c r="I9" i="19"/>
  <c r="I98" i="19"/>
  <c r="G98" i="19"/>
  <c r="I64" i="19"/>
  <c r="G64" i="19"/>
  <c r="G75" i="19"/>
  <c r="I75" i="19"/>
  <c r="G26" i="19"/>
  <c r="I26" i="19"/>
  <c r="I79" i="19"/>
  <c r="G79" i="19"/>
  <c r="I19" i="19"/>
  <c r="G19" i="19"/>
  <c r="I68" i="19"/>
  <c r="G68" i="19"/>
  <c r="I51" i="19"/>
  <c r="G51" i="19"/>
  <c r="G25" i="19"/>
  <c r="I25" i="19"/>
  <c r="G102" i="19"/>
  <c r="I102" i="19"/>
  <c r="I16" i="19"/>
  <c r="G16" i="19"/>
  <c r="G14" i="19"/>
  <c r="I14" i="19"/>
  <c r="G96" i="19"/>
  <c r="I96" i="19"/>
  <c r="G105" i="19"/>
  <c r="I105" i="19"/>
  <c r="G78" i="19"/>
  <c r="I78" i="19"/>
  <c r="G76" i="19"/>
  <c r="I76" i="19"/>
  <c r="G21" i="19"/>
  <c r="I21" i="19"/>
  <c r="I65" i="19"/>
  <c r="G65" i="19"/>
  <c r="G31" i="19"/>
  <c r="I31" i="19"/>
  <c r="I77" i="19"/>
  <c r="G77" i="19"/>
  <c r="G50" i="19"/>
  <c r="I50" i="19"/>
  <c r="I45" i="19"/>
  <c r="G45" i="19"/>
  <c r="G83" i="19"/>
  <c r="I83" i="19"/>
  <c r="I48" i="19"/>
  <c r="G48" i="19"/>
  <c r="G29" i="19"/>
  <c r="I29" i="19"/>
  <c r="I84" i="19"/>
  <c r="G84" i="19"/>
  <c r="I17" i="19"/>
  <c r="G17" i="19"/>
  <c r="G59" i="19"/>
  <c r="I59" i="19"/>
  <c r="G56" i="19"/>
  <c r="I56" i="19"/>
  <c r="I41" i="19"/>
  <c r="G41" i="19"/>
  <c r="I92" i="19"/>
  <c r="G92" i="19"/>
  <c r="I88" i="19"/>
  <c r="G88" i="19"/>
  <c r="G100" i="19"/>
  <c r="I100" i="19"/>
  <c r="I61" i="19"/>
  <c r="G61" i="19"/>
  <c r="G15" i="19"/>
  <c r="I15" i="19"/>
  <c r="G94" i="19"/>
  <c r="I94" i="19"/>
  <c r="I72" i="19"/>
  <c r="G72" i="19"/>
  <c r="I63" i="19"/>
  <c r="G63" i="19"/>
  <c r="I33" i="19"/>
  <c r="G33" i="19"/>
  <c r="I20" i="19"/>
  <c r="G20" i="19"/>
  <c r="G49" i="19"/>
  <c r="I49" i="19"/>
  <c r="G101" i="19"/>
  <c r="I101" i="19"/>
  <c r="I85" i="19"/>
  <c r="G85" i="19"/>
  <c r="G11" i="19"/>
  <c r="I11" i="19"/>
  <c r="G86" i="19"/>
  <c r="I86" i="19"/>
  <c r="I27" i="19"/>
  <c r="G27" i="19"/>
  <c r="G89" i="19"/>
  <c r="I89" i="19"/>
  <c r="I42" i="19"/>
  <c r="G42" i="19"/>
  <c r="I54" i="19"/>
  <c r="G54" i="19"/>
  <c r="I22" i="19"/>
  <c r="G22" i="19"/>
  <c r="G58" i="19"/>
  <c r="I58" i="19"/>
  <c r="G99" i="19"/>
  <c r="I99" i="19"/>
  <c r="I52" i="19"/>
  <c r="G52" i="19"/>
  <c r="G91" i="19"/>
  <c r="I91" i="19"/>
  <c r="I10" i="19"/>
  <c r="G10" i="19"/>
  <c r="G95" i="19"/>
  <c r="I95" i="19"/>
  <c r="I34" i="19"/>
  <c r="G34" i="19"/>
  <c r="G18" i="19"/>
  <c r="I18" i="19"/>
  <c r="I73" i="19"/>
  <c r="G73" i="19"/>
  <c r="I36" i="19"/>
  <c r="G36" i="19"/>
  <c r="G93" i="19"/>
  <c r="I93" i="19"/>
  <c r="I60" i="19"/>
  <c r="G60" i="19"/>
  <c r="G13" i="19"/>
  <c r="I13" i="19"/>
  <c r="G53" i="19"/>
  <c r="I53" i="19"/>
  <c r="G12" i="19"/>
  <c r="I12" i="19"/>
  <c r="I69" i="19"/>
  <c r="G69" i="19"/>
  <c r="G37" i="19"/>
  <c r="I37" i="19"/>
  <c r="I32" i="19"/>
  <c r="G32" i="19"/>
  <c r="I74" i="19"/>
  <c r="G74" i="19"/>
  <c r="G7" i="19"/>
  <c r="I7" i="19"/>
  <c r="E107" i="19"/>
  <c r="G104" i="19"/>
  <c r="I104" i="19"/>
  <c r="I46" i="19"/>
  <c r="G46" i="19"/>
  <c r="G66" i="19"/>
  <c r="I66" i="19"/>
  <c r="G39" i="19"/>
  <c r="I39" i="19"/>
  <c r="I47" i="19"/>
  <c r="G47" i="19"/>
  <c r="I87" i="19"/>
  <c r="G87" i="19"/>
  <c r="G28" i="19"/>
  <c r="I28" i="19"/>
  <c r="G43" i="19"/>
  <c r="I43" i="19"/>
  <c r="G81" i="19"/>
  <c r="I81" i="19"/>
  <c r="G57" i="19"/>
  <c r="I57" i="19"/>
  <c r="I97" i="19"/>
  <c r="G97" i="19"/>
  <c r="G24" i="19"/>
  <c r="I24" i="19"/>
  <c r="I106" i="19"/>
  <c r="G106" i="19"/>
  <c r="I30" i="19"/>
  <c r="G30" i="19"/>
  <c r="G82" i="19"/>
  <c r="I82" i="19"/>
  <c r="G62" i="19"/>
  <c r="I62" i="19"/>
  <c r="I31" i="26"/>
  <c r="G31" i="26"/>
  <c r="G38" i="19"/>
  <c r="I38" i="19"/>
  <c r="G8" i="19"/>
  <c r="I8" i="19"/>
  <c r="I44" i="19"/>
  <c r="G44" i="19"/>
  <c r="I71" i="19"/>
  <c r="G71" i="19"/>
  <c r="I67" i="19"/>
  <c r="G67" i="19"/>
  <c r="G23" i="19"/>
  <c r="I23" i="19"/>
  <c r="G90" i="19"/>
  <c r="I90" i="19"/>
  <c r="I55" i="19"/>
  <c r="G55" i="19"/>
  <c r="I35" i="19"/>
  <c r="G35" i="19"/>
  <c r="I70" i="19"/>
  <c r="G70" i="19"/>
  <c r="I40" i="19"/>
  <c r="G40" i="19"/>
  <c r="I80" i="19"/>
  <c r="G80" i="19"/>
  <c r="G55" i="43" l="1"/>
  <c r="H64" i="28"/>
  <c r="G64" i="28"/>
  <c r="F64" i="28"/>
  <c r="G57" i="28"/>
  <c r="G41" i="28"/>
  <c r="J64" i="28"/>
  <c r="I64" i="28"/>
  <c r="C64" i="28"/>
  <c r="J40" i="28"/>
  <c r="G59" i="28"/>
  <c r="J60" i="28"/>
  <c r="G54" i="28"/>
  <c r="G55" i="28"/>
  <c r="E64" i="28"/>
  <c r="E44" i="28"/>
  <c r="D64" i="28"/>
  <c r="G61" i="28"/>
  <c r="J42" i="28"/>
  <c r="J59" i="28"/>
  <c r="G63" i="28"/>
  <c r="B64" i="28"/>
  <c r="G13" i="26"/>
  <c r="J61" i="28"/>
  <c r="G38" i="28"/>
  <c r="J58" i="28"/>
  <c r="J55" i="28"/>
  <c r="G53" i="28"/>
  <c r="J37" i="28"/>
  <c r="J49" i="28"/>
  <c r="G62" i="28"/>
  <c r="H52" i="28"/>
  <c r="F38" i="28"/>
  <c r="J36" i="28"/>
  <c r="G52" i="28"/>
  <c r="G45" i="28"/>
  <c r="J38" i="28"/>
  <c r="G51" i="28"/>
  <c r="G50" i="28"/>
  <c r="I50" i="28"/>
  <c r="I38" i="28"/>
  <c r="J39" i="28"/>
  <c r="J53" i="28"/>
  <c r="J44" i="28"/>
  <c r="G37" i="28"/>
  <c r="G44" i="28"/>
  <c r="G65" i="28"/>
  <c r="J50" i="28"/>
  <c r="J45" i="28"/>
  <c r="G58" i="28"/>
  <c r="G43" i="28"/>
  <c r="G42" i="28"/>
  <c r="J63" i="28"/>
  <c r="J56" i="28"/>
  <c r="J54" i="28"/>
  <c r="J57" i="28"/>
  <c r="J51" i="28"/>
  <c r="E55" i="28"/>
  <c r="G49" i="28"/>
  <c r="G40" i="28"/>
  <c r="H43" i="28"/>
  <c r="I46" i="28"/>
  <c r="I63" i="28"/>
  <c r="I58" i="28"/>
  <c r="I43" i="28"/>
  <c r="I40" i="28"/>
  <c r="I62" i="28"/>
  <c r="G21" i="26"/>
  <c r="I27" i="26"/>
  <c r="I44" i="28"/>
  <c r="I39" i="28"/>
  <c r="I60" i="28"/>
  <c r="I61" i="28"/>
  <c r="I42" i="28"/>
  <c r="I45" i="28"/>
  <c r="I48" i="28"/>
  <c r="I59" i="28"/>
  <c r="I56" i="28"/>
  <c r="I57" i="28"/>
  <c r="I55" i="28"/>
  <c r="I51" i="28"/>
  <c r="F59" i="28"/>
  <c r="H54" i="28"/>
  <c r="I26" i="26"/>
  <c r="F56" i="28"/>
  <c r="F61" i="28"/>
  <c r="F44" i="28"/>
  <c r="F53" i="28"/>
  <c r="J41" i="28"/>
  <c r="G60" i="28"/>
  <c r="G39" i="28"/>
  <c r="I17" i="26"/>
  <c r="J47" i="28"/>
  <c r="G36" i="28"/>
  <c r="G46" i="28"/>
  <c r="G56" i="28"/>
  <c r="G48" i="28"/>
  <c r="G15" i="26"/>
  <c r="G11" i="26"/>
  <c r="C45" i="28"/>
  <c r="F47" i="28"/>
  <c r="C49" i="28"/>
  <c r="F52" i="28"/>
  <c r="F51" i="28"/>
  <c r="F41" i="28"/>
  <c r="E46" i="28"/>
  <c r="E62" i="28"/>
  <c r="E40" i="28"/>
  <c r="E37" i="28"/>
  <c r="F49" i="28"/>
  <c r="C53" i="28"/>
  <c r="E65" i="28"/>
  <c r="E52" i="28"/>
  <c r="E61" i="28"/>
  <c r="E43" i="28"/>
  <c r="E53" i="28"/>
  <c r="E57" i="28"/>
  <c r="E63" i="28"/>
  <c r="E58" i="28"/>
  <c r="E48" i="28"/>
  <c r="E59" i="28"/>
  <c r="F40" i="28"/>
  <c r="F46" i="28"/>
  <c r="F65" i="28"/>
  <c r="F43" i="28"/>
  <c r="C37" i="28"/>
  <c r="F36" i="28"/>
  <c r="F55" i="28"/>
  <c r="F62" i="28"/>
  <c r="F37" i="28"/>
  <c r="C46" i="28"/>
  <c r="H36" i="28"/>
  <c r="F58" i="28"/>
  <c r="F54" i="28"/>
  <c r="C51" i="28"/>
  <c r="H60" i="28"/>
  <c r="H46" i="28"/>
  <c r="D42" i="28"/>
  <c r="H57" i="28"/>
  <c r="E39" i="28"/>
  <c r="E60" i="28"/>
  <c r="E42" i="28"/>
  <c r="H38" i="28"/>
  <c r="H45" i="28"/>
  <c r="F48" i="28"/>
  <c r="C40" i="28"/>
  <c r="H39" i="28"/>
  <c r="H49" i="28"/>
  <c r="F50" i="28"/>
  <c r="F63" i="28"/>
  <c r="F45" i="28"/>
  <c r="F60" i="28"/>
  <c r="C36" i="28"/>
  <c r="C58" i="28"/>
  <c r="H44" i="28"/>
  <c r="H47" i="28"/>
  <c r="F57" i="28"/>
  <c r="F42" i="28"/>
  <c r="H63" i="28"/>
  <c r="H65" i="28"/>
  <c r="H62" i="28"/>
  <c r="D60" i="28"/>
  <c r="C62" i="28"/>
  <c r="C47" i="28"/>
  <c r="C55" i="28"/>
  <c r="C54" i="28"/>
  <c r="C38" i="28"/>
  <c r="C48" i="28"/>
  <c r="G20" i="26"/>
  <c r="H42" i="28"/>
  <c r="H59" i="28"/>
  <c r="B48" i="28"/>
  <c r="G23" i="26"/>
  <c r="B61" i="28"/>
  <c r="B52" i="28"/>
  <c r="C59" i="28"/>
  <c r="C39" i="28"/>
  <c r="C63" i="28"/>
  <c r="H55" i="28"/>
  <c r="H58" i="28"/>
  <c r="B47" i="28"/>
  <c r="B50" i="28"/>
  <c r="B60" i="28"/>
  <c r="B56" i="28"/>
  <c r="B45" i="28"/>
  <c r="B49" i="28"/>
  <c r="H51" i="28"/>
  <c r="H48" i="28"/>
  <c r="H40" i="28"/>
  <c r="I22" i="26"/>
  <c r="G25" i="26"/>
  <c r="B58" i="28"/>
  <c r="B38" i="28"/>
  <c r="B55" i="28"/>
  <c r="B43" i="28"/>
  <c r="B46" i="28"/>
  <c r="B63" i="28"/>
  <c r="B62" i="28"/>
  <c r="B57" i="28"/>
  <c r="B59" i="28"/>
  <c r="B37" i="28"/>
  <c r="B53" i="28"/>
  <c r="H53" i="28"/>
  <c r="H41" i="28"/>
  <c r="H56" i="28"/>
  <c r="I28" i="26"/>
  <c r="B40" i="28"/>
  <c r="B51" i="28"/>
  <c r="B44" i="28"/>
  <c r="B54" i="28"/>
  <c r="B39" i="28"/>
  <c r="H37" i="28"/>
  <c r="H50" i="28"/>
  <c r="D46" i="28"/>
  <c r="D56" i="28"/>
  <c r="D36" i="28"/>
  <c r="D47" i="28"/>
  <c r="I47" i="28"/>
  <c r="I54" i="28"/>
  <c r="I19" i="26"/>
  <c r="D41" i="28"/>
  <c r="D61" i="28"/>
  <c r="D65" i="28"/>
  <c r="G16" i="26"/>
  <c r="I10" i="26"/>
  <c r="D62" i="28"/>
  <c r="D57" i="28"/>
  <c r="D49" i="28"/>
  <c r="D51" i="28"/>
  <c r="D50" i="28"/>
  <c r="I49" i="28"/>
  <c r="I37" i="28"/>
  <c r="I65" i="28"/>
  <c r="G8" i="26"/>
  <c r="E32" i="26"/>
  <c r="I32" i="26" s="1"/>
  <c r="D44" i="28"/>
  <c r="D54" i="28"/>
  <c r="D43" i="28"/>
  <c r="D45" i="28"/>
  <c r="I41" i="28"/>
  <c r="I53" i="28"/>
  <c r="I36" i="28"/>
  <c r="G12" i="26"/>
  <c r="G29" i="26"/>
  <c r="E47" i="28"/>
  <c r="E49" i="28"/>
  <c r="E41" i="28"/>
  <c r="E36" i="28"/>
  <c r="E54" i="28"/>
  <c r="C42" i="28"/>
  <c r="C57" i="28"/>
  <c r="C56" i="28"/>
  <c r="G18" i="26"/>
  <c r="G30" i="26"/>
  <c r="E50" i="28"/>
  <c r="E56" i="28"/>
  <c r="E38" i="28"/>
  <c r="E51" i="28"/>
  <c r="C43" i="28"/>
  <c r="C41" i="28"/>
  <c r="C44" i="28"/>
  <c r="G9" i="26"/>
  <c r="C61" i="28"/>
  <c r="C50" i="28"/>
  <c r="C60" i="28"/>
  <c r="C65" i="28"/>
  <c r="G14" i="26"/>
  <c r="G24" i="26"/>
  <c r="B41" i="28"/>
  <c r="D48" i="28"/>
  <c r="D38" i="28"/>
  <c r="D37" i="28"/>
  <c r="D58" i="28"/>
  <c r="D53" i="28"/>
  <c r="D52" i="28"/>
  <c r="D63" i="28"/>
  <c r="D55" i="28"/>
  <c r="D59" i="28"/>
  <c r="D39" i="28"/>
  <c r="J52" i="28"/>
  <c r="J65" i="28"/>
  <c r="J48" i="28"/>
  <c r="B65" i="28"/>
  <c r="B36" i="28"/>
  <c r="J62" i="28"/>
  <c r="J43" i="28"/>
  <c r="I107" i="19"/>
  <c r="G107" i="19"/>
  <c r="F67" i="28" l="1"/>
  <c r="F16" i="27" s="1"/>
  <c r="G32" i="26"/>
  <c r="G67" i="28"/>
  <c r="G16" i="27" s="1"/>
  <c r="I67" i="28"/>
  <c r="I16" i="27" s="1"/>
  <c r="G69" i="28"/>
  <c r="G18" i="27" s="1"/>
  <c r="G68" i="28"/>
  <c r="G17" i="27" s="1"/>
  <c r="E67" i="28"/>
  <c r="E16" i="27" s="1"/>
  <c r="F69" i="28"/>
  <c r="F18" i="27" s="1"/>
  <c r="F68" i="28"/>
  <c r="F17" i="27" s="1"/>
  <c r="H69" i="28"/>
  <c r="H18" i="27" s="1"/>
  <c r="H67" i="28"/>
  <c r="H16" i="27" s="1"/>
  <c r="H68" i="28"/>
  <c r="H17" i="27" s="1"/>
  <c r="B67" i="28"/>
  <c r="B16" i="27" s="1"/>
  <c r="I69" i="28"/>
  <c r="I18" i="27" s="1"/>
  <c r="I68" i="28"/>
  <c r="I17" i="27" s="1"/>
  <c r="J67" i="28"/>
  <c r="J16" i="27" s="1"/>
  <c r="D68" i="28"/>
  <c r="D17" i="27" s="1"/>
  <c r="C67" i="28"/>
  <c r="C16" i="27" s="1"/>
  <c r="C69" i="28"/>
  <c r="C18" i="27" s="1"/>
  <c r="D67" i="28"/>
  <c r="D16" i="27" s="1"/>
  <c r="E69" i="28"/>
  <c r="E18" i="27" s="1"/>
  <c r="E68" i="28"/>
  <c r="E17" i="27" s="1"/>
  <c r="C68" i="28"/>
  <c r="C17" i="27" s="1"/>
  <c r="B69" i="28"/>
  <c r="B18" i="27" s="1"/>
  <c r="J68" i="28"/>
  <c r="J17" i="27" s="1"/>
  <c r="D69" i="28"/>
  <c r="D18" i="27" s="1"/>
  <c r="J69" i="28"/>
  <c r="J18" i="27" s="1"/>
  <c r="B68" i="28"/>
  <c r="B17" i="27" s="1"/>
  <c r="F10" i="26" l="1"/>
  <c r="F31" i="26"/>
  <c r="F8" i="26"/>
  <c r="F9" i="26"/>
  <c r="F30" i="26"/>
  <c r="F18" i="26"/>
  <c r="F17" i="26"/>
  <c r="F15" i="26"/>
  <c r="F29" i="26"/>
  <c r="F24" i="26"/>
  <c r="F14" i="26"/>
  <c r="F16" i="26"/>
  <c r="F19" i="26"/>
  <c r="F20" i="26"/>
  <c r="F22" i="26"/>
  <c r="F28" i="26"/>
  <c r="F21" i="26"/>
  <c r="F27" i="26"/>
  <c r="F26" i="26"/>
  <c r="F11" i="26"/>
  <c r="F12" i="26"/>
  <c r="F13" i="26"/>
  <c r="F23" i="26"/>
  <c r="F25" i="26"/>
  <c r="Q46" i="43" l="1"/>
  <c r="Q45" i="43"/>
  <c r="H25" i="26"/>
  <c r="J25" i="26"/>
  <c r="J28" i="26"/>
  <c r="H28" i="26"/>
  <c r="J17" i="26"/>
  <c r="H17" i="26"/>
  <c r="J21" i="26"/>
  <c r="H21" i="26"/>
  <c r="H29" i="26"/>
  <c r="J29" i="26"/>
  <c r="J18" i="26"/>
  <c r="H18" i="26"/>
  <c r="H27" i="26"/>
  <c r="J27" i="26"/>
  <c r="H15" i="26"/>
  <c r="J15" i="26"/>
  <c r="J23" i="26"/>
  <c r="H23" i="26"/>
  <c r="H22" i="26"/>
  <c r="J22" i="26"/>
  <c r="H13" i="26"/>
  <c r="J13" i="26"/>
  <c r="H20" i="26"/>
  <c r="J20" i="26"/>
  <c r="J12" i="26"/>
  <c r="H12" i="26"/>
  <c r="J19" i="26"/>
  <c r="H19" i="26"/>
  <c r="J30" i="26"/>
  <c r="H30" i="26"/>
  <c r="J9" i="26"/>
  <c r="H9" i="26"/>
  <c r="H11" i="26"/>
  <c r="J11" i="26"/>
  <c r="H16" i="26"/>
  <c r="J16" i="26"/>
  <c r="F54" i="19"/>
  <c r="F84" i="19"/>
  <c r="F12" i="19"/>
  <c r="F11" i="19"/>
  <c r="F70" i="19"/>
  <c r="F52" i="19"/>
  <c r="F99" i="19"/>
  <c r="F21" i="19"/>
  <c r="F27" i="19"/>
  <c r="F44" i="19"/>
  <c r="F89" i="19"/>
  <c r="F74" i="19"/>
  <c r="F91" i="19"/>
  <c r="F62" i="19"/>
  <c r="F60" i="19"/>
  <c r="F85" i="19"/>
  <c r="F69" i="19"/>
  <c r="F81" i="19"/>
  <c r="F31" i="19"/>
  <c r="F64" i="19"/>
  <c r="F9" i="19"/>
  <c r="F7" i="19"/>
  <c r="F79" i="19"/>
  <c r="F86" i="19"/>
  <c r="F40" i="19"/>
  <c r="F55" i="19"/>
  <c r="F80" i="19"/>
  <c r="F82" i="19"/>
  <c r="F67" i="19"/>
  <c r="F34" i="19"/>
  <c r="F93" i="19"/>
  <c r="F26" i="19"/>
  <c r="F104" i="19"/>
  <c r="F66" i="19"/>
  <c r="F18" i="19"/>
  <c r="F10" i="19"/>
  <c r="F15" i="19"/>
  <c r="F16" i="19"/>
  <c r="F90" i="19"/>
  <c r="F30" i="19"/>
  <c r="F49" i="19"/>
  <c r="F97" i="19"/>
  <c r="F106" i="19"/>
  <c r="F56" i="19"/>
  <c r="F94" i="19"/>
  <c r="F68" i="19"/>
  <c r="F23" i="19"/>
  <c r="F22" i="19"/>
  <c r="F45" i="19"/>
  <c r="F75" i="19"/>
  <c r="F13" i="19"/>
  <c r="F50" i="19"/>
  <c r="F71" i="19"/>
  <c r="F59" i="19"/>
  <c r="F92" i="19"/>
  <c r="F25" i="19"/>
  <c r="F51" i="19"/>
  <c r="F95" i="19"/>
  <c r="F39" i="19"/>
  <c r="F36" i="19"/>
  <c r="F88" i="19"/>
  <c r="F87" i="19"/>
  <c r="F76" i="19"/>
  <c r="F100" i="19"/>
  <c r="F72" i="19"/>
  <c r="F57" i="19"/>
  <c r="F78" i="19"/>
  <c r="F73" i="19"/>
  <c r="F98" i="19"/>
  <c r="F42" i="19"/>
  <c r="F103" i="19"/>
  <c r="F96" i="19"/>
  <c r="F38" i="19"/>
  <c r="F19" i="19"/>
  <c r="F14" i="19"/>
  <c r="F32" i="19"/>
  <c r="F28" i="19"/>
  <c r="F17" i="19"/>
  <c r="F65" i="19"/>
  <c r="F37" i="19"/>
  <c r="F20" i="19"/>
  <c r="F83" i="19"/>
  <c r="F58" i="19"/>
  <c r="F61" i="19"/>
  <c r="F46" i="19"/>
  <c r="F8" i="19"/>
  <c r="F41" i="19"/>
  <c r="F53" i="19"/>
  <c r="F102" i="19"/>
  <c r="F48" i="19"/>
  <c r="F101" i="19"/>
  <c r="F105" i="19"/>
  <c r="F33" i="19"/>
  <c r="F24" i="19"/>
  <c r="F47" i="19"/>
  <c r="F63" i="19"/>
  <c r="F43" i="19"/>
  <c r="F35" i="19"/>
  <c r="F29" i="19"/>
  <c r="F77" i="19"/>
  <c r="H26" i="26"/>
  <c r="J26" i="26"/>
  <c r="J14" i="26"/>
  <c r="H14" i="26"/>
  <c r="J8" i="26"/>
  <c r="H8" i="26"/>
  <c r="F32" i="26"/>
  <c r="J24" i="26"/>
  <c r="H24" i="26"/>
  <c r="J31" i="26"/>
  <c r="H31" i="26"/>
  <c r="H10" i="26"/>
  <c r="J10" i="26"/>
  <c r="Q55" i="43" l="1"/>
  <c r="Q56" i="43" s="1"/>
  <c r="Q58" i="43" s="1"/>
  <c r="Q52" i="43"/>
  <c r="H105" i="19"/>
  <c r="J105" i="19"/>
  <c r="J56" i="19"/>
  <c r="H56" i="19"/>
  <c r="J74" i="19"/>
  <c r="H74" i="19"/>
  <c r="J32" i="26"/>
  <c r="H32" i="26"/>
  <c r="J29" i="19"/>
  <c r="H29" i="19"/>
  <c r="J101" i="19"/>
  <c r="H101" i="19"/>
  <c r="H58" i="19"/>
  <c r="J58" i="19"/>
  <c r="H14" i="19"/>
  <c r="J14" i="19"/>
  <c r="J78" i="19"/>
  <c r="H78" i="19"/>
  <c r="J39" i="19"/>
  <c r="H39" i="19"/>
  <c r="J13" i="19"/>
  <c r="H13" i="19"/>
  <c r="J106" i="19"/>
  <c r="H106" i="19"/>
  <c r="J18" i="19"/>
  <c r="H18" i="19"/>
  <c r="H80" i="19"/>
  <c r="J80" i="19"/>
  <c r="H31" i="19"/>
  <c r="J31" i="19"/>
  <c r="J89" i="19"/>
  <c r="H89" i="19"/>
  <c r="H12" i="19"/>
  <c r="J12" i="19"/>
  <c r="H36" i="19"/>
  <c r="J36" i="19"/>
  <c r="J10" i="19"/>
  <c r="H10" i="19"/>
  <c r="H48" i="19"/>
  <c r="J48" i="19"/>
  <c r="J32" i="19"/>
  <c r="H32" i="19"/>
  <c r="J11" i="19"/>
  <c r="H11" i="19"/>
  <c r="H35" i="19"/>
  <c r="J35" i="19"/>
  <c r="H75" i="19"/>
  <c r="J75" i="19"/>
  <c r="J55" i="19"/>
  <c r="H55" i="19"/>
  <c r="J84" i="19"/>
  <c r="H84" i="19"/>
  <c r="J43" i="19"/>
  <c r="H43" i="19"/>
  <c r="J102" i="19"/>
  <c r="H102" i="19"/>
  <c r="H20" i="19"/>
  <c r="J20" i="19"/>
  <c r="J38" i="19"/>
  <c r="H38" i="19"/>
  <c r="J72" i="19"/>
  <c r="H72" i="19"/>
  <c r="H51" i="19"/>
  <c r="J51" i="19"/>
  <c r="H45" i="19"/>
  <c r="J45" i="19"/>
  <c r="H49" i="19"/>
  <c r="J49" i="19"/>
  <c r="H104" i="19"/>
  <c r="J104" i="19"/>
  <c r="J40" i="19"/>
  <c r="H40" i="19"/>
  <c r="J69" i="19"/>
  <c r="H69" i="19"/>
  <c r="J27" i="19"/>
  <c r="H27" i="19"/>
  <c r="J54" i="19"/>
  <c r="H54" i="19"/>
  <c r="J61" i="19"/>
  <c r="H61" i="19"/>
  <c r="H50" i="19"/>
  <c r="J50" i="19"/>
  <c r="J82" i="19"/>
  <c r="H82" i="19"/>
  <c r="H57" i="19"/>
  <c r="J57" i="19"/>
  <c r="H66" i="19"/>
  <c r="J66" i="19"/>
  <c r="H63" i="19"/>
  <c r="J63" i="19"/>
  <c r="H53" i="19"/>
  <c r="J53" i="19"/>
  <c r="H37" i="19"/>
  <c r="J37" i="19"/>
  <c r="H96" i="19"/>
  <c r="J96" i="19"/>
  <c r="J100" i="19"/>
  <c r="H100" i="19"/>
  <c r="H25" i="19"/>
  <c r="J25" i="19"/>
  <c r="J22" i="19"/>
  <c r="H22" i="19"/>
  <c r="J30" i="19"/>
  <c r="H30" i="19"/>
  <c r="J26" i="19"/>
  <c r="H26" i="19"/>
  <c r="H86" i="19"/>
  <c r="J86" i="19"/>
  <c r="H85" i="19"/>
  <c r="J85" i="19"/>
  <c r="H21" i="19"/>
  <c r="J21" i="19"/>
  <c r="H95" i="19"/>
  <c r="J95" i="19"/>
  <c r="J44" i="19"/>
  <c r="H44" i="19"/>
  <c r="I24" i="27"/>
  <c r="I35" i="29" s="1"/>
  <c r="I64" i="29" s="1"/>
  <c r="H24" i="27"/>
  <c r="H35" i="29" s="1"/>
  <c r="H64" i="29" s="1"/>
  <c r="C24" i="27"/>
  <c r="C35" i="29" s="1"/>
  <c r="C64" i="29" s="1"/>
  <c r="D24" i="27"/>
  <c r="D35" i="29" s="1"/>
  <c r="D64" i="29" s="1"/>
  <c r="F24" i="27"/>
  <c r="F35" i="29" s="1"/>
  <c r="F64" i="29" s="1"/>
  <c r="E24" i="27"/>
  <c r="E35" i="29" s="1"/>
  <c r="E64" i="29" s="1"/>
  <c r="G24" i="27"/>
  <c r="G35" i="29" s="1"/>
  <c r="G64" i="29" s="1"/>
  <c r="J24" i="27"/>
  <c r="J35" i="29" s="1"/>
  <c r="J64" i="29" s="1"/>
  <c r="B24" i="27"/>
  <c r="B35" i="29" s="1"/>
  <c r="B64" i="29" s="1"/>
  <c r="H47" i="19"/>
  <c r="J47" i="19"/>
  <c r="H41" i="19"/>
  <c r="J41" i="19"/>
  <c r="J65" i="19"/>
  <c r="H65" i="19"/>
  <c r="J103" i="19"/>
  <c r="H103" i="19"/>
  <c r="H76" i="19"/>
  <c r="J76" i="19"/>
  <c r="J92" i="19"/>
  <c r="H92" i="19"/>
  <c r="J23" i="19"/>
  <c r="H23" i="19"/>
  <c r="J90" i="19"/>
  <c r="H90" i="19"/>
  <c r="H93" i="19"/>
  <c r="J93" i="19"/>
  <c r="J79" i="19"/>
  <c r="H79" i="19"/>
  <c r="J60" i="19"/>
  <c r="H60" i="19"/>
  <c r="H99" i="19"/>
  <c r="J99" i="19"/>
  <c r="H77" i="19"/>
  <c r="J77" i="19"/>
  <c r="J19" i="19"/>
  <c r="H19" i="19"/>
  <c r="J24" i="19"/>
  <c r="H24" i="19"/>
  <c r="H8" i="19"/>
  <c r="J8" i="19"/>
  <c r="H17" i="19"/>
  <c r="J17" i="19"/>
  <c r="J42" i="19"/>
  <c r="H42" i="19"/>
  <c r="J87" i="19"/>
  <c r="H87" i="19"/>
  <c r="H59" i="19"/>
  <c r="J59" i="19"/>
  <c r="J68" i="19"/>
  <c r="H68" i="19"/>
  <c r="H16" i="19"/>
  <c r="J16" i="19"/>
  <c r="J34" i="19"/>
  <c r="H34" i="19"/>
  <c r="F107" i="19"/>
  <c r="J7" i="19"/>
  <c r="H7" i="19"/>
  <c r="H62" i="19"/>
  <c r="J62" i="19"/>
  <c r="J52" i="19"/>
  <c r="H52" i="19"/>
  <c r="J73" i="19"/>
  <c r="H73" i="19"/>
  <c r="H64" i="19"/>
  <c r="J64" i="19"/>
  <c r="J83" i="19"/>
  <c r="H83" i="19"/>
  <c r="J97" i="19"/>
  <c r="H97" i="19"/>
  <c r="H81" i="19"/>
  <c r="J81" i="19"/>
  <c r="J33" i="19"/>
  <c r="H33" i="19"/>
  <c r="J46" i="19"/>
  <c r="H46" i="19"/>
  <c r="J28" i="19"/>
  <c r="H28" i="19"/>
  <c r="H98" i="19"/>
  <c r="J98" i="19"/>
  <c r="J88" i="19"/>
  <c r="H88" i="19"/>
  <c r="J71" i="19"/>
  <c r="H71" i="19"/>
  <c r="H94" i="19"/>
  <c r="J94" i="19"/>
  <c r="H15" i="19"/>
  <c r="J15" i="19"/>
  <c r="J67" i="19"/>
  <c r="H67" i="19"/>
  <c r="H9" i="19"/>
  <c r="J9" i="19"/>
  <c r="H91" i="19"/>
  <c r="J91" i="19"/>
  <c r="J70" i="19"/>
  <c r="H70" i="19"/>
  <c r="P55" i="43" l="1"/>
  <c r="H107" i="19"/>
  <c r="C56" i="29"/>
  <c r="C55" i="29"/>
  <c r="C63" i="29"/>
  <c r="C37" i="29"/>
  <c r="C57" i="29"/>
  <c r="C45" i="29"/>
  <c r="C47" i="29"/>
  <c r="C36" i="29"/>
  <c r="C58" i="29"/>
  <c r="C39" i="29"/>
  <c r="C41" i="29"/>
  <c r="C50" i="29"/>
  <c r="C38" i="29"/>
  <c r="C60" i="29"/>
  <c r="C42" i="29"/>
  <c r="C40" i="29"/>
  <c r="C49" i="29"/>
  <c r="C44" i="29"/>
  <c r="C46" i="29"/>
  <c r="C48" i="29"/>
  <c r="C59" i="29"/>
  <c r="C53" i="29"/>
  <c r="C65" i="29"/>
  <c r="C61" i="29"/>
  <c r="C43" i="29"/>
  <c r="C52" i="29"/>
  <c r="C51" i="29"/>
  <c r="C62" i="29"/>
  <c r="C54" i="29"/>
  <c r="H56" i="29"/>
  <c r="H40" i="29"/>
  <c r="H47" i="29"/>
  <c r="H43" i="29"/>
  <c r="H42" i="29"/>
  <c r="H50" i="29"/>
  <c r="H44" i="29"/>
  <c r="H46" i="29"/>
  <c r="H41" i="29"/>
  <c r="H55" i="29"/>
  <c r="H54" i="29"/>
  <c r="H45" i="29"/>
  <c r="H53" i="29"/>
  <c r="H51" i="29"/>
  <c r="H49" i="29"/>
  <c r="H61" i="29"/>
  <c r="H58" i="29"/>
  <c r="H62" i="29"/>
  <c r="H65" i="29"/>
  <c r="H60" i="29"/>
  <c r="H52" i="29"/>
  <c r="H39" i="29"/>
  <c r="H59" i="29"/>
  <c r="H63" i="29"/>
  <c r="H48" i="29"/>
  <c r="H37" i="29"/>
  <c r="H36" i="29"/>
  <c r="H57" i="29"/>
  <c r="H38" i="29"/>
  <c r="I36" i="29"/>
  <c r="I40" i="29"/>
  <c r="I41" i="29"/>
  <c r="I44" i="29"/>
  <c r="I46" i="29"/>
  <c r="I38" i="29"/>
  <c r="I65" i="29"/>
  <c r="I52" i="29"/>
  <c r="I45" i="29"/>
  <c r="I58" i="29"/>
  <c r="I61" i="29"/>
  <c r="I43" i="29"/>
  <c r="I50" i="29"/>
  <c r="I59" i="29"/>
  <c r="I53" i="29"/>
  <c r="I60" i="29"/>
  <c r="I42" i="29"/>
  <c r="I47" i="29"/>
  <c r="I39" i="29"/>
  <c r="I62" i="29"/>
  <c r="I49" i="29"/>
  <c r="I48" i="29"/>
  <c r="I63" i="29"/>
  <c r="I57" i="29"/>
  <c r="I55" i="29"/>
  <c r="I37" i="29"/>
  <c r="I54" i="29"/>
  <c r="I51" i="29"/>
  <c r="I56" i="29"/>
  <c r="D63" i="29"/>
  <c r="D40" i="29"/>
  <c r="D57" i="29"/>
  <c r="D46" i="29"/>
  <c r="D38" i="29"/>
  <c r="D65" i="29"/>
  <c r="D58" i="29"/>
  <c r="D36" i="29"/>
  <c r="D60" i="29"/>
  <c r="D45" i="29"/>
  <c r="D37" i="29"/>
  <c r="D61" i="29"/>
  <c r="D56" i="29"/>
  <c r="D59" i="29"/>
  <c r="D52" i="29"/>
  <c r="D42" i="29"/>
  <c r="D39" i="29"/>
  <c r="D47" i="29"/>
  <c r="D48" i="29"/>
  <c r="D55" i="29"/>
  <c r="D49" i="29"/>
  <c r="D62" i="29"/>
  <c r="D43" i="29"/>
  <c r="D53" i="29"/>
  <c r="D44" i="29"/>
  <c r="D54" i="29"/>
  <c r="D51" i="29"/>
  <c r="D41" i="29"/>
  <c r="D50" i="29"/>
  <c r="J107" i="19"/>
  <c r="J63" i="29"/>
  <c r="J40" i="29"/>
  <c r="J59" i="29"/>
  <c r="J58" i="29"/>
  <c r="J60" i="29"/>
  <c r="J55" i="29"/>
  <c r="J43" i="29"/>
  <c r="J48" i="29"/>
  <c r="J51" i="29"/>
  <c r="J56" i="29"/>
  <c r="J52" i="29"/>
  <c r="J44" i="29"/>
  <c r="J47" i="29"/>
  <c r="J62" i="29"/>
  <c r="J50" i="29"/>
  <c r="J37" i="29"/>
  <c r="J42" i="29"/>
  <c r="J46" i="29"/>
  <c r="J65" i="29"/>
  <c r="J53" i="29"/>
  <c r="J61" i="29"/>
  <c r="J45" i="29"/>
  <c r="J49" i="29"/>
  <c r="J39" i="29"/>
  <c r="J41" i="29"/>
  <c r="J36" i="29"/>
  <c r="J38" i="29"/>
  <c r="J54" i="29"/>
  <c r="J57" i="29"/>
  <c r="G55" i="29"/>
  <c r="G60" i="29"/>
  <c r="G57" i="29"/>
  <c r="G41" i="29"/>
  <c r="G49" i="29"/>
  <c r="G65" i="29"/>
  <c r="G44" i="29"/>
  <c r="G51" i="29"/>
  <c r="G42" i="29"/>
  <c r="G46" i="29"/>
  <c r="G54" i="29"/>
  <c r="G38" i="29"/>
  <c r="G37" i="29"/>
  <c r="G52" i="29"/>
  <c r="G56" i="29"/>
  <c r="G36" i="29"/>
  <c r="G48" i="29"/>
  <c r="G45" i="29"/>
  <c r="G53" i="29"/>
  <c r="G40" i="29"/>
  <c r="G63" i="29"/>
  <c r="G50" i="29"/>
  <c r="G62" i="29"/>
  <c r="G59" i="29"/>
  <c r="G43" i="29"/>
  <c r="G39" i="29"/>
  <c r="G58" i="29"/>
  <c r="G61" i="29"/>
  <c r="G47" i="29"/>
  <c r="B56" i="29"/>
  <c r="B36" i="29"/>
  <c r="B46" i="29"/>
  <c r="B49" i="29"/>
  <c r="B40" i="29"/>
  <c r="B45" i="29"/>
  <c r="B37" i="29"/>
  <c r="B42" i="29"/>
  <c r="B52" i="29"/>
  <c r="B59" i="29"/>
  <c r="B39" i="29"/>
  <c r="B54" i="29"/>
  <c r="B38" i="29"/>
  <c r="B65" i="29"/>
  <c r="B48" i="29"/>
  <c r="B55" i="29"/>
  <c r="B50" i="29"/>
  <c r="B61" i="29"/>
  <c r="B63" i="29"/>
  <c r="B47" i="29"/>
  <c r="B44" i="29"/>
  <c r="B57" i="29"/>
  <c r="B58" i="29"/>
  <c r="B60" i="29"/>
  <c r="B53" i="29"/>
  <c r="B62" i="29"/>
  <c r="B51" i="29"/>
  <c r="B43" i="29"/>
  <c r="B41" i="29"/>
  <c r="E45" i="29"/>
  <c r="E52" i="29"/>
  <c r="E49" i="29"/>
  <c r="E36" i="29"/>
  <c r="E43" i="29"/>
  <c r="E40" i="29"/>
  <c r="E59" i="29"/>
  <c r="E42" i="29"/>
  <c r="E63" i="29"/>
  <c r="E39" i="29"/>
  <c r="E61" i="29"/>
  <c r="E55" i="29"/>
  <c r="E62" i="29"/>
  <c r="E47" i="29"/>
  <c r="E56" i="29"/>
  <c r="E57" i="29"/>
  <c r="E65" i="29"/>
  <c r="E41" i="29"/>
  <c r="E51" i="29"/>
  <c r="E44" i="29"/>
  <c r="E38" i="29"/>
  <c r="E48" i="29"/>
  <c r="E60" i="29"/>
  <c r="E46" i="29"/>
  <c r="E58" i="29"/>
  <c r="E50" i="29"/>
  <c r="E53" i="29"/>
  <c r="E37" i="29"/>
  <c r="E54" i="29"/>
  <c r="F55" i="29"/>
  <c r="F57" i="29"/>
  <c r="F39" i="29"/>
  <c r="F50" i="29"/>
  <c r="F41" i="29"/>
  <c r="F49" i="29"/>
  <c r="F48" i="29"/>
  <c r="F42" i="29"/>
  <c r="F61" i="29"/>
  <c r="F52" i="29"/>
  <c r="F45" i="29"/>
  <c r="F44" i="29"/>
  <c r="F38" i="29"/>
  <c r="F60" i="29"/>
  <c r="F40" i="29"/>
  <c r="F37" i="29"/>
  <c r="F62" i="29"/>
  <c r="F56" i="29"/>
  <c r="F51" i="29"/>
  <c r="F47" i="29"/>
  <c r="F59" i="29"/>
  <c r="F58" i="29"/>
  <c r="F46" i="29"/>
  <c r="F65" i="29"/>
  <c r="F36" i="29"/>
  <c r="F54" i="29"/>
  <c r="F63" i="29"/>
  <c r="F53" i="29"/>
  <c r="F43" i="29"/>
  <c r="G67" i="29" l="1"/>
  <c r="G27" i="27" s="1"/>
  <c r="J69" i="29"/>
  <c r="J29" i="27" s="1"/>
  <c r="J68" i="29"/>
  <c r="J28" i="27" s="1"/>
  <c r="J67" i="29"/>
  <c r="J27" i="27" s="1"/>
  <c r="I67" i="29"/>
  <c r="I27" i="27" s="1"/>
  <c r="B67" i="29"/>
  <c r="B27" i="27" s="1"/>
  <c r="D69" i="29"/>
  <c r="D29" i="27" s="1"/>
  <c r="I68" i="29"/>
  <c r="I28" i="27" s="1"/>
  <c r="H67" i="29"/>
  <c r="H27" i="27" s="1"/>
  <c r="H68" i="29"/>
  <c r="H28" i="27" s="1"/>
  <c r="E68" i="29"/>
  <c r="E28" i="27" s="1"/>
  <c r="G68" i="29"/>
  <c r="G28" i="27" s="1"/>
  <c r="D67" i="29"/>
  <c r="D27" i="27" s="1"/>
  <c r="F67" i="29"/>
  <c r="F27" i="27" s="1"/>
  <c r="E67" i="29"/>
  <c r="E27" i="27" s="1"/>
  <c r="D68" i="29"/>
  <c r="D28" i="27" s="1"/>
  <c r="I69" i="29"/>
  <c r="I29" i="27" s="1"/>
  <c r="C68" i="29"/>
  <c r="C28" i="27" s="1"/>
  <c r="F69" i="29"/>
  <c r="F29" i="27" s="1"/>
  <c r="B68" i="29"/>
  <c r="B28" i="27" s="1"/>
  <c r="G69" i="29"/>
  <c r="G29" i="27" s="1"/>
  <c r="B69" i="29"/>
  <c r="B29" i="27" s="1"/>
  <c r="C67" i="29"/>
  <c r="C27" i="27" s="1"/>
  <c r="F68" i="29"/>
  <c r="F28" i="27" s="1"/>
  <c r="E69" i="29"/>
  <c r="E29" i="27" s="1"/>
  <c r="H69" i="29"/>
  <c r="H29" i="27" s="1"/>
  <c r="C69" i="29"/>
  <c r="C29" i="27" s="1"/>
</calcChain>
</file>

<file path=xl/sharedStrings.xml><?xml version="1.0" encoding="utf-8"?>
<sst xmlns="http://schemas.openxmlformats.org/spreadsheetml/2006/main" count="3380" uniqueCount="363">
  <si>
    <t>Crop Reporting District (CRD)</t>
  </si>
  <si>
    <t>County  </t>
  </si>
  <si>
    <t>Corn</t>
  </si>
  <si>
    <t>Soybeans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</si>
  <si>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</si>
  <si>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</si>
  <si>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</si>
  <si>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</si>
  <si>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</si>
  <si>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</si>
  <si>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</si>
  <si>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</si>
  <si>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</si>
  <si>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</si>
  <si>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</si>
  <si>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</si>
  <si>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</si>
  <si>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</si>
  <si>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</si>
  <si>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</si>
  <si>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</si>
  <si>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</si>
  <si>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</si>
  <si>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</si>
  <si>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</si>
  <si>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</si>
  <si>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</si>
  <si>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</si>
  <si>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</si>
  <si>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</si>
  <si>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</si>
  <si>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</si>
  <si>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</si>
  <si>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</si>
  <si>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</si>
  <si>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</si>
  <si>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</si>
  <si>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</si>
  <si>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</si>
  <si>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</si>
  <si>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</si>
  <si>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</si>
  <si>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</si>
  <si>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</si>
  <si>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</si>
  <si>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</si>
  <si>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</si>
  <si>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</si>
  <si>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</si>
  <si>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</si>
  <si>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</si>
  <si>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</si>
  <si>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</si>
  <si>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</si>
  <si>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</si>
  <si>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</si>
  <si>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</si>
  <si>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</si>
  <si>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</si>
  <si>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</si>
  <si>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</si>
  <si>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</si>
  <si>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</si>
  <si>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</si>
  <si>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</si>
  <si>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</si>
  <si>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</si>
  <si>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</si>
  <si>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</si>
  <si>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</si>
  <si>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</si>
  <si>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</si>
  <si>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</si>
  <si>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</si>
  <si>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</si>
  <si>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</si>
  <si>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</si>
  <si>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</si>
  <si>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</si>
  <si>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</si>
  <si>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</si>
  <si>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</si>
  <si>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</si>
  <si>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</si>
  <si>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</si>
  <si>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</si>
  <si>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</si>
  <si>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</si>
  <si>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</si>
  <si>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</si>
  <si>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</si>
  <si>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</si>
  <si>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</si>
  <si>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</si>
  <si>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</si>
  <si>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</si>
  <si>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</si>
  <si>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</si>
  <si>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</si>
  <si>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</si>
  <si>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</si>
  <si>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</si>
  <si>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State Average</t>
  </si>
  <si>
    <t>Ag Decision Maker -- Iowa State University Extension and Outreach</t>
  </si>
  <si>
    <t>Date Printed:</t>
  </si>
  <si>
    <t xml:space="preserve"> </t>
  </si>
  <si>
    <t>Sources</t>
  </si>
  <si>
    <t>County Name</t>
  </si>
  <si>
    <t>Crop Name</t>
  </si>
  <si>
    <t>Unit</t>
  </si>
  <si>
    <t>Yield Type</t>
  </si>
  <si>
    <t>Bushels</t>
  </si>
  <si>
    <t>All</t>
  </si>
  <si>
    <t>Olympic Price</t>
  </si>
  <si>
    <t>Marketing Year Average Price</t>
  </si>
  <si>
    <t>Kelvin Leibold</t>
  </si>
  <si>
    <t>FSA ARC/PLC Program Data</t>
  </si>
  <si>
    <t>Projections updated:</t>
  </si>
  <si>
    <t>Authors: Alejandro Plastina</t>
  </si>
  <si>
    <t>2018-19</t>
  </si>
  <si>
    <t>Irrigated</t>
  </si>
  <si>
    <r>
      <rPr>
        <b/>
        <sz val="10"/>
        <color theme="1"/>
        <rFont val="Arial"/>
        <family val="2"/>
      </rPr>
      <t>Olympic Price</t>
    </r>
    <r>
      <rPr>
        <sz val="10"/>
        <color theme="1"/>
        <rFont val="Arial"/>
        <family val="2"/>
      </rPr>
      <t xml:space="preserve"> is the five year average price discarding the highest and lowest and averaging the remaining 3 prices.</t>
    </r>
  </si>
  <si>
    <r>
      <rPr>
        <b/>
        <sz val="10"/>
        <color theme="1"/>
        <rFont val="Arial"/>
        <family val="2"/>
      </rPr>
      <t>Olympic Yield</t>
    </r>
    <r>
      <rPr>
        <sz val="10"/>
        <color theme="1"/>
        <rFont val="Arial"/>
        <family val="2"/>
      </rPr>
      <t xml:space="preserve"> is the five year average yield discarding the highest and lowest and averaging the remaining 3 years</t>
    </r>
  </si>
  <si>
    <t>For Educational Purposes Only; No Guarantee or Warranty Implied or Stated</t>
  </si>
  <si>
    <t>2019-20</t>
  </si>
  <si>
    <t>1. Select the cell below and choose an Iowa county from the dropdown menu</t>
  </si>
  <si>
    <t>ARC COUNTY (ARC-CO) YIELDS (unit per acre)</t>
  </si>
  <si>
    <t>National Loan Rate</t>
  </si>
  <si>
    <t>Pottawattamie-East</t>
  </si>
  <si>
    <t>Pottawattamie-West</t>
  </si>
  <si>
    <t>Trend adjusted (county yield or 80% of T)</t>
  </si>
  <si>
    <t>ARC-CO pays on the smaller of the "cap" or "actual loss" based on county yields and national MYA price.</t>
  </si>
  <si>
    <t xml:space="preserve">This Iowa based Decision Tool provides detailed data on Agricultural Risk Coverage-COUNTY (ARC-CO) and Price Loss Coverage (PLC) payments for non-irrigated corn or soybean base acres by county. </t>
  </si>
  <si>
    <t>Irrigated Data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</si>
  <si>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</si>
  <si>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r>
      <t xml:space="preserve">Esta institución ofrece igualdad de oportunidades. Para ver la declaración completa de no discriminación o para consultas de acomodación,  
siga a este vinculo: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</si>
  <si>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ARC-CO Yield Designation</t>
  </si>
  <si>
    <t>Bushel</t>
  </si>
  <si>
    <t>Nonirrigated</t>
  </si>
  <si>
    <t>irrigated soybean yields</t>
  </si>
  <si>
    <t>**</t>
  </si>
  <si>
    <t>2020-21</t>
  </si>
  <si>
    <t>2018 trend adjusted (county yield or 80% of T)</t>
  </si>
  <si>
    <t>2019 trend adjusted (county yield or 80% of T)</t>
  </si>
  <si>
    <t>**FSA Trend Adjusted Yields not reported for Pottawattamie-West. FSA Trend Adjusted Yields from Pottawattamie-East are used as proxies.</t>
  </si>
  <si>
    <t>n/a</t>
  </si>
  <si>
    <t xml:space="preserve">County: </t>
  </si>
  <si>
    <t>Trigger Yield</t>
  </si>
  <si>
    <t>Last 10 years</t>
  </si>
  <si>
    <t>Last 20 years</t>
  </si>
  <si>
    <t>Last 30 years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</si>
  <si>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</si>
  <si>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</si>
  <si>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</si>
  <si>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</si>
  <si>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</si>
  <si>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</si>
  <si>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</si>
  <si>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</si>
  <si>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</si>
  <si>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</si>
  <si>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</si>
  <si>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</si>
  <si>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</si>
  <si>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</si>
  <si>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</si>
  <si>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</si>
  <si>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</si>
  <si>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</si>
  <si>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</si>
  <si>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</si>
  <si>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</si>
  <si>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</si>
  <si>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</si>
  <si>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</si>
  <si>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</si>
  <si>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</si>
  <si>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</si>
  <si>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</si>
  <si>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</si>
  <si>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</si>
  <si>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</si>
  <si>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</si>
  <si>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</si>
  <si>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</si>
  <si>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</si>
  <si>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</si>
  <si>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</si>
  <si>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</si>
  <si>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</si>
  <si>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</si>
  <si>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</si>
  <si>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</si>
  <si>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</si>
  <si>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</si>
  <si>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</si>
  <si>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</si>
  <si>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</si>
  <si>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</si>
  <si>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</si>
  <si>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</si>
  <si>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</si>
  <si>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</si>
  <si>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</si>
  <si>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</si>
  <si>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</si>
  <si>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</si>
  <si>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</si>
  <si>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</si>
  <si>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</si>
  <si>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</si>
  <si>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</si>
  <si>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</si>
  <si>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</si>
  <si>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</si>
  <si>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</si>
  <si>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</si>
  <si>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</si>
  <si>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</si>
  <si>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</si>
  <si>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</si>
  <si>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 BRIEN</t>
  </si>
  <si>
    <t>OSCEOLA</t>
  </si>
  <si>
    <t>OTHER (COMBINED) COUNTIES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</si>
  <si>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</si>
  <si>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</si>
  <si>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</si>
  <si>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</si>
  <si>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</si>
  <si>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</si>
  <si>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</si>
  <si>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</si>
  <si>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</si>
  <si>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</si>
  <si>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</si>
  <si>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</si>
  <si>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</si>
  <si>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</si>
  <si>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</si>
  <si>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</si>
  <si>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</si>
  <si>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</si>
  <si>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</si>
  <si>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</si>
  <si>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</si>
  <si>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</si>
  <si>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</si>
  <si>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</si>
  <si>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</si>
  <si>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</si>
  <si>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</si>
  <si>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TRIGGER YIELDS</t>
  </si>
  <si>
    <t>COUNTY #</t>
  </si>
  <si>
    <t>ROW #</t>
  </si>
  <si>
    <t>%TIME LAST 10 YEARS</t>
  </si>
  <si>
    <t>%TIME LAST 20 YEARS</t>
  </si>
  <si>
    <t>%TIME LAST 30 YEARS</t>
  </si>
  <si>
    <t>Corn Price</t>
  </si>
  <si>
    <t>Sensitivity Analysis CORN</t>
  </si>
  <si>
    <t>Sensitivity Analysis SOYBEANS</t>
  </si>
  <si>
    <t>Not applicable</t>
  </si>
  <si>
    <t>Not available</t>
  </si>
  <si>
    <t>Olympic Yield of RMA Trend-Adjusted Yields</t>
  </si>
  <si>
    <t>RMA Trend-Adjusted Yield</t>
  </si>
  <si>
    <t>Historical probability of County Yields being lower than Trigger Yield*</t>
  </si>
  <si>
    <t>Soybean Price</t>
  </si>
  <si>
    <t>ARC/PLC Program Data (usda.gov)</t>
  </si>
  <si>
    <t>OA</t>
  </si>
  <si>
    <t>Sensitivity Analysis for Non-Irrigated Acres</t>
  </si>
  <si>
    <t>The information is organized by irrigated and non-irrigated practices.</t>
  </si>
  <si>
    <t>For more information, visit the ISU Extension and Outreach Ag Decision Maker Farm Bill webpage.</t>
  </si>
  <si>
    <r>
      <t xml:space="preserve">Esta institución ofrece igualdad de oportunidades. Para ver la declaración completa de no discriminación o para consultas de acomodación, siga a este vinculo: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</si>
  <si>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*Percent of times in selected periods that nominal USDA NASS county yields (NOT Trend-Adjusted) were lower than the Trigger Yield.</t>
  </si>
  <si>
    <t>Source of Information: USDA Farm Service Agency</t>
  </si>
  <si>
    <t>Source of Yield and Price Information: USDA Farm Service Agency</t>
  </si>
  <si>
    <t>OTHER COUNTIES</t>
  </si>
  <si>
    <t>Row Labels</t>
  </si>
  <si>
    <t>O Brien</t>
  </si>
  <si>
    <t>Col #</t>
  </si>
  <si>
    <t>East Pottawattamie</t>
  </si>
  <si>
    <t>West Pottawattamie</t>
  </si>
  <si>
    <t>2020 trend adjusted (county yield or 80% of T)</t>
  </si>
  <si>
    <t>2021-22</t>
  </si>
  <si>
    <t>Data updated by Ann Johanns</t>
  </si>
  <si>
    <t>p=projected</t>
  </si>
  <si>
    <t>2023-24p</t>
  </si>
  <si>
    <t>2021 trend adjusted (county yield or 80% of T)</t>
  </si>
  <si>
    <t>See File A1-33, Farm Bill Programs: Data and Methods for ARC-County and PLC, for more information.</t>
  </si>
  <si>
    <t>2022-23 FSA Projected MYA Price</t>
  </si>
  <si>
    <t>2021-22 FSA Final MYA Price</t>
  </si>
  <si>
    <t>Version 4.0</t>
  </si>
  <si>
    <t>Payments shown assume 5.7% sequestration.</t>
  </si>
  <si>
    <t>2022-23</t>
  </si>
  <si>
    <t>ARC-CO &amp; PLC Per Non-Irrigated Acre Payment Estimator for Iowa, 2024-25</t>
  </si>
  <si>
    <t>ARC-CO and PLC Payment Estimator for Iowa, 2024-25</t>
  </si>
  <si>
    <t>2024-25p</t>
  </si>
  <si>
    <t>UPDATED 1/4/2024</t>
  </si>
  <si>
    <t>2022 trend adjusted (county yield or 80% of T)</t>
  </si>
  <si>
    <t>ARC-CO Payments Details by County and Non-Irrigated Commodity, 2024-25</t>
  </si>
  <si>
    <t>Average PLC Yields by County, 2023</t>
  </si>
  <si>
    <t>MYAs for 2023-24, 2024-25 are current projected values from USDA Farm Service Agency and WAOB.</t>
  </si>
  <si>
    <t>2023-24 FSA Projected MYA Price</t>
  </si>
  <si>
    <t>2024-25 USDA Projected MYA Price</t>
  </si>
  <si>
    <t>ARC-CO &amp; PLC Per Irrigated Acre Payment Estimator for Iowa, 2024-25</t>
  </si>
  <si>
    <t>updated 1/5/2024</t>
  </si>
  <si>
    <t>ARC-CO Payments Details by County and Irrigated Commodity, 2024-25</t>
  </si>
  <si>
    <t>Your Assumptions (from tab "Payment by County - Non-irr"):</t>
  </si>
  <si>
    <t>×</t>
  </si>
  <si>
    <t>Statutory Reference Price (SRP)</t>
  </si>
  <si>
    <t>Marketing Year Average (MYA) Prices</t>
  </si>
  <si>
    <t>Olympic Average of MYA Prices</t>
  </si>
  <si>
    <t>Effective Reference Price (ERP)</t>
  </si>
  <si>
    <t>ARC-CO Price (Olympic Average of Higher of MYA Prices, ERP)</t>
  </si>
  <si>
    <t>Higher of MYA Prices, ERP</t>
  </si>
  <si>
    <t>ARC-CO Yield (Olympic Average of RMA Trend-Adjusted Yields)</t>
  </si>
  <si>
    <t>Corn Yields (not trend-adjusted)</t>
  </si>
  <si>
    <t>Soybean Yields (not trend-adjusted)</t>
  </si>
  <si>
    <t>Notes:</t>
  </si>
  <si>
    <t>Cap on PLC Payment per acre</t>
  </si>
  <si>
    <t>Your Farm PLC Yield</t>
  </si>
  <si>
    <t>Program Prices ($/bushel)</t>
  </si>
  <si>
    <t>Program Yields (bushels/acre)</t>
  </si>
  <si>
    <t>ARC-CO Revenue Guarantee ($/acre)</t>
  </si>
  <si>
    <t>Program Price ($/bushel)</t>
  </si>
  <si>
    <t>Program Yield (bushels/acre)</t>
  </si>
  <si>
    <t>CORN</t>
  </si>
  <si>
    <t>SOYBEANS</t>
  </si>
  <si>
    <t>acres</t>
  </si>
  <si>
    <t>bu/acre</t>
  </si>
  <si>
    <t>$/bushel</t>
  </si>
  <si>
    <t>County-average PLC Yield on Corn Base Acres:</t>
  </si>
  <si>
    <t>County-average PLC Yield on Soybean Base Acres:</t>
  </si>
  <si>
    <t>Irr. Soybeans</t>
  </si>
  <si>
    <t>Irr. Corn</t>
  </si>
  <si>
    <r>
      <t>Marketing Year Average Price (MYA)</t>
    </r>
    <r>
      <rPr>
        <sz val="10"/>
        <color theme="1"/>
        <rFont val="Arial"/>
        <family val="2"/>
      </rPr>
      <t xml:space="preserve"> is the average monthly price from September to August of the following year </t>
    </r>
  </si>
  <si>
    <t>(example: Sep 2023 - Aug 2024 = the 2023 MYA).</t>
  </si>
  <si>
    <r>
      <t>Marketing Year Average Price (MYA)</t>
    </r>
    <r>
      <rPr>
        <sz val="10"/>
        <color theme="1"/>
        <rFont val="Arial"/>
        <family val="2"/>
      </rPr>
      <t xml:space="preserve"> is the average monthly price from September to August of the following year</t>
    </r>
  </si>
  <si>
    <t xml:space="preserve"> (example: Sep 2023 - Aug 2024 = the 2023 MYA).</t>
  </si>
  <si>
    <t>3a. Effective Reference Price Calculation for Corn</t>
  </si>
  <si>
    <t>3b. Effective Reference Price Calculation for Soybeans</t>
  </si>
  <si>
    <t>"Not available" indicates no county yield was released by USDA-NASS for that year and crop.</t>
  </si>
  <si>
    <t>bu./acre</t>
  </si>
  <si>
    <r>
      <t xml:space="preserve">2. Enter price and yield projections </t>
    </r>
    <r>
      <rPr>
        <sz val="10"/>
        <color theme="1"/>
        <rFont val="Arial"/>
        <family val="2"/>
      </rPr>
      <t>(projections must be entered for tool to estimate payments)</t>
    </r>
  </si>
  <si>
    <t>*Percent of times in selected periods that nominal USDA-NASS county yields (NOT Trend-Adjusted) were lower than the Trigger Yield.</t>
  </si>
  <si>
    <t>Benchmark Revenue = ARC-CO Price × ARC-CO Yield</t>
  </si>
  <si>
    <t>2024 FSA
Yields^</t>
  </si>
  <si>
    <t>Projected ARC-CO Payment in Oct 2025 (after 5.7% sequestration)</t>
  </si>
  <si>
    <t>Olympic Average Trend-Adjusted Yields, 2018-2022</t>
  </si>
  <si>
    <t>^FSA yield projections are not released until the October following the production year.</t>
  </si>
  <si>
    <t>Information on this page is county level information of the farms enrolled in PLC in 2023. PLC payments are based on farm PLC yields.</t>
  </si>
  <si>
    <t xml:space="preserve">This Iowa based Decision Tool provides detailed data on Agricultural Risk Coverage-COUNTY (ARC-CO) and Price Loss Coverage (PLC) payments for irrigated corn or soybean base acres by county. </t>
  </si>
  <si>
    <r>
      <rPr>
        <sz val="10"/>
        <rFont val="Arial"/>
        <family val="2"/>
      </rPr>
      <t>Trigger Yield^ in bu./acre under assumptions entered above</t>
    </r>
    <r>
      <rPr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</rPr>
      <t>(See Sensitivity Analysis tab)</t>
    </r>
  </si>
  <si>
    <t>^Trigger Yield is the highest yield to trigger an ARC-CO Payment under entered assumptions.</t>
  </si>
  <si>
    <r>
      <rPr>
        <sz val="10"/>
        <rFont val="Arial"/>
        <family val="2"/>
      </rPr>
      <t>Trigger Yield^ in bu./acre under entered projections</t>
    </r>
    <r>
      <rPr>
        <sz val="10"/>
        <color indexed="12"/>
        <rFont val="Arial"/>
        <family val="2"/>
      </rPr>
      <t xml:space="preserve"> </t>
    </r>
    <r>
      <rPr>
        <u/>
        <sz val="10"/>
        <color indexed="12"/>
        <rFont val="Arial"/>
        <family val="2"/>
      </rPr>
      <t>(See Sensitivity Analysis tab)</t>
    </r>
  </si>
  <si>
    <r>
      <rPr>
        <sz val="10"/>
        <rFont val="Arial"/>
        <family val="2"/>
      </rPr>
      <t xml:space="preserve">Trigger Yield^ in bu./acre under entered projections </t>
    </r>
    <r>
      <rPr>
        <u/>
        <sz val="10"/>
        <color indexed="12"/>
        <rFont val="Arial"/>
        <family val="2"/>
      </rPr>
      <t>(See Sensitivity Analysis tab)</t>
    </r>
  </si>
  <si>
    <t>^Trigger Yield is the highest yield to trigger an ARC-CO Payment under entered projections.</t>
  </si>
  <si>
    <t>Based on available county-level yield data from USDA-NASS.</t>
  </si>
  <si>
    <t>2024  County 
Crop Revenue</t>
  </si>
  <si>
    <t>2024-25 ARC-CO Benchmark Revenue
Yield × Olympic Price</t>
  </si>
  <si>
    <t>2024-25 ARC-CO Net Revenue Guarantee 
86% of Benchmark</t>
  </si>
  <si>
    <t>2024-25 ARC-CO Payment Cap
10% of Benchmark Revenue</t>
  </si>
  <si>
    <t>Average 2023 PLC Yields</t>
  </si>
  <si>
    <t>This decision tool helps users estimate the projected payments from Agricultural Risk Coverage-COUNTY (ARC-CO) and Price Loss Coverage (PLC) for corn and soybean base acres in the state of Iowa.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</si>
</sst>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  <numFmt numFmtId="167" formatCode="&quot;$&quot;#,##0.00"/>
    <numFmt numFmtId="168" formatCode="_(* #,##0_);_(* \(#,##0\);_(* &quot;-&quot;??_);_(@_)"/>
    <numFmt numFmtId="169" formatCode="_(&quot;$&quot;* #,##0_);_(&quot;$&quot;* \(#,##0\);_(&quot;$&quot;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0"/>
      <color rgb="FFC00000"/>
      <name val="Arial"/>
      <family val="2"/>
    </font>
    <font>
      <u/>
      <sz val="10"/>
      <color indexed="4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indexed="63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7.5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u/>
      <sz val="10"/>
      <color rgb="FF0000FF"/>
      <name val="Arial"/>
      <family val="2"/>
    </font>
    <font>
      <i/>
      <sz val="10"/>
      <color theme="0"/>
      <name val="Arial"/>
      <family val="2"/>
    </font>
    <font>
      <sz val="11"/>
      <color rgb="FFC00000"/>
      <name val="Arial"/>
      <family val="2"/>
    </font>
    <font>
      <sz val="8"/>
      <color rgb="FFC0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name val="Arial"/>
      <family val="2"/>
    </font>
    <font>
      <u/>
      <sz val="11"/>
      <color indexed="12"/>
      <name val="Arial"/>
      <family val="2"/>
    </font>
    <font>
      <u/>
      <sz val="11"/>
      <color rgb="FFC00000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i/>
      <sz val="8.5"/>
      <color theme="1"/>
      <name val="Arial"/>
      <family val="2"/>
    </font>
    <font>
      <b/>
      <sz val="14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</cellStyleXfs>
  <cellXfs count="396">
    <xf numFmtId="0" fontId="0" fillId="0" borderId="0" xfId="0"/>
    <xf numFmtId="0" fontId="10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18" fillId="4" borderId="3" xfId="0" applyFont="1" applyFill="1" applyBorder="1" applyAlignment="1">
      <alignment horizontal="center" vertical="center" wrapText="1"/>
    </xf>
    <xf numFmtId="8" fontId="19" fillId="0" borderId="9" xfId="0" applyNumberFormat="1" applyFont="1" applyBorder="1" applyAlignment="1">
      <alignment horizontal="right" vertical="center"/>
    </xf>
    <xf numFmtId="8" fontId="19" fillId="0" borderId="7" xfId="0" applyNumberFormat="1" applyFont="1" applyBorder="1" applyAlignment="1">
      <alignment horizontal="right" vertical="center"/>
    </xf>
    <xf numFmtId="8" fontId="19" fillId="4" borderId="11" xfId="0" applyNumberFormat="1" applyFont="1" applyFill="1" applyBorder="1" applyAlignment="1">
      <alignment horizontal="right" vertical="center"/>
    </xf>
    <xf numFmtId="8" fontId="19" fillId="4" borderId="12" xfId="0" applyNumberFormat="1" applyFont="1" applyFill="1" applyBorder="1" applyAlignment="1">
      <alignment horizontal="right" vertical="center"/>
    </xf>
    <xf numFmtId="8" fontId="19" fillId="0" borderId="11" xfId="0" applyNumberFormat="1" applyFont="1" applyBorder="1" applyAlignment="1">
      <alignment horizontal="right" vertical="center"/>
    </xf>
    <xf numFmtId="8" fontId="19" fillId="0" borderId="12" xfId="0" applyNumberFormat="1" applyFont="1" applyBorder="1" applyAlignment="1">
      <alignment horizontal="right" vertical="center"/>
    </xf>
    <xf numFmtId="8" fontId="18" fillId="0" borderId="13" xfId="0" applyNumberFormat="1" applyFont="1" applyBorder="1" applyAlignment="1">
      <alignment horizontal="right" vertical="center"/>
    </xf>
    <xf numFmtId="8" fontId="18" fillId="0" borderId="1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4" borderId="15" xfId="0" applyFont="1" applyFill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5" fillId="0" borderId="16" xfId="0" applyFont="1" applyBorder="1"/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2" fillId="0" borderId="0" xfId="1" applyAlignment="1" applyProtection="1"/>
    <xf numFmtId="0" fontId="24" fillId="0" borderId="0" xfId="0" applyFont="1"/>
    <xf numFmtId="0" fontId="25" fillId="0" borderId="0" xfId="0" applyFont="1"/>
    <xf numFmtId="3" fontId="25" fillId="0" borderId="0" xfId="0" applyNumberFormat="1" applyFont="1"/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Alignment="1" applyProtection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" fontId="18" fillId="0" borderId="13" xfId="0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/>
    </xf>
    <xf numFmtId="0" fontId="21" fillId="0" borderId="0" xfId="0" applyFont="1"/>
    <xf numFmtId="44" fontId="35" fillId="0" borderId="0" xfId="0" applyNumberFormat="1" applyFont="1"/>
    <xf numFmtId="9" fontId="35" fillId="0" borderId="0" xfId="4" applyFont="1" applyAlignment="1">
      <alignment shrinkToFit="1"/>
    </xf>
    <xf numFmtId="0" fontId="14" fillId="0" borderId="0" xfId="1" applyFont="1" applyAlignment="1" applyProtection="1">
      <alignment horizontal="left" wrapText="1"/>
    </xf>
    <xf numFmtId="0" fontId="36" fillId="0" borderId="0" xfId="0" applyFont="1"/>
    <xf numFmtId="0" fontId="37" fillId="0" borderId="0" xfId="0" applyFont="1"/>
    <xf numFmtId="44" fontId="37" fillId="0" borderId="0" xfId="0" applyNumberFormat="1" applyFont="1"/>
    <xf numFmtId="8" fontId="38" fillId="0" borderId="0" xfId="3" applyNumberFormat="1" applyFont="1" applyAlignment="1"/>
    <xf numFmtId="0" fontId="43" fillId="0" borderId="0" xfId="0" applyFont="1"/>
    <xf numFmtId="165" fontId="35" fillId="0" borderId="0" xfId="4" applyNumberFormat="1" applyFont="1" applyAlignment="1">
      <alignment shrinkToFit="1"/>
    </xf>
    <xf numFmtId="3" fontId="25" fillId="0" borderId="0" xfId="0" applyNumberFormat="1" applyFont="1" applyFill="1"/>
    <xf numFmtId="14" fontId="15" fillId="0" borderId="0" xfId="0" applyNumberFormat="1" applyFont="1"/>
    <xf numFmtId="44" fontId="9" fillId="6" borderId="3" xfId="3" applyFont="1" applyFill="1" applyBorder="1" applyProtection="1"/>
    <xf numFmtId="0" fontId="9" fillId="0" borderId="0" xfId="1" applyFont="1" applyAlignment="1" applyProtection="1">
      <alignment horizontal="left" wrapText="1"/>
    </xf>
    <xf numFmtId="0" fontId="20" fillId="3" borderId="3" xfId="0" applyFont="1" applyFill="1" applyBorder="1" applyAlignment="1">
      <alignment horizontal="center" vertical="center" wrapText="1"/>
    </xf>
    <xf numFmtId="0" fontId="6" fillId="6" borderId="0" xfId="0" applyFont="1" applyFill="1" applyBorder="1" applyProtection="1"/>
    <xf numFmtId="0" fontId="4" fillId="6" borderId="0" xfId="0" applyFont="1" applyFill="1" applyBorder="1" applyProtection="1"/>
    <xf numFmtId="0" fontId="36" fillId="0" borderId="0" xfId="0" applyFont="1" applyAlignment="1">
      <alignment vertical="center"/>
    </xf>
    <xf numFmtId="0" fontId="37" fillId="0" borderId="0" xfId="0" quotePrefix="1" applyFont="1"/>
    <xf numFmtId="44" fontId="9" fillId="0" borderId="0" xfId="0" applyNumberFormat="1" applyFont="1" applyAlignment="1">
      <alignment shrinkToFit="1"/>
    </xf>
    <xf numFmtId="0" fontId="20" fillId="3" borderId="3" xfId="0" applyFont="1" applyFill="1" applyBorder="1" applyAlignment="1">
      <alignment horizontal="left" vertical="center" wrapText="1"/>
    </xf>
    <xf numFmtId="0" fontId="40" fillId="0" borderId="0" xfId="0" applyFont="1"/>
    <xf numFmtId="0" fontId="55" fillId="0" borderId="0" xfId="0" applyFont="1"/>
    <xf numFmtId="0" fontId="9" fillId="0" borderId="0" xfId="1" applyFont="1" applyAlignment="1" applyProtection="1">
      <alignment horizontal="left" wrapText="1"/>
    </xf>
    <xf numFmtId="0" fontId="20" fillId="3" borderId="3" xfId="0" applyFont="1" applyFill="1" applyBorder="1" applyAlignment="1">
      <alignment horizontal="center" vertical="center" wrapText="1"/>
    </xf>
    <xf numFmtId="9" fontId="35" fillId="0" borderId="0" xfId="4" applyFont="1" applyFill="1" applyAlignment="1">
      <alignment shrinkToFit="1"/>
    </xf>
    <xf numFmtId="165" fontId="35" fillId="0" borderId="0" xfId="4" applyNumberFormat="1" applyFont="1" applyFill="1" applyAlignment="1">
      <alignment shrinkToFit="1"/>
    </xf>
    <xf numFmtId="0" fontId="43" fillId="0" borderId="0" xfId="0" applyFont="1" applyBorder="1"/>
    <xf numFmtId="0" fontId="15" fillId="0" borderId="0" xfId="0" applyFont="1" applyBorder="1"/>
    <xf numFmtId="0" fontId="25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164" fontId="9" fillId="0" borderId="29" xfId="2" applyNumberFormat="1" applyFont="1" applyFill="1" applyBorder="1" applyAlignment="1" applyProtection="1">
      <alignment shrinkToFit="1"/>
    </xf>
    <xf numFmtId="0" fontId="47" fillId="0" borderId="3" xfId="0" applyFont="1" applyFill="1" applyBorder="1" applyProtection="1"/>
    <xf numFmtId="0" fontId="47" fillId="0" borderId="3" xfId="0" applyFont="1" applyFill="1" applyBorder="1" applyAlignment="1" applyProtection="1">
      <alignment horizontal="left"/>
    </xf>
    <xf numFmtId="0" fontId="30" fillId="0" borderId="0" xfId="0" applyFont="1" applyFill="1" applyAlignment="1">
      <alignment horizontal="left"/>
    </xf>
    <xf numFmtId="0" fontId="30" fillId="0" borderId="0" xfId="6" applyFont="1" applyFill="1" applyAlignment="1">
      <alignment horizontal="left"/>
    </xf>
    <xf numFmtId="0" fontId="30" fillId="0" borderId="0" xfId="6" applyFont="1" applyFill="1" applyAlignment="1">
      <alignment horizontal="center"/>
    </xf>
    <xf numFmtId="3" fontId="32" fillId="0" borderId="0" xfId="0" applyNumberFormat="1" applyFont="1" applyFill="1" applyAlignment="1">
      <alignment horizontal="left"/>
    </xf>
    <xf numFmtId="14" fontId="25" fillId="0" borderId="0" xfId="0" applyNumberFormat="1" applyFont="1" applyFill="1"/>
    <xf numFmtId="3" fontId="30" fillId="0" borderId="0" xfId="6" applyNumberFormat="1" applyFont="1" applyFill="1" applyAlignment="1">
      <alignment horizontal="left"/>
    </xf>
    <xf numFmtId="14" fontId="32" fillId="0" borderId="0" xfId="0" applyNumberFormat="1" applyFont="1" applyFill="1" applyAlignment="1">
      <alignment horizontal="center"/>
    </xf>
    <xf numFmtId="0" fontId="25" fillId="0" borderId="0" xfId="0" applyFont="1" applyFill="1"/>
    <xf numFmtId="14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center"/>
    </xf>
    <xf numFmtId="1" fontId="15" fillId="0" borderId="0" xfId="0" applyNumberFormat="1" applyFont="1"/>
    <xf numFmtId="0" fontId="56" fillId="0" borderId="0" xfId="0" applyFont="1"/>
    <xf numFmtId="0" fontId="58" fillId="7" borderId="0" xfId="0" applyFont="1" applyFill="1"/>
    <xf numFmtId="0" fontId="30" fillId="0" borderId="0" xfId="7" applyFont="1" applyFill="1" applyAlignment="1">
      <alignment horizontal="left"/>
    </xf>
    <xf numFmtId="0" fontId="32" fillId="0" borderId="17" xfId="7" applyFont="1" applyFill="1" applyBorder="1" applyAlignment="1" applyProtection="1">
      <alignment horizontal="center" wrapText="1"/>
      <protection locked="0"/>
    </xf>
    <xf numFmtId="0" fontId="30" fillId="0" borderId="0" xfId="7" applyFont="1" applyFill="1" applyAlignment="1">
      <alignment horizontal="center"/>
    </xf>
    <xf numFmtId="0" fontId="59" fillId="0" borderId="0" xfId="0" applyFont="1" applyFill="1"/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25" fillId="0" borderId="0" xfId="0" applyFont="1" applyFill="1" applyBorder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30" fillId="0" borderId="0" xfId="7" applyFont="1" applyFill="1" applyAlignment="1">
      <alignment horizontal="center" wrapText="1"/>
    </xf>
    <xf numFmtId="14" fontId="30" fillId="0" borderId="0" xfId="6" applyNumberFormat="1" applyFont="1" applyFill="1" applyAlignment="1">
      <alignment horizontal="left"/>
    </xf>
    <xf numFmtId="14" fontId="32" fillId="0" borderId="0" xfId="0" applyNumberFormat="1" applyFont="1" applyFill="1" applyAlignment="1">
      <alignment horizontal="left"/>
    </xf>
    <xf numFmtId="4" fontId="32" fillId="0" borderId="27" xfId="7" applyNumberFormat="1" applyFont="1" applyFill="1" applyBorder="1" applyAlignment="1" applyProtection="1">
      <alignment horizontal="right" wrapText="1"/>
      <protection locked="0"/>
    </xf>
    <xf numFmtId="0" fontId="32" fillId="0" borderId="27" xfId="7" applyFont="1" applyFill="1" applyBorder="1" applyAlignment="1" applyProtection="1">
      <alignment horizontal="left" wrapText="1"/>
      <protection locked="0"/>
    </xf>
    <xf numFmtId="0" fontId="32" fillId="0" borderId="27" xfId="7" applyFont="1" applyFill="1" applyBorder="1" applyAlignment="1" applyProtection="1">
      <alignment horizontal="center" wrapText="1"/>
      <protection locked="0"/>
    </xf>
    <xf numFmtId="1" fontId="19" fillId="0" borderId="9" xfId="0" applyNumberFormat="1" applyFont="1" applyBorder="1" applyAlignment="1">
      <alignment horizontal="right" vertical="center"/>
    </xf>
    <xf numFmtId="1" fontId="19" fillId="0" borderId="7" xfId="0" applyNumberFormat="1" applyFont="1" applyBorder="1" applyAlignment="1">
      <alignment horizontal="right" vertical="center"/>
    </xf>
    <xf numFmtId="1" fontId="19" fillId="4" borderId="11" xfId="0" applyNumberFormat="1" applyFont="1" applyFill="1" applyBorder="1" applyAlignment="1">
      <alignment horizontal="right" vertical="center"/>
    </xf>
    <xf numFmtId="1" fontId="19" fillId="4" borderId="12" xfId="0" applyNumberFormat="1" applyFont="1" applyFill="1" applyBorder="1" applyAlignment="1">
      <alignment horizontal="right" vertical="center"/>
    </xf>
    <xf numFmtId="1" fontId="19" fillId="0" borderId="11" xfId="0" applyNumberFormat="1" applyFont="1" applyBorder="1" applyAlignment="1">
      <alignment horizontal="right" vertical="center"/>
    </xf>
    <xf numFmtId="1" fontId="19" fillId="0" borderId="12" xfId="0" applyNumberFormat="1" applyFont="1" applyBorder="1" applyAlignment="1">
      <alignment horizontal="right" vertical="center"/>
    </xf>
    <xf numFmtId="1" fontId="57" fillId="4" borderId="12" xfId="0" applyNumberFormat="1" applyFont="1" applyFill="1" applyBorder="1" applyAlignment="1">
      <alignment horizontal="right" vertical="center"/>
    </xf>
    <xf numFmtId="0" fontId="9" fillId="0" borderId="0" xfId="1" applyFont="1" applyAlignment="1" applyProtection="1">
      <alignment horizontal="left" wrapText="1"/>
    </xf>
    <xf numFmtId="0" fontId="0" fillId="0" borderId="0" xfId="0" applyAlignment="1">
      <alignment horizontal="left"/>
    </xf>
    <xf numFmtId="0" fontId="10" fillId="6" borderId="0" xfId="0" applyFont="1" applyFill="1"/>
    <xf numFmtId="0" fontId="9" fillId="6" borderId="0" xfId="1" applyFont="1" applyFill="1" applyAlignment="1" applyProtection="1">
      <alignment horizontal="left"/>
    </xf>
    <xf numFmtId="0" fontId="0" fillId="0" borderId="0" xfId="0" applyNumberFormat="1"/>
    <xf numFmtId="0" fontId="60" fillId="4" borderId="30" xfId="0" applyFont="1" applyFill="1" applyBorder="1"/>
    <xf numFmtId="0" fontId="61" fillId="0" borderId="15" xfId="0" applyFont="1" applyBorder="1" applyAlignment="1">
      <alignment vertical="center"/>
    </xf>
    <xf numFmtId="0" fontId="0" fillId="6" borderId="0" xfId="0" applyFill="1" applyBorder="1"/>
    <xf numFmtId="0" fontId="11" fillId="0" borderId="0" xfId="0" applyFont="1" applyAlignment="1" applyProtection="1">
      <alignment horizontal="left" indent="1"/>
    </xf>
    <xf numFmtId="0" fontId="9" fillId="0" borderId="0" xfId="1" applyFont="1" applyAlignment="1" applyProtection="1">
      <alignment horizontal="left" indent="1"/>
    </xf>
    <xf numFmtId="14" fontId="9" fillId="0" borderId="0" xfId="0" applyNumberFormat="1" applyFont="1" applyAlignment="1" applyProtection="1">
      <alignment horizontal="left" indent="1"/>
    </xf>
    <xf numFmtId="0" fontId="9" fillId="0" borderId="0" xfId="0" applyFont="1" applyAlignment="1" applyProtection="1">
      <alignment horizontal="left" indent="1"/>
    </xf>
    <xf numFmtId="0" fontId="20" fillId="3" borderId="3" xfId="0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vertical="center"/>
    </xf>
    <xf numFmtId="2" fontId="19" fillId="4" borderId="11" xfId="0" applyNumberFormat="1" applyFont="1" applyFill="1" applyBorder="1" applyAlignment="1">
      <alignment vertical="center"/>
    </xf>
    <xf numFmtId="2" fontId="19" fillId="0" borderId="11" xfId="0" applyNumberFormat="1" applyFont="1" applyBorder="1" applyAlignment="1">
      <alignment vertical="center"/>
    </xf>
    <xf numFmtId="2" fontId="19" fillId="0" borderId="7" xfId="0" applyNumberFormat="1" applyFont="1" applyBorder="1" applyAlignment="1">
      <alignment vertical="center"/>
    </xf>
    <xf numFmtId="2" fontId="19" fillId="4" borderId="12" xfId="0" applyNumberFormat="1" applyFont="1" applyFill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vertical="center"/>
    </xf>
    <xf numFmtId="2" fontId="18" fillId="0" borderId="14" xfId="0" applyNumberFormat="1" applyFont="1" applyBorder="1" applyAlignment="1">
      <alignment vertical="center"/>
    </xf>
    <xf numFmtId="2" fontId="19" fillId="0" borderId="11" xfId="0" applyNumberFormat="1" applyFont="1" applyBorder="1" applyAlignment="1">
      <alignment horizontal="right" vertical="center"/>
    </xf>
    <xf numFmtId="2" fontId="19" fillId="0" borderId="12" xfId="0" applyNumberFormat="1" applyFont="1" applyBorder="1" applyAlignment="1">
      <alignment horizontal="right" vertical="center"/>
    </xf>
    <xf numFmtId="2" fontId="19" fillId="4" borderId="11" xfId="0" applyNumberFormat="1" applyFont="1" applyFill="1" applyBorder="1" applyAlignment="1">
      <alignment horizontal="right" vertical="center"/>
    </xf>
    <xf numFmtId="2" fontId="19" fillId="4" borderId="12" xfId="0" applyNumberFormat="1" applyFont="1" applyFill="1" applyBorder="1" applyAlignment="1">
      <alignment horizontal="right" vertical="center"/>
    </xf>
    <xf numFmtId="1" fontId="65" fillId="4" borderId="12" xfId="0" applyNumberFormat="1" applyFont="1" applyFill="1" applyBorder="1" applyAlignment="1">
      <alignment horizontal="right" vertical="center"/>
    </xf>
    <xf numFmtId="1" fontId="65" fillId="4" borderId="11" xfId="0" applyNumberFormat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left" indent="1"/>
    </xf>
    <xf numFmtId="0" fontId="11" fillId="6" borderId="0" xfId="0" applyFont="1" applyFill="1" applyAlignment="1" applyProtection="1">
      <alignment horizontal="left" indent="1"/>
    </xf>
    <xf numFmtId="0" fontId="24" fillId="6" borderId="0" xfId="0" applyFont="1" applyFill="1" applyAlignment="1">
      <alignment horizontal="left" indent="1"/>
    </xf>
    <xf numFmtId="0" fontId="9" fillId="6" borderId="0" xfId="1" applyFont="1" applyFill="1" applyAlignment="1" applyProtection="1">
      <alignment horizontal="left" indent="1"/>
    </xf>
    <xf numFmtId="0" fontId="9" fillId="6" borderId="0" xfId="1" applyFont="1" applyFill="1" applyAlignment="1" applyProtection="1">
      <alignment vertical="center"/>
    </xf>
    <xf numFmtId="0" fontId="12" fillId="6" borderId="0" xfId="1" applyFill="1" applyAlignment="1" applyProtection="1"/>
    <xf numFmtId="164" fontId="9" fillId="6" borderId="3" xfId="2" applyNumberFormat="1" applyFont="1" applyFill="1" applyBorder="1" applyAlignment="1" applyProtection="1">
      <alignment shrinkToFit="1"/>
    </xf>
    <xf numFmtId="43" fontId="9" fillId="6" borderId="3" xfId="2" applyNumberFormat="1" applyFont="1" applyFill="1" applyBorder="1" applyAlignment="1" applyProtection="1">
      <alignment shrinkToFit="1"/>
    </xf>
    <xf numFmtId="0" fontId="16" fillId="6" borderId="0" xfId="0" applyFont="1" applyFill="1" applyBorder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vertical="center"/>
    </xf>
    <xf numFmtId="0" fontId="16" fillId="6" borderId="0" xfId="0" applyFont="1" applyFill="1" applyBorder="1" applyProtection="1"/>
    <xf numFmtId="0" fontId="16" fillId="6" borderId="0" xfId="0" applyFont="1" applyFill="1" applyBorder="1" applyAlignment="1" applyProtection="1">
      <alignment horizontal="right"/>
    </xf>
    <xf numFmtId="0" fontId="7" fillId="6" borderId="20" xfId="0" applyFont="1" applyFill="1" applyBorder="1" applyProtection="1"/>
    <xf numFmtId="44" fontId="4" fillId="6" borderId="20" xfId="3" applyFont="1" applyFill="1" applyBorder="1" applyAlignment="1" applyProtection="1">
      <alignment shrinkToFit="1"/>
    </xf>
    <xf numFmtId="44" fontId="28" fillId="6" borderId="0" xfId="3" applyFont="1" applyFill="1" applyBorder="1" applyAlignment="1" applyProtection="1">
      <alignment horizontal="right"/>
    </xf>
    <xf numFmtId="0" fontId="39" fillId="6" borderId="0" xfId="0" applyFont="1" applyFill="1" applyBorder="1" applyAlignment="1" applyProtection="1">
      <alignment horizontal="right"/>
    </xf>
    <xf numFmtId="0" fontId="4" fillId="6" borderId="28" xfId="0" applyFont="1" applyFill="1" applyBorder="1" applyProtection="1"/>
    <xf numFmtId="0" fontId="6" fillId="6" borderId="20" xfId="0" applyFont="1" applyFill="1" applyBorder="1" applyProtection="1"/>
    <xf numFmtId="0" fontId="9" fillId="6" borderId="0" xfId="0" applyFont="1" applyFill="1" applyBorder="1" applyAlignment="1" applyProtection="1">
      <alignment horizontal="left" indent="1"/>
    </xf>
    <xf numFmtId="0" fontId="9" fillId="6" borderId="0" xfId="0" applyFont="1" applyFill="1" applyProtection="1"/>
    <xf numFmtId="14" fontId="9" fillId="6" borderId="0" xfId="0" applyNumberFormat="1" applyFont="1" applyFill="1" applyAlignment="1" applyProtection="1">
      <alignment horizontal="left" indent="1"/>
    </xf>
    <xf numFmtId="0" fontId="25" fillId="6" borderId="0" xfId="0" applyFont="1" applyFill="1" applyBorder="1" applyProtection="1"/>
    <xf numFmtId="0" fontId="66" fillId="0" borderId="0" xfId="1" applyFont="1" applyAlignment="1" applyProtection="1">
      <alignment horizontal="left" vertical="center" indent="1"/>
    </xf>
    <xf numFmtId="0" fontId="67" fillId="0" borderId="0" xfId="1" applyFont="1" applyAlignment="1" applyProtection="1">
      <alignment horizontal="left" indent="1"/>
    </xf>
    <xf numFmtId="0" fontId="67" fillId="0" borderId="0" xfId="1" applyFont="1" applyAlignment="1" applyProtection="1"/>
    <xf numFmtId="0" fontId="9" fillId="0" borderId="0" xfId="1" applyFont="1" applyAlignment="1" applyProtection="1">
      <alignment wrapText="1"/>
    </xf>
    <xf numFmtId="0" fontId="40" fillId="0" borderId="0" xfId="0" applyFont="1" applyAlignment="1">
      <alignment horizontal="left" indent="1"/>
    </xf>
    <xf numFmtId="0" fontId="13" fillId="0" borderId="0" xfId="1" applyFont="1" applyAlignment="1" applyProtection="1">
      <alignment wrapText="1"/>
    </xf>
    <xf numFmtId="167" fontId="19" fillId="4" borderId="9" xfId="0" applyNumberFormat="1" applyFont="1" applyFill="1" applyBorder="1" applyAlignment="1">
      <alignment horizontal="right" vertical="center"/>
    </xf>
    <xf numFmtId="167" fontId="19" fillId="4" borderId="7" xfId="0" applyNumberFormat="1" applyFont="1" applyFill="1" applyBorder="1" applyAlignment="1">
      <alignment horizontal="right" vertical="center"/>
    </xf>
    <xf numFmtId="167" fontId="19" fillId="4" borderId="25" xfId="0" applyNumberFormat="1" applyFont="1" applyFill="1" applyBorder="1" applyAlignment="1">
      <alignment horizontal="right" vertical="center"/>
    </xf>
    <xf numFmtId="167" fontId="19" fillId="4" borderId="26" xfId="0" applyNumberFormat="1" applyFont="1" applyFill="1" applyBorder="1" applyAlignment="1">
      <alignment horizontal="right" vertical="center"/>
    </xf>
    <xf numFmtId="0" fontId="13" fillId="0" borderId="0" xfId="1" applyFont="1" applyAlignment="1" applyProtection="1">
      <alignment horizontal="left" indent="1"/>
    </xf>
    <xf numFmtId="0" fontId="10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 indent="1"/>
    </xf>
    <xf numFmtId="0" fontId="15" fillId="0" borderId="0" xfId="0" applyFont="1" applyAlignment="1" applyProtection="1">
      <alignment vertical="center"/>
    </xf>
    <xf numFmtId="14" fontId="46" fillId="0" borderId="0" xfId="0" applyNumberFormat="1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17" fillId="0" borderId="0" xfId="0" applyFont="1" applyAlignment="1" applyProtection="1">
      <alignment horizontal="left" indent="1"/>
    </xf>
    <xf numFmtId="0" fontId="22" fillId="0" borderId="0" xfId="0" applyFont="1" applyAlignment="1" applyProtection="1">
      <alignment horizontal="left" indent="1"/>
    </xf>
    <xf numFmtId="0" fontId="41" fillId="0" borderId="0" xfId="0" applyFont="1" applyAlignment="1" applyProtection="1">
      <alignment horizontal="left" wrapText="1" indent="1"/>
    </xf>
    <xf numFmtId="0" fontId="9" fillId="6" borderId="0" xfId="1" applyFont="1" applyFill="1" applyAlignment="1" applyProtection="1">
      <alignment horizontal="left" wrapText="1"/>
    </xf>
    <xf numFmtId="0" fontId="13" fillId="6" borderId="0" xfId="1" applyFont="1" applyFill="1" applyAlignment="1" applyProtection="1"/>
    <xf numFmtId="43" fontId="4" fillId="6" borderId="3" xfId="2" applyNumberFormat="1" applyFont="1" applyFill="1" applyBorder="1" applyProtection="1"/>
    <xf numFmtId="0" fontId="6" fillId="6" borderId="19" xfId="0" applyFont="1" applyFill="1" applyBorder="1" applyProtection="1"/>
    <xf numFmtId="0" fontId="17" fillId="6" borderId="0" xfId="0" applyFont="1" applyFill="1" applyBorder="1" applyAlignment="1" applyProtection="1">
      <alignment horizontal="left" indent="1"/>
    </xf>
    <xf numFmtId="0" fontId="9" fillId="6" borderId="0" xfId="0" applyFont="1" applyFill="1" applyAlignment="1" applyProtection="1">
      <alignment horizontal="left" indent="1"/>
    </xf>
    <xf numFmtId="0" fontId="25" fillId="0" borderId="3" xfId="0" applyFont="1" applyBorder="1"/>
    <xf numFmtId="0" fontId="25" fillId="0" borderId="4" xfId="0" applyFont="1" applyBorder="1"/>
    <xf numFmtId="0" fontId="25" fillId="0" borderId="0" xfId="0" applyFont="1" applyBorder="1"/>
    <xf numFmtId="0" fontId="19" fillId="0" borderId="15" xfId="0" applyFont="1" applyBorder="1" applyAlignment="1" applyProtection="1">
      <alignment horizontal="right" vertical="center"/>
    </xf>
    <xf numFmtId="0" fontId="19" fillId="0" borderId="15" xfId="0" applyFont="1" applyBorder="1" applyAlignment="1" applyProtection="1">
      <alignment vertical="center"/>
    </xf>
    <xf numFmtId="0" fontId="19" fillId="4" borderId="15" xfId="0" applyFont="1" applyFill="1" applyBorder="1" applyAlignment="1" applyProtection="1">
      <alignment horizontal="right" vertical="center"/>
    </xf>
    <xf numFmtId="0" fontId="19" fillId="4" borderId="15" xfId="0" applyFont="1" applyFill="1" applyBorder="1" applyAlignment="1" applyProtection="1">
      <alignment vertical="center"/>
    </xf>
    <xf numFmtId="0" fontId="63" fillId="0" borderId="0" xfId="0" applyFont="1"/>
    <xf numFmtId="167" fontId="19" fillId="0" borderId="11" xfId="0" applyNumberFormat="1" applyFont="1" applyBorder="1" applyAlignment="1" applyProtection="1">
      <alignment horizontal="right" vertical="center"/>
    </xf>
    <xf numFmtId="167" fontId="19" fillId="0" borderId="12" xfId="0" applyNumberFormat="1" applyFont="1" applyBorder="1" applyAlignment="1" applyProtection="1">
      <alignment horizontal="right" vertical="center"/>
    </xf>
    <xf numFmtId="167" fontId="19" fillId="4" borderId="11" xfId="0" applyNumberFormat="1" applyFont="1" applyFill="1" applyBorder="1" applyAlignment="1" applyProtection="1">
      <alignment horizontal="right" vertical="center"/>
    </xf>
    <xf numFmtId="167" fontId="19" fillId="4" borderId="12" xfId="0" applyNumberFormat="1" applyFont="1" applyFill="1" applyBorder="1" applyAlignment="1" applyProtection="1">
      <alignment horizontal="right" vertical="center"/>
    </xf>
    <xf numFmtId="167" fontId="19" fillId="0" borderId="11" xfId="0" applyNumberFormat="1" applyFont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4" borderId="11" xfId="0" applyNumberFormat="1" applyFont="1" applyFill="1" applyBorder="1" applyAlignment="1">
      <alignment horizontal="right" vertical="center"/>
    </xf>
    <xf numFmtId="167" fontId="19" fillId="4" borderId="12" xfId="0" applyNumberFormat="1" applyFont="1" applyFill="1" applyBorder="1" applyAlignment="1">
      <alignment horizontal="right" vertical="center"/>
    </xf>
    <xf numFmtId="0" fontId="3" fillId="6" borderId="0" xfId="0" applyFont="1" applyFill="1"/>
    <xf numFmtId="0" fontId="3" fillId="6" borderId="0" xfId="0" applyFont="1" applyFill="1" applyAlignment="1">
      <alignment horizontal="left" indent="1"/>
    </xf>
    <xf numFmtId="0" fontId="3" fillId="6" borderId="0" xfId="0" applyFont="1" applyFill="1" applyAlignment="1"/>
    <xf numFmtId="44" fontId="3" fillId="6" borderId="0" xfId="0" applyNumberFormat="1" applyFont="1" applyFill="1" applyAlignment="1"/>
    <xf numFmtId="0" fontId="16" fillId="6" borderId="31" xfId="0" applyFont="1" applyFill="1" applyBorder="1" applyAlignment="1">
      <alignment horizontal="left" indent="1"/>
    </xf>
    <xf numFmtId="0" fontId="3" fillId="6" borderId="19" xfId="0" applyFont="1" applyFill="1" applyBorder="1" applyAlignment="1">
      <alignment horizontal="left" indent="1"/>
    </xf>
    <xf numFmtId="0" fontId="3" fillId="6" borderId="0" xfId="0" applyFont="1" applyFill="1" applyBorder="1"/>
    <xf numFmtId="0" fontId="3" fillId="6" borderId="20" xfId="0" applyFont="1" applyFill="1" applyBorder="1"/>
    <xf numFmtId="0" fontId="3" fillId="6" borderId="19" xfId="0" applyFont="1" applyFill="1" applyBorder="1" applyAlignment="1">
      <alignment horizontal="left" wrapText="1" indent="1"/>
    </xf>
    <xf numFmtId="0" fontId="3" fillId="6" borderId="21" xfId="0" applyFont="1" applyFill="1" applyBorder="1" applyAlignment="1">
      <alignment horizontal="left" wrapText="1" indent="1"/>
    </xf>
    <xf numFmtId="0" fontId="68" fillId="6" borderId="0" xfId="0" applyFont="1" applyFill="1" applyAlignment="1">
      <alignment horizontal="left" indent="1"/>
    </xf>
    <xf numFmtId="0" fontId="27" fillId="0" borderId="0" xfId="1" applyFont="1" applyAlignment="1" applyProtection="1"/>
    <xf numFmtId="0" fontId="12" fillId="6" borderId="19" xfId="1" applyFill="1" applyBorder="1" applyAlignment="1" applyProtection="1">
      <alignment horizontal="left" indent="2"/>
    </xf>
    <xf numFmtId="0" fontId="12" fillId="6" borderId="0" xfId="1" applyFill="1" applyBorder="1" applyAlignment="1" applyProtection="1">
      <alignment horizontal="left" indent="2"/>
    </xf>
    <xf numFmtId="0" fontId="16" fillId="6" borderId="0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2" fillId="0" borderId="0" xfId="0" applyFont="1"/>
    <xf numFmtId="44" fontId="16" fillId="6" borderId="0" xfId="3" applyFont="1" applyFill="1" applyBorder="1" applyAlignment="1" applyProtection="1">
      <alignment shrinkToFit="1"/>
    </xf>
    <xf numFmtId="9" fontId="3" fillId="6" borderId="0" xfId="4" applyNumberFormat="1" applyFont="1" applyFill="1" applyBorder="1" applyAlignment="1">
      <alignment horizontal="center"/>
    </xf>
    <xf numFmtId="9" fontId="3" fillId="6" borderId="32" xfId="4" applyNumberFormat="1" applyFont="1" applyFill="1" applyBorder="1" applyAlignment="1">
      <alignment horizontal="center"/>
    </xf>
    <xf numFmtId="9" fontId="3" fillId="6" borderId="20" xfId="4" applyNumberFormat="1" applyFont="1" applyFill="1" applyBorder="1" applyAlignment="1">
      <alignment horizontal="center"/>
    </xf>
    <xf numFmtId="9" fontId="3" fillId="6" borderId="34" xfId="4" applyNumberFormat="1" applyFont="1" applyFill="1" applyBorder="1" applyAlignment="1">
      <alignment horizontal="center"/>
    </xf>
    <xf numFmtId="9" fontId="3" fillId="6" borderId="22" xfId="4" applyNumberFormat="1" applyFont="1" applyFill="1" applyBorder="1" applyAlignment="1">
      <alignment horizontal="center"/>
    </xf>
    <xf numFmtId="9" fontId="3" fillId="6" borderId="33" xfId="4" applyNumberFormat="1" applyFont="1" applyFill="1" applyBorder="1" applyAlignment="1">
      <alignment horizontal="center"/>
    </xf>
    <xf numFmtId="9" fontId="3" fillId="6" borderId="23" xfId="4" applyNumberFormat="1" applyFont="1" applyFill="1" applyBorder="1" applyAlignment="1">
      <alignment horizontal="center"/>
    </xf>
    <xf numFmtId="44" fontId="3" fillId="6" borderId="0" xfId="3" applyFont="1" applyFill="1" applyBorder="1" applyAlignment="1">
      <alignment horizontal="center"/>
    </xf>
    <xf numFmtId="44" fontId="16" fillId="6" borderId="32" xfId="3" applyFont="1" applyFill="1" applyBorder="1" applyAlignment="1">
      <alignment horizontal="center"/>
    </xf>
    <xf numFmtId="44" fontId="3" fillId="6" borderId="20" xfId="3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9" fontId="16" fillId="6" borderId="32" xfId="4" applyNumberFormat="1" applyFont="1" applyFill="1" applyBorder="1" applyAlignment="1">
      <alignment horizontal="center"/>
    </xf>
    <xf numFmtId="9" fontId="16" fillId="6" borderId="34" xfId="4" applyNumberFormat="1" applyFont="1" applyFill="1" applyBorder="1" applyAlignment="1">
      <alignment horizontal="center"/>
    </xf>
    <xf numFmtId="9" fontId="16" fillId="6" borderId="33" xfId="4" applyNumberFormat="1" applyFont="1" applyFill="1" applyBorder="1" applyAlignment="1">
      <alignment horizontal="center"/>
    </xf>
    <xf numFmtId="164" fontId="9" fillId="6" borderId="0" xfId="2" applyNumberFormat="1" applyFont="1" applyFill="1" applyBorder="1" applyAlignment="1" applyProtection="1">
      <alignment shrinkToFit="1"/>
    </xf>
    <xf numFmtId="164" fontId="9" fillId="6" borderId="20" xfId="2" applyNumberFormat="1" applyFont="1" applyFill="1" applyBorder="1" applyAlignment="1" applyProtection="1">
      <alignment shrinkToFit="1"/>
    </xf>
    <xf numFmtId="164" fontId="9" fillId="6" borderId="29" xfId="2" applyNumberFormat="1" applyFont="1" applyFill="1" applyBorder="1" applyAlignment="1" applyProtection="1">
      <alignment shrinkToFit="1"/>
    </xf>
    <xf numFmtId="0" fontId="6" fillId="6" borderId="22" xfId="0" applyFont="1" applyFill="1" applyBorder="1" applyProtection="1"/>
    <xf numFmtId="0" fontId="7" fillId="6" borderId="0" xfId="0" applyFont="1" applyFill="1" applyBorder="1" applyAlignment="1" applyProtection="1">
      <alignment horizontal="left"/>
    </xf>
    <xf numFmtId="0" fontId="6" fillId="6" borderId="2" xfId="0" applyFont="1" applyFill="1" applyBorder="1" applyProtection="1"/>
    <xf numFmtId="0" fontId="7" fillId="6" borderId="28" xfId="0" applyFont="1" applyFill="1" applyBorder="1" applyProtection="1"/>
    <xf numFmtId="0" fontId="4" fillId="6" borderId="20" xfId="0" applyFont="1" applyFill="1" applyBorder="1" applyProtection="1"/>
    <xf numFmtId="43" fontId="9" fillId="6" borderId="0" xfId="2" applyNumberFormat="1" applyFont="1" applyFill="1" applyBorder="1" applyAlignment="1" applyProtection="1">
      <alignment shrinkToFit="1"/>
    </xf>
    <xf numFmtId="0" fontId="4" fillId="6" borderId="22" xfId="0" applyFont="1" applyFill="1" applyBorder="1" applyProtection="1"/>
    <xf numFmtId="0" fontId="4" fillId="6" borderId="23" xfId="0" applyFont="1" applyFill="1" applyBorder="1" applyProtection="1"/>
    <xf numFmtId="0" fontId="10" fillId="6" borderId="0" xfId="0" applyFont="1" applyFill="1" applyProtection="1"/>
    <xf numFmtId="0" fontId="24" fillId="6" borderId="0" xfId="0" applyFont="1" applyFill="1" applyAlignment="1" applyProtection="1">
      <alignment horizontal="left" indent="1"/>
    </xf>
    <xf numFmtId="0" fontId="15" fillId="6" borderId="0" xfId="0" applyFont="1" applyFill="1" applyProtection="1"/>
    <xf numFmtId="0" fontId="4" fillId="6" borderId="0" xfId="0" applyFont="1" applyFill="1" applyProtection="1"/>
    <xf numFmtId="0" fontId="56" fillId="6" borderId="0" xfId="0" applyFont="1" applyFill="1" applyProtection="1"/>
    <xf numFmtId="0" fontId="6" fillId="6" borderId="0" xfId="0" applyFont="1" applyFill="1" applyProtection="1"/>
    <xf numFmtId="0" fontId="36" fillId="6" borderId="0" xfId="0" applyFont="1" applyFill="1" applyAlignment="1" applyProtection="1">
      <alignment vertical="center"/>
    </xf>
    <xf numFmtId="0" fontId="7" fillId="6" borderId="0" xfId="0" applyFont="1" applyFill="1" applyProtection="1"/>
    <xf numFmtId="0" fontId="7" fillId="6" borderId="0" xfId="0" applyFont="1" applyFill="1" applyBorder="1" applyAlignment="1" applyProtection="1"/>
    <xf numFmtId="0" fontId="52" fillId="6" borderId="0" xfId="0" applyFont="1" applyFill="1" applyProtection="1"/>
    <xf numFmtId="0" fontId="56" fillId="6" borderId="0" xfId="0" applyFont="1" applyFill="1" applyBorder="1" applyProtection="1"/>
    <xf numFmtId="0" fontId="7" fillId="6" borderId="19" xfId="0" applyFont="1" applyFill="1" applyBorder="1" applyAlignment="1" applyProtection="1">
      <alignment horizontal="left" indent="1"/>
    </xf>
    <xf numFmtId="0" fontId="7" fillId="6" borderId="0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left" indent="2"/>
    </xf>
    <xf numFmtId="0" fontId="7" fillId="6" borderId="19" xfId="0" quotePrefix="1" applyFont="1" applyFill="1" applyBorder="1" applyAlignment="1" applyProtection="1">
      <alignment horizontal="left" vertical="center" indent="2"/>
    </xf>
    <xf numFmtId="0" fontId="24" fillId="6" borderId="19" xfId="0" applyFont="1" applyFill="1" applyBorder="1" applyAlignment="1" applyProtection="1">
      <alignment horizontal="left" indent="2"/>
    </xf>
    <xf numFmtId="0" fontId="64" fillId="6" borderId="0" xfId="0" applyFont="1" applyFill="1" applyBorder="1" applyAlignment="1" applyProtection="1">
      <alignment horizontal="right" indent="1"/>
    </xf>
    <xf numFmtId="0" fontId="24" fillId="6" borderId="0" xfId="0" applyFont="1" applyFill="1" applyBorder="1" applyAlignment="1" applyProtection="1">
      <alignment horizontal="left" indent="2"/>
    </xf>
    <xf numFmtId="3" fontId="17" fillId="6" borderId="0" xfId="0" applyNumberFormat="1" applyFont="1" applyFill="1" applyBorder="1" applyProtection="1"/>
    <xf numFmtId="4" fontId="17" fillId="6" borderId="0" xfId="0" applyNumberFormat="1" applyFont="1" applyFill="1" applyBorder="1" applyProtection="1"/>
    <xf numFmtId="168" fontId="43" fillId="6" borderId="0" xfId="2" applyNumberFormat="1" applyFont="1" applyFill="1" applyBorder="1" applyProtection="1"/>
    <xf numFmtId="0" fontId="7" fillId="6" borderId="20" xfId="0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left" indent="2"/>
    </xf>
    <xf numFmtId="0" fontId="64" fillId="6" borderId="20" xfId="0" applyFont="1" applyFill="1" applyBorder="1" applyAlignment="1" applyProtection="1">
      <alignment horizontal="right"/>
    </xf>
    <xf numFmtId="0" fontId="64" fillId="6" borderId="0" xfId="0" applyFont="1" applyFill="1" applyBorder="1" applyAlignment="1" applyProtection="1">
      <alignment horizontal="right"/>
    </xf>
    <xf numFmtId="0" fontId="24" fillId="6" borderId="19" xfId="0" quotePrefix="1" applyFont="1" applyFill="1" applyBorder="1" applyAlignment="1" applyProtection="1">
      <alignment horizontal="left" vertical="center" indent="2"/>
    </xf>
    <xf numFmtId="166" fontId="4" fillId="6" borderId="0" xfId="0" applyNumberFormat="1" applyFont="1" applyFill="1" applyBorder="1" applyAlignment="1" applyProtection="1">
      <alignment horizontal="right"/>
    </xf>
    <xf numFmtId="0" fontId="24" fillId="6" borderId="0" xfId="0" quotePrefix="1" applyFont="1" applyFill="1" applyBorder="1" applyAlignment="1" applyProtection="1">
      <alignment horizontal="left" vertical="center" indent="2"/>
    </xf>
    <xf numFmtId="0" fontId="24" fillId="6" borderId="21" xfId="0" quotePrefix="1" applyFont="1" applyFill="1" applyBorder="1" applyAlignment="1" applyProtection="1">
      <alignment horizontal="left" vertical="center" indent="2"/>
    </xf>
    <xf numFmtId="166" fontId="4" fillId="6" borderId="22" xfId="0" applyNumberFormat="1" applyFont="1" applyFill="1" applyBorder="1" applyAlignment="1" applyProtection="1">
      <alignment horizontal="right"/>
    </xf>
    <xf numFmtId="166" fontId="4" fillId="0" borderId="22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right"/>
    </xf>
    <xf numFmtId="0" fontId="50" fillId="6" borderId="0" xfId="0" applyFont="1" applyFill="1" applyBorder="1" applyAlignment="1" applyProtection="1">
      <alignment horizontal="center" vertical="center"/>
    </xf>
    <xf numFmtId="0" fontId="51" fillId="6" borderId="0" xfId="0" applyFont="1" applyFill="1" applyProtection="1"/>
    <xf numFmtId="0" fontId="4" fillId="6" borderId="19" xfId="0" applyFont="1" applyFill="1" applyBorder="1" applyAlignment="1" applyProtection="1">
      <alignment horizontal="left" indent="1"/>
    </xf>
    <xf numFmtId="0" fontId="51" fillId="6" borderId="0" xfId="0" applyFont="1" applyFill="1" applyBorder="1" applyProtection="1"/>
    <xf numFmtId="0" fontId="51" fillId="6" borderId="19" xfId="0" applyFont="1" applyFill="1" applyBorder="1" applyProtection="1"/>
    <xf numFmtId="0" fontId="7" fillId="6" borderId="0" xfId="0" applyFont="1" applyFill="1" applyBorder="1" applyAlignment="1" applyProtection="1">
      <alignment horizontal="right"/>
    </xf>
    <xf numFmtId="0" fontId="34" fillId="6" borderId="20" xfId="0" applyFont="1" applyFill="1" applyBorder="1" applyAlignment="1" applyProtection="1">
      <alignment horizontal="left" vertical="center"/>
    </xf>
    <xf numFmtId="0" fontId="70" fillId="6" borderId="0" xfId="0" applyFont="1" applyFill="1" applyBorder="1" applyAlignment="1" applyProtection="1">
      <alignment horizontal="left" vertical="center"/>
    </xf>
    <xf numFmtId="44" fontId="4" fillId="6" borderId="0" xfId="3" applyFont="1" applyFill="1" applyBorder="1" applyAlignment="1" applyProtection="1">
      <alignment horizontal="left" indent="1"/>
    </xf>
    <xf numFmtId="0" fontId="34" fillId="6" borderId="0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left" vertical="center" indent="1"/>
    </xf>
    <xf numFmtId="0" fontId="7" fillId="6" borderId="22" xfId="0" applyFont="1" applyFill="1" applyBorder="1" applyAlignment="1" applyProtection="1">
      <alignment horizontal="center" vertical="center"/>
    </xf>
    <xf numFmtId="0" fontId="7" fillId="6" borderId="23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left" indent="1"/>
    </xf>
    <xf numFmtId="0" fontId="6" fillId="6" borderId="2" xfId="0" applyFont="1" applyFill="1" applyBorder="1" applyAlignment="1" applyProtection="1">
      <alignment horizontal="center" vertical="center"/>
    </xf>
    <xf numFmtId="0" fontId="7" fillId="6" borderId="20" xfId="0" applyFont="1" applyFill="1" applyBorder="1" applyAlignment="1" applyProtection="1">
      <alignment horizontal="right"/>
    </xf>
    <xf numFmtId="0" fontId="4" fillId="6" borderId="19" xfId="0" applyFont="1" applyFill="1" applyBorder="1" applyAlignment="1" applyProtection="1">
      <alignment horizontal="left" indent="2"/>
    </xf>
    <xf numFmtId="0" fontId="7" fillId="6" borderId="19" xfId="0" applyFont="1" applyFill="1" applyBorder="1" applyProtection="1"/>
    <xf numFmtId="0" fontId="7" fillId="6" borderId="35" xfId="0" applyFont="1" applyFill="1" applyBorder="1" applyAlignment="1" applyProtection="1">
      <alignment horizontal="left" indent="2"/>
    </xf>
    <xf numFmtId="44" fontId="7" fillId="6" borderId="0" xfId="0" applyNumberFormat="1" applyFont="1" applyFill="1" applyBorder="1" applyProtection="1"/>
    <xf numFmtId="0" fontId="7" fillId="6" borderId="0" xfId="0" applyFont="1" applyFill="1" applyBorder="1" applyAlignment="1" applyProtection="1">
      <alignment horizontal="right" indent="1"/>
    </xf>
    <xf numFmtId="4" fontId="17" fillId="6" borderId="20" xfId="0" applyNumberFormat="1" applyFont="1" applyFill="1" applyBorder="1" applyProtection="1"/>
    <xf numFmtId="44" fontId="4" fillId="6" borderId="29" xfId="3" applyFont="1" applyFill="1" applyBorder="1" applyAlignment="1" applyProtection="1">
      <alignment shrinkToFit="1"/>
    </xf>
    <xf numFmtId="0" fontId="4" fillId="6" borderId="19" xfId="0" quotePrefix="1" applyFont="1" applyFill="1" applyBorder="1" applyAlignment="1" applyProtection="1">
      <alignment horizontal="left" vertical="center" indent="2"/>
    </xf>
    <xf numFmtId="0" fontId="7" fillId="6" borderId="19" xfId="0" applyFont="1" applyFill="1" applyBorder="1" applyAlignment="1" applyProtection="1">
      <alignment horizontal="left" vertical="center" indent="2"/>
    </xf>
    <xf numFmtId="44" fontId="45" fillId="8" borderId="29" xfId="3" applyFont="1" applyFill="1" applyBorder="1" applyAlignment="1" applyProtection="1">
      <alignment horizontal="right" vertical="center" wrapText="1"/>
    </xf>
    <xf numFmtId="0" fontId="4" fillId="6" borderId="0" xfId="0" applyFont="1" applyFill="1" applyBorder="1" applyAlignment="1" applyProtection="1">
      <alignment shrinkToFit="1"/>
    </xf>
    <xf numFmtId="43" fontId="43" fillId="6" borderId="0" xfId="2" applyNumberFormat="1" applyFont="1" applyFill="1" applyBorder="1" applyProtection="1"/>
    <xf numFmtId="169" fontId="45" fillId="8" borderId="29" xfId="3" applyNumberFormat="1" applyFont="1" applyFill="1" applyBorder="1" applyAlignment="1" applyProtection="1">
      <alignment horizontal="right" vertical="center" wrapText="1"/>
    </xf>
    <xf numFmtId="0" fontId="64" fillId="6" borderId="0" xfId="0" applyFont="1" applyFill="1" applyBorder="1" applyProtection="1"/>
    <xf numFmtId="0" fontId="7" fillId="6" borderId="31" xfId="0" applyFont="1" applyFill="1" applyBorder="1" applyAlignment="1" applyProtection="1">
      <alignment horizontal="left" indent="1"/>
    </xf>
    <xf numFmtId="0" fontId="7" fillId="6" borderId="2" xfId="0" applyFont="1" applyFill="1" applyBorder="1" applyProtection="1"/>
    <xf numFmtId="44" fontId="24" fillId="6" borderId="29" xfId="3" applyFont="1" applyFill="1" applyBorder="1" applyAlignment="1" applyProtection="1">
      <alignment horizontal="right"/>
    </xf>
    <xf numFmtId="0" fontId="33" fillId="6" borderId="19" xfId="0" applyFont="1" applyFill="1" applyBorder="1" applyAlignment="1" applyProtection="1">
      <alignment horizontal="left" vertical="center" indent="1"/>
    </xf>
    <xf numFmtId="0" fontId="15" fillId="6" borderId="0" xfId="0" applyFont="1" applyFill="1" applyBorder="1" applyProtection="1"/>
    <xf numFmtId="0" fontId="7" fillId="6" borderId="21" xfId="0" applyFont="1" applyFill="1" applyBorder="1" applyAlignment="1" applyProtection="1">
      <alignment horizontal="left" vertical="center" indent="2"/>
    </xf>
    <xf numFmtId="0" fontId="6" fillId="6" borderId="22" xfId="0" applyFont="1" applyFill="1" applyBorder="1" applyAlignment="1" applyProtection="1">
      <alignment vertical="center"/>
    </xf>
    <xf numFmtId="169" fontId="45" fillId="8" borderId="37" xfId="3" applyNumberFormat="1" applyFont="1" applyFill="1" applyBorder="1" applyAlignment="1" applyProtection="1">
      <alignment horizontal="right" vertical="center" wrapText="1"/>
    </xf>
    <xf numFmtId="0" fontId="15" fillId="6" borderId="22" xfId="0" applyFont="1" applyFill="1" applyBorder="1" applyProtection="1"/>
    <xf numFmtId="0" fontId="46" fillId="6" borderId="0" xfId="0" applyFont="1" applyFill="1" applyAlignment="1" applyProtection="1">
      <alignment horizontal="left" indent="1"/>
    </xf>
    <xf numFmtId="0" fontId="6" fillId="6" borderId="0" xfId="0" applyFont="1" applyFill="1" applyAlignment="1" applyProtection="1">
      <alignment horizontal="left" indent="1"/>
    </xf>
    <xf numFmtId="0" fontId="42" fillId="6" borderId="0" xfId="0" applyFont="1" applyFill="1" applyAlignment="1" applyProtection="1">
      <alignment horizontal="left" indent="1"/>
    </xf>
    <xf numFmtId="0" fontId="4" fillId="6" borderId="0" xfId="0" applyFont="1" applyFill="1" applyAlignment="1" applyProtection="1">
      <alignment horizontal="left" indent="1"/>
    </xf>
    <xf numFmtId="0" fontId="7" fillId="6" borderId="0" xfId="0" applyFont="1" applyFill="1" applyBorder="1" applyAlignment="1" applyProtection="1">
      <alignment horizontal="left" indent="1"/>
    </xf>
    <xf numFmtId="0" fontId="5" fillId="6" borderId="0" xfId="0" applyFont="1" applyFill="1" applyAlignment="1" applyProtection="1">
      <alignment horizontal="left" indent="1"/>
    </xf>
    <xf numFmtId="0" fontId="22" fillId="6" borderId="0" xfId="0" applyFont="1" applyFill="1" applyAlignment="1" applyProtection="1">
      <alignment horizontal="left" indent="1"/>
    </xf>
    <xf numFmtId="0" fontId="41" fillId="6" borderId="0" xfId="0" applyFont="1" applyFill="1" applyAlignment="1" applyProtection="1">
      <alignment horizontal="left" wrapText="1" indent="1"/>
    </xf>
    <xf numFmtId="0" fontId="24" fillId="6" borderId="0" xfId="0" applyFont="1" applyFill="1" applyProtection="1"/>
    <xf numFmtId="164" fontId="6" fillId="6" borderId="0" xfId="0" applyNumberFormat="1" applyFont="1" applyFill="1" applyProtection="1"/>
    <xf numFmtId="44" fontId="7" fillId="5" borderId="3" xfId="3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71" fillId="6" borderId="0" xfId="0" applyFont="1" applyFill="1" applyBorder="1" applyAlignment="1" applyProtection="1">
      <alignment horizontal="left"/>
    </xf>
    <xf numFmtId="44" fontId="4" fillId="6" borderId="3" xfId="2" applyNumberFormat="1" applyFont="1" applyFill="1" applyBorder="1" applyProtection="1"/>
    <xf numFmtId="0" fontId="71" fillId="6" borderId="0" xfId="0" applyFont="1" applyFill="1" applyBorder="1" applyAlignment="1" applyProtection="1">
      <alignment horizontal="right" vertical="center"/>
    </xf>
    <xf numFmtId="0" fontId="72" fillId="6" borderId="0" xfId="0" applyFont="1" applyFill="1" applyBorder="1" applyAlignment="1" applyProtection="1">
      <alignment horizontal="right" vertical="center"/>
    </xf>
    <xf numFmtId="0" fontId="33" fillId="9" borderId="1" xfId="0" applyFont="1" applyFill="1" applyBorder="1" applyAlignment="1" applyProtection="1">
      <alignment horizontal="left" vertical="center" indent="1"/>
    </xf>
    <xf numFmtId="0" fontId="24" fillId="9" borderId="10" xfId="0" applyFont="1" applyFill="1" applyBorder="1" applyAlignment="1" applyProtection="1">
      <alignment horizontal="left"/>
    </xf>
    <xf numFmtId="0" fontId="7" fillId="9" borderId="10" xfId="0" applyFont="1" applyFill="1" applyBorder="1" applyAlignment="1" applyProtection="1">
      <alignment horizontal="left"/>
    </xf>
    <xf numFmtId="0" fontId="7" fillId="9" borderId="10" xfId="0" applyFont="1" applyFill="1" applyBorder="1" applyProtection="1"/>
    <xf numFmtId="0" fontId="7" fillId="9" borderId="24" xfId="0" applyFont="1" applyFill="1" applyBorder="1" applyProtection="1"/>
    <xf numFmtId="0" fontId="6" fillId="9" borderId="10" xfId="0" applyFont="1" applyFill="1" applyBorder="1" applyProtection="1"/>
    <xf numFmtId="0" fontId="34" fillId="9" borderId="10" xfId="0" applyFont="1" applyFill="1" applyBorder="1" applyAlignment="1" applyProtection="1">
      <alignment horizontal="left" vertical="center"/>
    </xf>
    <xf numFmtId="0" fontId="34" fillId="9" borderId="24" xfId="0" applyFont="1" applyFill="1" applyBorder="1" applyAlignment="1" applyProtection="1">
      <alignment horizontal="left" vertical="center"/>
    </xf>
    <xf numFmtId="0" fontId="6" fillId="9" borderId="24" xfId="0" applyFont="1" applyFill="1" applyBorder="1" applyProtection="1"/>
    <xf numFmtId="44" fontId="45" fillId="9" borderId="29" xfId="3" applyFont="1" applyFill="1" applyBorder="1" applyAlignment="1" applyProtection="1">
      <alignment horizontal="right"/>
    </xf>
    <xf numFmtId="2" fontId="45" fillId="9" borderId="29" xfId="0" applyNumberFormat="1" applyFont="1" applyFill="1" applyBorder="1" applyAlignment="1" applyProtection="1">
      <alignment horizontal="right"/>
    </xf>
    <xf numFmtId="8" fontId="45" fillId="9" borderId="29" xfId="3" applyNumberFormat="1" applyFont="1" applyFill="1" applyBorder="1" applyAlignment="1" applyProtection="1">
      <alignment horizontal="right" vertical="center"/>
    </xf>
    <xf numFmtId="44" fontId="45" fillId="9" borderId="29" xfId="3" applyNumberFormat="1" applyFont="1" applyFill="1" applyBorder="1" applyAlignment="1" applyProtection="1">
      <alignment horizontal="right"/>
    </xf>
    <xf numFmtId="0" fontId="49" fillId="2" borderId="38" xfId="0" applyFont="1" applyFill="1" applyBorder="1" applyAlignment="1" applyProtection="1">
      <alignment horizontal="left" indent="1"/>
    </xf>
    <xf numFmtId="0" fontId="26" fillId="2" borderId="38" xfId="0" applyFont="1" applyFill="1" applyBorder="1" applyProtection="1"/>
    <xf numFmtId="0" fontId="69" fillId="2" borderId="38" xfId="0" applyFont="1" applyFill="1" applyBorder="1" applyProtection="1"/>
    <xf numFmtId="0" fontId="48" fillId="2" borderId="38" xfId="0" applyFont="1" applyFill="1" applyBorder="1" applyAlignment="1" applyProtection="1">
      <alignment horizontal="left" indent="1"/>
    </xf>
    <xf numFmtId="0" fontId="8" fillId="2" borderId="38" xfId="0" applyFont="1" applyFill="1" applyBorder="1" applyProtection="1"/>
    <xf numFmtId="0" fontId="73" fillId="6" borderId="35" xfId="0" applyFont="1" applyFill="1" applyBorder="1" applyAlignment="1" applyProtection="1">
      <alignment horizontal="left"/>
    </xf>
    <xf numFmtId="0" fontId="49" fillId="2" borderId="38" xfId="0" applyFont="1" applyFill="1" applyBorder="1" applyAlignment="1">
      <alignment horizontal="left" indent="1"/>
    </xf>
    <xf numFmtId="0" fontId="26" fillId="2" borderId="38" xfId="0" applyFont="1" applyFill="1" applyBorder="1"/>
    <xf numFmtId="0" fontId="16" fillId="6" borderId="19" xfId="0" applyFont="1" applyFill="1" applyBorder="1" applyAlignment="1" applyProtection="1">
      <alignment horizontal="left" indent="1"/>
    </xf>
    <xf numFmtId="0" fontId="8" fillId="2" borderId="38" xfId="0" applyFont="1" applyFill="1" applyBorder="1" applyAlignment="1" applyProtection="1"/>
    <xf numFmtId="44" fontId="45" fillId="8" borderId="29" xfId="3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 indent="1"/>
    </xf>
    <xf numFmtId="0" fontId="71" fillId="6" borderId="0" xfId="0" applyFont="1" applyFill="1" applyBorder="1" applyAlignment="1" applyProtection="1">
      <alignment horizontal="right" indent="1"/>
    </xf>
    <xf numFmtId="0" fontId="12" fillId="0" borderId="0" xfId="1" applyAlignment="1" applyProtection="1">
      <alignment horizontal="left" indent="1"/>
    </xf>
    <xf numFmtId="0" fontId="4" fillId="6" borderId="19" xfId="0" applyFont="1" applyFill="1" applyBorder="1" applyAlignment="1" applyProtection="1">
      <alignment horizontal="left" vertical="center" indent="2"/>
    </xf>
    <xf numFmtId="44" fontId="45" fillId="9" borderId="3" xfId="3" applyFont="1" applyFill="1" applyBorder="1" applyAlignment="1" applyProtection="1">
      <alignment horizontal="right"/>
    </xf>
    <xf numFmtId="43" fontId="45" fillId="9" borderId="29" xfId="2" applyFont="1" applyFill="1" applyBorder="1" applyAlignment="1" applyProtection="1">
      <alignment horizontal="right"/>
    </xf>
    <xf numFmtId="14" fontId="9" fillId="0" borderId="18" xfId="0" applyNumberFormat="1" applyFont="1" applyBorder="1" applyAlignment="1"/>
    <xf numFmtId="44" fontId="9" fillId="0" borderId="3" xfId="3" applyFont="1" applyFill="1" applyBorder="1" applyProtection="1"/>
    <xf numFmtId="44" fontId="27" fillId="0" borderId="29" xfId="3" applyFont="1" applyFill="1" applyBorder="1" applyAlignment="1" applyProtection="1">
      <alignment horizontal="right"/>
    </xf>
    <xf numFmtId="43" fontId="27" fillId="0" borderId="29" xfId="2" applyFont="1" applyFill="1" applyBorder="1" applyAlignment="1" applyProtection="1">
      <alignment horizontal="right"/>
    </xf>
    <xf numFmtId="43" fontId="27" fillId="0" borderId="36" xfId="2" applyFont="1" applyFill="1" applyBorder="1" applyAlignment="1" applyProtection="1">
      <alignment horizontal="right" vertical="center"/>
    </xf>
    <xf numFmtId="43" fontId="24" fillId="6" borderId="29" xfId="2" applyFont="1" applyFill="1" applyBorder="1" applyAlignment="1" applyProtection="1">
      <alignment horizontal="right"/>
    </xf>
    <xf numFmtId="44" fontId="27" fillId="6" borderId="29" xfId="3" applyFont="1" applyFill="1" applyBorder="1" applyAlignment="1" applyProtection="1">
      <alignment horizontal="right" vertical="center"/>
    </xf>
    <xf numFmtId="43" fontId="27" fillId="6" borderId="29" xfId="2" applyFont="1" applyFill="1" applyBorder="1" applyAlignment="1" applyProtection="1">
      <alignment horizontal="right" vertical="center"/>
    </xf>
    <xf numFmtId="43" fontId="27" fillId="6" borderId="29" xfId="2" applyNumberFormat="1" applyFont="1" applyFill="1" applyBorder="1" applyAlignment="1" applyProtection="1">
      <alignment horizontal="right" vertical="center"/>
    </xf>
    <xf numFmtId="14" fontId="46" fillId="6" borderId="0" xfId="0" applyNumberFormat="1" applyFont="1" applyFill="1" applyAlignment="1" applyProtection="1">
      <alignment horizontal="left" indent="1"/>
    </xf>
    <xf numFmtId="164" fontId="9" fillId="6" borderId="3" xfId="2" applyNumberFormat="1" applyFont="1" applyFill="1" applyBorder="1" applyAlignment="1" applyProtection="1">
      <alignment horizontal="right"/>
    </xf>
    <xf numFmtId="0" fontId="13" fillId="6" borderId="0" xfId="1" applyFont="1" applyFill="1" applyAlignment="1" applyProtection="1">
      <alignment horizontal="left" indent="1"/>
    </xf>
    <xf numFmtId="2" fontId="6" fillId="6" borderId="29" xfId="0" applyNumberFormat="1" applyFont="1" applyFill="1" applyBorder="1" applyAlignment="1" applyProtection="1">
      <alignment horizontal="right"/>
    </xf>
    <xf numFmtId="0" fontId="24" fillId="6" borderId="2" xfId="0" applyFont="1" applyFill="1" applyBorder="1" applyAlignment="1" applyProtection="1">
      <alignment horizontal="left" indent="2"/>
    </xf>
    <xf numFmtId="0" fontId="9" fillId="6" borderId="0" xfId="1" applyFont="1" applyFill="1" applyAlignment="1" applyProtection="1">
      <alignment horizontal="left" wrapText="1" indent="1"/>
    </xf>
    <xf numFmtId="0" fontId="34" fillId="5" borderId="21" xfId="0" applyFont="1" applyFill="1" applyBorder="1" applyAlignment="1" applyProtection="1">
      <alignment horizontal="center" vertical="center"/>
      <protection locked="0"/>
    </xf>
    <xf numFmtId="0" fontId="34" fillId="5" borderId="22" xfId="0" applyFont="1" applyFill="1" applyBorder="1" applyAlignment="1" applyProtection="1">
      <alignment horizontal="center" vertical="center"/>
      <protection locked="0"/>
    </xf>
    <xf numFmtId="0" fontId="34" fillId="5" borderId="23" xfId="0" applyFont="1" applyFill="1" applyBorder="1" applyAlignment="1" applyProtection="1">
      <alignment horizontal="center" vertical="center"/>
      <protection locked="0"/>
    </xf>
    <xf numFmtId="0" fontId="13" fillId="6" borderId="0" xfId="1" applyFont="1" applyFill="1" applyAlignment="1" applyProtection="1">
      <alignment horizontal="left" indent="1"/>
    </xf>
    <xf numFmtId="0" fontId="16" fillId="6" borderId="2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14" fontId="9" fillId="0" borderId="18" xfId="0" applyNumberFormat="1" applyFont="1" applyBorder="1" applyAlignment="1">
      <alignment horizont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horizontal="center" vertical="center" wrapText="1"/>
    </xf>
    <xf numFmtId="0" fontId="74" fillId="6" borderId="19" xfId="0" applyFont="1" applyFill="1" applyBorder="1" applyAlignment="1" applyProtection="1">
      <alignment horizontal="left" vertical="center"/>
    </xf>
    <xf numFmtId="0" fontId="74" fillId="6" borderId="0" xfId="0" applyFont="1" applyFill="1" applyAlignment="1" applyProtection="1">
      <alignment horizontal="left" vertical="center"/>
    </xf>
    <xf numFmtId="0" fontId="53" fillId="3" borderId="4" xfId="0" applyFont="1" applyFill="1" applyBorder="1" applyAlignment="1">
      <alignment horizontal="left" vertical="center" wrapText="1"/>
    </xf>
    <xf numFmtId="0" fontId="53" fillId="3" borderId="5" xfId="0" applyFont="1" applyFill="1" applyBorder="1" applyAlignment="1">
      <alignment horizontal="left" vertical="center" wrapText="1"/>
    </xf>
    <xf numFmtId="0" fontId="53" fillId="3" borderId="6" xfId="0" applyFont="1" applyFill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/>
    </xf>
    <xf numFmtId="14" fontId="46" fillId="6" borderId="0" xfId="0" applyNumberFormat="1" applyFont="1" applyFill="1" applyAlignment="1" applyProtection="1">
      <alignment horizontal="left" indent="1"/>
      <protection locked="0"/>
    </xf>
  </cellXfs>
  <cellStyles count="8">
    <cellStyle name="Comma" xfId="2" builtinId="3"/>
    <cellStyle name="Currency" xfId="3" builtinId="4"/>
    <cellStyle name="Hyperlink" xfId="1" builtinId="8"/>
    <cellStyle name="Hyperlink 2" xfId="5" xr:uid="{00000000-0005-0000-0000-000003000000}"/>
    <cellStyle name="Normal" xfId="0" builtinId="0"/>
    <cellStyle name="Normal 2" xfId="6" xr:uid="{00000000-0005-0000-0000-000005000000}"/>
    <cellStyle name="Normal 2 3" xfId="7" xr:uid="{00000000-0005-0000-0000-000006000000}"/>
    <cellStyle name="Percent" xfId="4" builtinId="5"/>
  </cellStyles>
  <dxfs count="5">
    <dxf>
      <font>
        <b/>
        <i val="0"/>
        <color rgb="FFC0000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CC"/>
      <color rgb="FFCCECFF"/>
      <color rgb="FF66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4732</xdr:colOff>
      <xdr:row>20</xdr:row>
      <xdr:rowOff>163606</xdr:rowOff>
    </xdr:from>
    <xdr:to>
      <xdr:col>6</xdr:col>
      <xdr:colOff>559468</xdr:colOff>
      <xdr:row>24</xdr:row>
      <xdr:rowOff>98074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E98571A-5CA5-4AEE-A3B3-DB1B083D1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491132" y="4316506"/>
          <a:ext cx="3678936" cy="635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128557</xdr:colOff>
      <xdr:row>78</xdr:row>
      <xdr:rowOff>125506</xdr:rowOff>
    </xdr:from>
    <xdr:to>
      <xdr:col>7</xdr:col>
      <xdr:colOff>1076</xdr:colOff>
      <xdr:row>82</xdr:row>
      <xdr:rowOff>16160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62257" y="10650631"/>
          <a:ext cx="3546706" cy="649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128557</xdr:colOff>
      <xdr:row>72</xdr:row>
      <xdr:rowOff>125506</xdr:rowOff>
    </xdr:from>
    <xdr:to>
      <xdr:col>6</xdr:col>
      <xdr:colOff>438642</xdr:colOff>
      <xdr:row>76</xdr:row>
      <xdr:rowOff>16160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A496C811-4461-472F-87F7-7B8265329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62257" y="15517906"/>
          <a:ext cx="3438756" cy="5955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kleibold@iastate.edu?subject=AgDM%20Arc-CO/PLC%20Calculator" TargetMode="External"/><Relationship Id="rId7" Type="http://schemas.openxmlformats.org/officeDocument/2006/relationships/hyperlink" Target="http://www.extension.iastate.edu/agdm/crops/html/a1-33.html" TargetMode="External"/><Relationship Id="rId2" Type="http://schemas.openxmlformats.org/officeDocument/2006/relationships/hyperlink" Target="mailto:plastina@iastate.edu?subject=AgDM%20Spreadsheet" TargetMode="External"/><Relationship Id="rId1" Type="http://schemas.openxmlformats.org/officeDocument/2006/relationships/hyperlink" Target="mailto:wedwards@iastate.edu?subject=AgDM%20Spreadsheet" TargetMode="External"/><Relationship Id="rId6" Type="http://schemas.openxmlformats.org/officeDocument/2006/relationships/hyperlink" Target="https://www.extension.iastate.edu/agdm/info/farmbill.html" TargetMode="External"/><Relationship Id="rId5" Type="http://schemas.openxmlformats.org/officeDocument/2006/relationships/hyperlink" Target="http://www.extension.iastate.edu/diversity/ext" TargetMode="External"/><Relationship Id="rId4" Type="http://schemas.openxmlformats.org/officeDocument/2006/relationships/hyperlink" Target="mailto:plastina@iastate.edu?subject=AgDM%20ARC/PLC%20Calculator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xtension.iastate.edu/agdm/crops/html/a1-33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fsa.usda.gov/programs-and-services/arcplc_program/arcplc-program-data/inde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tension.iastate.edu/agdm/crops/html/a1-33.html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plastina@iastate.edu?subject=AgDM%20Spreadsheet" TargetMode="External"/><Relationship Id="rId7" Type="http://schemas.openxmlformats.org/officeDocument/2006/relationships/hyperlink" Target="https://www.fsa.usda.gov/Assets/USDA-FSA-Public/usdafiles/arc-plc/2021/pdf/2021_mya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wedwards@iastate.edu?subject=AgDM%20Spreadsheet" TargetMode="External"/><Relationship Id="rId1" Type="http://schemas.openxmlformats.org/officeDocument/2006/relationships/hyperlink" Target="https://www.fsa.usda.gov/programs-and-services/arcplc_program/arcplc-program-data/index" TargetMode="External"/><Relationship Id="rId6" Type="http://schemas.openxmlformats.org/officeDocument/2006/relationships/hyperlink" Target="http://www.extension.iastate.edu/diversity/ext" TargetMode="External"/><Relationship Id="rId11" Type="http://schemas.openxmlformats.org/officeDocument/2006/relationships/hyperlink" Target="https://www.fsa.usda.gov/Assets/USDA-FSA-Public/usdafiles/arc-plc/2023/pdfs/2023_mya.pdf" TargetMode="External"/><Relationship Id="rId5" Type="http://schemas.openxmlformats.org/officeDocument/2006/relationships/hyperlink" Target="mailto:plastina@iastate.edu?subject=AgDM%20ARC/PLC%20Calculator" TargetMode="External"/><Relationship Id="rId10" Type="http://schemas.openxmlformats.org/officeDocument/2006/relationships/hyperlink" Target="https://www.fsa.usda.gov/Assets/USDA-FSA-Public/usdafiles/arc-plc/2022/pdf/2022_mya.pdf" TargetMode="External"/><Relationship Id="rId4" Type="http://schemas.openxmlformats.org/officeDocument/2006/relationships/hyperlink" Target="mailto:kleibold@iastate.edu?subject=AgDM%20Arc-CO/PLC%20Calculator" TargetMode="External"/><Relationship Id="rId9" Type="http://schemas.openxmlformats.org/officeDocument/2006/relationships/hyperlink" Target="https://www.usda.gov/oce/commodity-markets/baselin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tension.iastate.edu/agdm/crops/html/a1-33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tension.iastate.edu/agdm/crops/html/a1-33.html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tension.iastate.edu/agdm/crops/html/a1-33.html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mailto:plastina@iastate.edu?subject=AgDM%20Spreadsheet" TargetMode="External"/><Relationship Id="rId7" Type="http://schemas.openxmlformats.org/officeDocument/2006/relationships/hyperlink" Target="https://www.fsa.usda.gov/Assets/USDA-FSA-Public/usdafiles/arc-plc/2021/pdf/2021_mya.pdf" TargetMode="External"/><Relationship Id="rId12" Type="http://schemas.openxmlformats.org/officeDocument/2006/relationships/printerSettings" Target="../printerSettings/printerSettings8.bin"/><Relationship Id="rId2" Type="http://schemas.openxmlformats.org/officeDocument/2006/relationships/hyperlink" Target="mailto:wedwards@iastate.edu?subject=AgDM%20Spreadsheet" TargetMode="External"/><Relationship Id="rId1" Type="http://schemas.openxmlformats.org/officeDocument/2006/relationships/hyperlink" Target="https://www.fsa.usda.gov/programs-and-services/arcplc_program/arcplc-program-data/index" TargetMode="External"/><Relationship Id="rId6" Type="http://schemas.openxmlformats.org/officeDocument/2006/relationships/hyperlink" Target="http://www.extension.iastate.edu/diversity/ext" TargetMode="External"/><Relationship Id="rId11" Type="http://schemas.openxmlformats.org/officeDocument/2006/relationships/hyperlink" Target="https://www.fsa.usda.gov/Assets/USDA-FSA-Public/usdafiles/arc-plc/2023/pdfs/2023_mya.pdf" TargetMode="External"/><Relationship Id="rId5" Type="http://schemas.openxmlformats.org/officeDocument/2006/relationships/hyperlink" Target="mailto:plastina@iastate.edu?subject=AgDM%20ARC/PLC%20Calculator" TargetMode="External"/><Relationship Id="rId10" Type="http://schemas.openxmlformats.org/officeDocument/2006/relationships/hyperlink" Target="https://www.fsa.usda.gov/Assets/USDA-FSA-Public/usdafiles/arc-plc/2022/pdf/2022_mya.pdf" TargetMode="External"/><Relationship Id="rId4" Type="http://schemas.openxmlformats.org/officeDocument/2006/relationships/hyperlink" Target="mailto:kleibold@iastate.edu?subject=AgDM%20Arc-CO/PLC%20Calculator" TargetMode="External"/><Relationship Id="rId9" Type="http://schemas.openxmlformats.org/officeDocument/2006/relationships/hyperlink" Target="https://www.usda.gov/oce/commodity-markets/base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tabSelected="1" zoomScaleNormal="100" workbookViewId="0"/>
  </sheetViews>
  <sheetFormatPr defaultColWidth="9.28515625" defaultRowHeight="14.25" x14ac:dyDescent="0.2"/>
  <cols>
    <col min="1" max="1" width="80" style="167" customWidth="1"/>
    <col min="2" max="6" width="9.28515625" style="167"/>
    <col min="7" max="7" width="10.7109375" style="167" customWidth="1"/>
    <col min="8" max="16384" width="9.28515625" style="167"/>
  </cols>
  <sheetData>
    <row r="1" spans="1:12" s="347" customFormat="1" ht="30" customHeight="1" thickBot="1" x14ac:dyDescent="0.35">
      <c r="A1" s="346" t="s">
        <v>294</v>
      </c>
    </row>
    <row r="2" spans="1:12" s="166" customFormat="1" ht="15.75" thickTop="1" x14ac:dyDescent="0.25">
      <c r="A2" s="113" t="s">
        <v>103</v>
      </c>
    </row>
    <row r="3" spans="1:12" x14ac:dyDescent="0.2">
      <c r="A3" s="165" t="s">
        <v>287</v>
      </c>
    </row>
    <row r="4" spans="1:12" x14ac:dyDescent="0.2">
      <c r="A4" s="165"/>
    </row>
    <row r="5" spans="1:12" x14ac:dyDescent="0.2">
      <c r="A5" s="354" t="s">
        <v>362</v>
      </c>
    </row>
    <row r="6" spans="1:12" x14ac:dyDescent="0.2">
      <c r="A6" s="168" t="s">
        <v>269</v>
      </c>
    </row>
    <row r="7" spans="1:12" x14ac:dyDescent="0.2">
      <c r="A7" s="114"/>
    </row>
    <row r="8" spans="1:12" s="169" customFormat="1" ht="21.75" customHeight="1" x14ac:dyDescent="0.25">
      <c r="A8" s="155" t="str">
        <f>+'Payment by County - Non Irr.'!A1</f>
        <v>ARC-CO &amp; PLC Per Non-Irrigated Acre Payment Estimator for Iowa, 2024-25</v>
      </c>
    </row>
    <row r="9" spans="1:12" s="169" customFormat="1" ht="21.75" customHeight="1" x14ac:dyDescent="0.25">
      <c r="A9" s="155" t="s">
        <v>268</v>
      </c>
    </row>
    <row r="10" spans="1:12" s="169" customFormat="1" ht="21.75" customHeight="1" x14ac:dyDescent="0.25">
      <c r="A10" s="155" t="str">
        <f>+'Payment by County - Irr'!A1</f>
        <v>ARC-CO &amp; PLC Per Irrigated Acre Payment Estimator for Iowa, 2024-25</v>
      </c>
    </row>
    <row r="11" spans="1:12" s="169" customFormat="1" ht="21.75" customHeight="1" x14ac:dyDescent="0.25">
      <c r="A11" s="155" t="str">
        <f>'Avg. PLC Yields by County'!A1</f>
        <v>Average PLC Yields by County, 2023</v>
      </c>
    </row>
    <row r="12" spans="1:12" s="169" customFormat="1" ht="21.75" customHeight="1" x14ac:dyDescent="0.25">
      <c r="A12" s="155" t="str">
        <f>'ARC-CO All Counties - Non-irr.'!A1</f>
        <v>ARC-CO Payments Details by County and Non-Irrigated Commodity, 2024-25</v>
      </c>
    </row>
    <row r="13" spans="1:12" s="169" customFormat="1" ht="21.75" customHeight="1" x14ac:dyDescent="0.25">
      <c r="A13" s="155" t="str">
        <f>'ARC-CO All Counties - Irrigated'!A1</f>
        <v>ARC-CO Payments Details by County and Irrigated Commodity, 2024-25</v>
      </c>
    </row>
    <row r="14" spans="1:12" x14ac:dyDescent="0.2">
      <c r="A14" s="168"/>
    </row>
    <row r="15" spans="1:12" x14ac:dyDescent="0.2">
      <c r="A15" s="168" t="s">
        <v>117</v>
      </c>
    </row>
    <row r="16" spans="1:12" ht="15" x14ac:dyDescent="0.2">
      <c r="A16" s="170">
        <f>'Payment by County - Non Irr.'!A81</f>
        <v>45341</v>
      </c>
      <c r="B16" s="171"/>
      <c r="C16" s="171"/>
      <c r="D16" s="171"/>
      <c r="E16" s="171"/>
      <c r="F16" s="171"/>
      <c r="G16" s="171"/>
      <c r="H16" s="171"/>
      <c r="I16" s="171"/>
      <c r="K16" s="171"/>
      <c r="L16" s="171"/>
    </row>
    <row r="17" spans="1:12" x14ac:dyDescent="0.2">
      <c r="B17" s="171"/>
      <c r="C17" s="171"/>
      <c r="D17" s="171"/>
      <c r="E17" s="171"/>
      <c r="F17" s="171"/>
      <c r="G17" s="171"/>
      <c r="H17" s="171"/>
      <c r="I17" s="171"/>
      <c r="K17" s="171"/>
      <c r="L17" s="171"/>
    </row>
    <row r="18" spans="1:12" x14ac:dyDescent="0.2">
      <c r="A18" s="356" t="s">
        <v>270</v>
      </c>
    </row>
    <row r="19" spans="1:12" x14ac:dyDescent="0.2">
      <c r="A19" s="171"/>
      <c r="B19" s="171"/>
      <c r="C19" s="171"/>
      <c r="D19" s="171"/>
      <c r="E19" s="171"/>
      <c r="F19" s="171"/>
      <c r="G19" s="171"/>
      <c r="H19" s="171"/>
      <c r="I19" s="171"/>
      <c r="K19" s="171"/>
      <c r="L19" s="171"/>
    </row>
    <row r="20" spans="1:12" x14ac:dyDescent="0.2">
      <c r="A20" s="116" t="str">
        <f>+'Payment by County - Non Irr.'!A83</f>
        <v>Version 4.0</v>
      </c>
      <c r="B20" s="115"/>
      <c r="C20" s="172"/>
      <c r="D20" s="116"/>
      <c r="E20" s="116"/>
      <c r="F20" s="116"/>
      <c r="G20" s="116"/>
      <c r="H20" s="116"/>
      <c r="I20" s="116"/>
      <c r="K20" s="171"/>
      <c r="L20" s="171"/>
    </row>
    <row r="21" spans="1:12" x14ac:dyDescent="0.2">
      <c r="A21" s="156" t="s">
        <v>118</v>
      </c>
      <c r="B21" s="157"/>
      <c r="C21" s="157"/>
      <c r="D21" s="116"/>
      <c r="E21" s="116"/>
      <c r="F21" s="116"/>
      <c r="G21" s="116"/>
      <c r="H21" s="116"/>
      <c r="I21" s="116"/>
      <c r="K21" s="171"/>
      <c r="L21" s="171"/>
    </row>
    <row r="22" spans="1:12" x14ac:dyDescent="0.2">
      <c r="A22" s="156" t="s">
        <v>115</v>
      </c>
      <c r="B22" s="156"/>
      <c r="C22" s="156"/>
      <c r="D22" s="116"/>
      <c r="E22" s="116"/>
      <c r="F22" s="116"/>
      <c r="G22" s="116"/>
      <c r="H22" s="116"/>
      <c r="I22" s="116"/>
      <c r="K22" s="171"/>
      <c r="L22" s="171"/>
    </row>
    <row r="23" spans="1:12" x14ac:dyDescent="0.2">
      <c r="A23" s="114" t="s">
        <v>283</v>
      </c>
      <c r="B23" s="156"/>
      <c r="C23" s="156"/>
      <c r="D23" s="116"/>
      <c r="E23" s="116"/>
      <c r="F23" s="116"/>
      <c r="G23" s="116"/>
      <c r="H23" s="116"/>
      <c r="I23" s="116"/>
      <c r="K23" s="171"/>
      <c r="L23" s="171"/>
    </row>
    <row r="24" spans="1:12" x14ac:dyDescent="0.2">
      <c r="A24" s="114" t="s">
        <v>104</v>
      </c>
      <c r="B24" s="116"/>
      <c r="C24" s="116"/>
      <c r="D24" s="116"/>
      <c r="E24" s="116"/>
      <c r="F24" s="116"/>
      <c r="G24" s="116"/>
      <c r="H24" s="116"/>
      <c r="I24" s="116"/>
      <c r="K24" s="171"/>
      <c r="L24" s="171"/>
    </row>
    <row r="25" spans="1:12" x14ac:dyDescent="0.2">
      <c r="A25" s="115">
        <f ca="1">TODAY()</f>
        <v>45341</v>
      </c>
      <c r="B25" s="116"/>
      <c r="C25" s="116"/>
      <c r="D25" s="116"/>
      <c r="E25" s="116"/>
      <c r="F25" s="173"/>
      <c r="G25" s="116"/>
      <c r="H25" s="116"/>
      <c r="I25" s="116"/>
      <c r="K25" s="171"/>
      <c r="L25" s="171"/>
    </row>
    <row r="26" spans="1:12" x14ac:dyDescent="0.2">
      <c r="A26" s="116" t="s">
        <v>105</v>
      </c>
      <c r="B26" s="116"/>
      <c r="C26" s="116"/>
      <c r="D26" s="116"/>
      <c r="E26" s="116"/>
      <c r="F26" s="116"/>
      <c r="G26" s="116"/>
      <c r="H26" s="116"/>
      <c r="I26" s="116"/>
      <c r="K26" s="171"/>
      <c r="L26" s="171"/>
    </row>
    <row r="27" spans="1:12" x14ac:dyDescent="0.2">
      <c r="A27" s="114" t="s">
        <v>134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x14ac:dyDescent="0.2">
      <c r="A28" s="114" t="s">
        <v>271</v>
      </c>
      <c r="B28" s="114"/>
      <c r="C28" s="114"/>
      <c r="D28" s="114"/>
      <c r="E28" s="114"/>
      <c r="F28" s="114"/>
      <c r="G28" s="114"/>
      <c r="H28" s="158"/>
      <c r="I28" s="158"/>
      <c r="J28" s="158"/>
      <c r="K28" s="158"/>
      <c r="L28" s="158"/>
    </row>
    <row r="41" spans="1:1" x14ac:dyDescent="0.2">
      <c r="A41" s="114"/>
    </row>
  </sheetData>
  <sheetProtection sheet="1" objects="1" scenarios="1"/>
  <hyperlinks>
    <hyperlink ref="A21" r:id="rId1" display="Author: William Edwards" xr:uid="{00000000-0004-0000-0000-000000000000}"/>
    <hyperlink ref="A21:B21" r:id="rId2" display="Author: Alejandro Plastina" xr:uid="{00000000-0004-0000-0000-000001000000}"/>
    <hyperlink ref="A22" r:id="rId3" xr:uid="{00000000-0004-0000-0000-000002000000}"/>
    <hyperlink ref="A21:C21" r:id="rId4" display="Authors: Alejandro Plastina" xr:uid="{00000000-0004-0000-0000-000003000000}"/>
    <hyperlink ref="A27:A28" r:id="rId5" display="This institution is an equal opportunity provider. For the full non-discrimination statement or accommodation inquiries, go to www.extension.iastate.edu/diversity/ext." xr:uid="{00000000-0004-0000-0000-000004000000}"/>
    <hyperlink ref="A8" location="'Payment by County - Non Irr.'!A1" display="'Payment by County - Non Irr.'!A1" xr:uid="{00000000-0004-0000-0000-000005000000}"/>
    <hyperlink ref="A9" location="'Sensitivity Analysis'!A1" display="Sensitivity Analysis for Non-Irrigated Acres" xr:uid="{00000000-0004-0000-0000-000007000000}"/>
    <hyperlink ref="A11" location="'Avg. PLC Yields by County'!A1" display="'Avg. PLC Yields by County'!A1" xr:uid="{00000000-0004-0000-0000-000008000000}"/>
    <hyperlink ref="A12" location="'ARC-CO All Counties - Non-irr.'!A1" display="'ARC-CO All Counties - Non-irr.'!A1" xr:uid="{00000000-0004-0000-0000-000009000000}"/>
    <hyperlink ref="A13" location="'ARC-CO All Counties - Irrigated'!A1" display="'ARC-CO All Counties - Irrigated'!A1" xr:uid="{00000000-0004-0000-0000-00000A000000}"/>
    <hyperlink ref="A18" r:id="rId6" xr:uid="{00000000-0004-0000-0000-00000B000000}"/>
    <hyperlink ref="A3" r:id="rId7" display="See File A1-33, 2014 Farm Bill Analyzer: Data and Methods, for more information." xr:uid="{00000000-0004-0000-0000-00000C000000}"/>
    <hyperlink ref="A10" location="'Payment by County - Irr'!A1" display="'Payment by County - Irr'!A1" xr:uid="{00000000-0004-0000-0000-000006000000}"/>
  </hyperlinks>
  <pageMargins left="0.7" right="0.7" top="0.75" bottom="0.75" header="0.3" footer="0.3"/>
  <pageSetup scale="66" orientation="portrait" horizontalDpi="1200" verticalDpi="1200" r:id="rId8"/>
  <colBreaks count="1" manualBreakCount="1">
    <brk id="7" max="1048575" man="1"/>
  </colBreaks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9" tint="-0.249977111117893"/>
  </sheetPr>
  <dimension ref="A1:AA103"/>
  <sheetViews>
    <sheetView topLeftCell="A28" workbookViewId="0"/>
  </sheetViews>
  <sheetFormatPr defaultColWidth="9.28515625" defaultRowHeight="12.75" x14ac:dyDescent="0.2"/>
  <cols>
    <col min="1" max="1" width="13.28515625" style="31" customWidth="1"/>
    <col min="2" max="2" width="9.7109375" style="31" bestFit="1" customWidth="1"/>
    <col min="3" max="3" width="10.7109375" style="32" customWidth="1"/>
    <col min="4" max="4" width="9" style="32" bestFit="1" customWidth="1"/>
    <col min="5" max="5" width="8.7109375" style="27" customWidth="1"/>
    <col min="6" max="6" width="9.28515625" style="27" customWidth="1"/>
    <col min="7" max="9" width="8.28515625" style="27" customWidth="1"/>
    <col min="10" max="16384" width="9.28515625" style="26"/>
  </cols>
  <sheetData>
    <row r="1" spans="1:26" s="76" customFormat="1" ht="15" x14ac:dyDescent="0.25">
      <c r="A1" s="69" t="s">
        <v>126</v>
      </c>
      <c r="B1" s="70"/>
      <c r="C1" s="70"/>
      <c r="D1" s="71"/>
      <c r="E1" s="74"/>
      <c r="F1" s="93"/>
      <c r="G1" s="74"/>
      <c r="H1" s="72"/>
      <c r="I1" s="94" t="s">
        <v>296</v>
      </c>
    </row>
    <row r="2" spans="1:26" s="76" customFormat="1" ht="15.75" thickBot="1" x14ac:dyDescent="0.3">
      <c r="A2" s="83" t="s">
        <v>130</v>
      </c>
      <c r="B2" s="70"/>
      <c r="C2" s="71"/>
      <c r="D2" s="71"/>
      <c r="E2" s="45"/>
      <c r="F2" s="74"/>
      <c r="G2" s="74"/>
      <c r="H2" s="78"/>
      <c r="I2" s="79"/>
    </row>
    <row r="3" spans="1:26" s="76" customFormat="1" ht="77.25" thickBot="1" x14ac:dyDescent="0.25">
      <c r="A3" s="84" t="s">
        <v>107</v>
      </c>
      <c r="B3" s="84" t="s">
        <v>108</v>
      </c>
      <c r="C3" s="84" t="s">
        <v>109</v>
      </c>
      <c r="D3" s="84" t="s">
        <v>110</v>
      </c>
      <c r="E3" s="95" t="s">
        <v>142</v>
      </c>
      <c r="F3" s="95" t="s">
        <v>143</v>
      </c>
      <c r="G3" s="95" t="s">
        <v>281</v>
      </c>
      <c r="H3" s="95" t="s">
        <v>286</v>
      </c>
      <c r="I3" s="95" t="s">
        <v>297</v>
      </c>
      <c r="J3" s="76" t="s">
        <v>267</v>
      </c>
    </row>
    <row r="4" spans="1:26" ht="15" x14ac:dyDescent="0.25">
      <c r="A4" t="s">
        <v>32</v>
      </c>
      <c r="B4" t="s">
        <v>2</v>
      </c>
      <c r="C4" t="s">
        <v>137</v>
      </c>
      <c r="D4" t="s">
        <v>120</v>
      </c>
      <c r="E4" s="26">
        <v>239.79</v>
      </c>
      <c r="F4" s="26">
        <v>192.21</v>
      </c>
      <c r="G4" s="26">
        <v>223.05</v>
      </c>
      <c r="H4" s="26">
        <v>202</v>
      </c>
      <c r="I4" s="26">
        <v>248.75</v>
      </c>
      <c r="J4" s="26">
        <f>ROUND((SUM(E4:I4)-MAX(E4:I4)-MIN(E4:I4))/3,2)</f>
        <v>221.61</v>
      </c>
      <c r="L4" s="26" t="b">
        <f>+N4=A4</f>
        <v>1</v>
      </c>
      <c r="M4" s="26" t="b">
        <f>+Q4=D4</f>
        <v>1</v>
      </c>
      <c r="N4" s="26" t="s">
        <v>32</v>
      </c>
      <c r="O4" s="26" t="s">
        <v>2</v>
      </c>
      <c r="P4" s="26" t="s">
        <v>137</v>
      </c>
      <c r="Q4" s="26" t="s">
        <v>120</v>
      </c>
      <c r="R4" s="26">
        <v>243.04000000000002</v>
      </c>
      <c r="S4" s="26">
        <v>237.58</v>
      </c>
      <c r="T4" s="26">
        <v>190.04999999999998</v>
      </c>
      <c r="U4" s="26">
        <v>220.94</v>
      </c>
      <c r="V4" s="26">
        <v>199.94</v>
      </c>
      <c r="X4" s="26" t="b">
        <f>+Y4=J4</f>
        <v>0</v>
      </c>
      <c r="Y4" s="26">
        <v>219.49</v>
      </c>
      <c r="Z4" s="181" t="s">
        <v>32</v>
      </c>
    </row>
    <row r="5" spans="1:26" ht="15" x14ac:dyDescent="0.25">
      <c r="A5" t="s">
        <v>33</v>
      </c>
      <c r="B5" t="s">
        <v>2</v>
      </c>
      <c r="C5" t="s">
        <v>137</v>
      </c>
      <c r="D5" t="s">
        <v>120</v>
      </c>
      <c r="E5" s="26">
        <v>175.28</v>
      </c>
      <c r="F5" s="26">
        <v>226.4</v>
      </c>
      <c r="G5" s="26">
        <v>188.92000000000002</v>
      </c>
      <c r="H5" s="26">
        <v>219.27999999999997</v>
      </c>
      <c r="I5" s="26">
        <v>192.91</v>
      </c>
      <c r="J5" s="26">
        <f t="shared" ref="J5:J26" si="0">ROUND((SUM(E5:I5)-MAX(E5:I5)-MIN(E5:I5))/3,2)</f>
        <v>200.37</v>
      </c>
      <c r="L5" s="26" t="b">
        <f t="shared" ref="L5" si="1">+N5=A5</f>
        <v>1</v>
      </c>
      <c r="M5" s="26" t="b">
        <f t="shared" ref="M5" si="2">+Q5=D5</f>
        <v>1</v>
      </c>
      <c r="N5" s="26" t="s">
        <v>33</v>
      </c>
      <c r="O5" s="26" t="s">
        <v>2</v>
      </c>
      <c r="P5" s="26" t="s">
        <v>137</v>
      </c>
      <c r="Q5" s="26" t="s">
        <v>120</v>
      </c>
      <c r="R5" s="26">
        <v>243.04</v>
      </c>
      <c r="S5" s="26">
        <v>172.85</v>
      </c>
      <c r="T5" s="26">
        <v>224.03</v>
      </c>
      <c r="U5" s="26">
        <v>186.61</v>
      </c>
      <c r="V5" s="26">
        <v>217.02999999999997</v>
      </c>
      <c r="X5" s="26" t="b">
        <f t="shared" ref="X5:X26" si="3">+Y5=J5</f>
        <v>0</v>
      </c>
      <c r="Y5" s="26">
        <v>209.22</v>
      </c>
      <c r="Z5" s="181" t="s">
        <v>33</v>
      </c>
    </row>
    <row r="6" spans="1:26" ht="15" x14ac:dyDescent="0.25">
      <c r="A6" t="s">
        <v>36</v>
      </c>
      <c r="B6" t="s">
        <v>2</v>
      </c>
      <c r="C6" t="s">
        <v>137</v>
      </c>
      <c r="D6" t="s">
        <v>120</v>
      </c>
      <c r="E6" s="26">
        <v>227.47</v>
      </c>
      <c r="F6" s="26">
        <v>237.42999999999998</v>
      </c>
      <c r="G6" s="26">
        <v>225.10999999999999</v>
      </c>
      <c r="H6" s="26">
        <v>228.52</v>
      </c>
      <c r="I6" s="26">
        <v>212.8</v>
      </c>
      <c r="J6" s="26">
        <f t="shared" si="0"/>
        <v>227.03</v>
      </c>
      <c r="L6" s="26" t="b">
        <f t="shared" ref="L6:L26" si="4">+N6=A6</f>
        <v>1</v>
      </c>
      <c r="M6" s="26" t="b">
        <f t="shared" ref="M6:M26" si="5">+Q6=D6</f>
        <v>1</v>
      </c>
      <c r="N6" s="26" t="s">
        <v>36</v>
      </c>
      <c r="O6" s="26" t="s">
        <v>2</v>
      </c>
      <c r="P6" s="26" t="s">
        <v>137</v>
      </c>
      <c r="Q6" s="26" t="s">
        <v>120</v>
      </c>
      <c r="R6" s="26">
        <v>226.82</v>
      </c>
      <c r="S6" s="26">
        <v>225.23</v>
      </c>
      <c r="T6" s="26">
        <v>235.23</v>
      </c>
      <c r="U6" s="26">
        <v>222.95</v>
      </c>
      <c r="V6" s="26">
        <v>226.4</v>
      </c>
      <c r="X6" s="26" t="b">
        <f t="shared" si="3"/>
        <v>0</v>
      </c>
      <c r="Y6" s="26">
        <v>226.15</v>
      </c>
      <c r="Z6" s="181" t="s">
        <v>36</v>
      </c>
    </row>
    <row r="7" spans="1:26" ht="15" x14ac:dyDescent="0.25">
      <c r="A7" t="s">
        <v>37</v>
      </c>
      <c r="B7" t="s">
        <v>2</v>
      </c>
      <c r="C7" t="s">
        <v>137</v>
      </c>
      <c r="D7" t="s">
        <v>120</v>
      </c>
      <c r="E7" s="26">
        <v>223.71</v>
      </c>
      <c r="F7" s="26">
        <v>242.07</v>
      </c>
      <c r="G7" s="26">
        <v>213.52</v>
      </c>
      <c r="H7" s="26">
        <v>228.70000000000002</v>
      </c>
      <c r="I7" s="26">
        <v>217.67</v>
      </c>
      <c r="J7" s="26">
        <f t="shared" si="0"/>
        <v>223.36</v>
      </c>
      <c r="L7" s="26" t="b">
        <f t="shared" si="4"/>
        <v>1</v>
      </c>
      <c r="M7" s="26" t="b">
        <f t="shared" si="5"/>
        <v>1</v>
      </c>
      <c r="N7" s="26" t="s">
        <v>37</v>
      </c>
      <c r="O7" s="26" t="s">
        <v>2</v>
      </c>
      <c r="P7" s="26" t="s">
        <v>137</v>
      </c>
      <c r="Q7" s="26" t="s">
        <v>120</v>
      </c>
      <c r="R7" s="26">
        <v>213.10999999999999</v>
      </c>
      <c r="S7" s="26">
        <v>221.46</v>
      </c>
      <c r="T7" s="26">
        <v>239.85</v>
      </c>
      <c r="U7" s="26">
        <v>211.33</v>
      </c>
      <c r="V7" s="26">
        <v>226.54</v>
      </c>
      <c r="X7" s="26" t="b">
        <f t="shared" si="3"/>
        <v>0</v>
      </c>
      <c r="Y7" s="26">
        <v>220.37</v>
      </c>
      <c r="Z7" s="181" t="s">
        <v>37</v>
      </c>
    </row>
    <row r="8" spans="1:26" ht="15" x14ac:dyDescent="0.25">
      <c r="A8" t="s">
        <v>39</v>
      </c>
      <c r="B8" t="s">
        <v>2</v>
      </c>
      <c r="C8" t="s">
        <v>137</v>
      </c>
      <c r="D8" t="s">
        <v>120</v>
      </c>
      <c r="E8" s="26">
        <v>219.27999999999997</v>
      </c>
      <c r="F8" s="26">
        <v>229.79</v>
      </c>
      <c r="G8" s="26">
        <v>224.09</v>
      </c>
      <c r="H8" s="26">
        <v>228.84</v>
      </c>
      <c r="I8" s="26">
        <v>232.31</v>
      </c>
      <c r="J8" s="26">
        <f t="shared" si="0"/>
        <v>227.57</v>
      </c>
      <c r="L8" s="26" t="b">
        <f t="shared" si="4"/>
        <v>1</v>
      </c>
      <c r="M8" s="26" t="b">
        <f t="shared" si="5"/>
        <v>1</v>
      </c>
      <c r="N8" s="26" t="s">
        <v>39</v>
      </c>
      <c r="O8" s="26" t="s">
        <v>2</v>
      </c>
      <c r="P8" s="26" t="s">
        <v>137</v>
      </c>
      <c r="Q8" s="26" t="s">
        <v>120</v>
      </c>
      <c r="R8" s="26">
        <v>214.03</v>
      </c>
      <c r="S8" s="26">
        <v>216.83999999999997</v>
      </c>
      <c r="T8" s="26">
        <v>227.4</v>
      </c>
      <c r="U8" s="26">
        <v>221.75</v>
      </c>
      <c r="V8" s="26">
        <v>226.55</v>
      </c>
      <c r="X8" s="26" t="b">
        <f t="shared" si="3"/>
        <v>0</v>
      </c>
      <c r="Y8" s="26">
        <v>221.71</v>
      </c>
      <c r="Z8" s="181" t="s">
        <v>39</v>
      </c>
    </row>
    <row r="9" spans="1:26" ht="15" x14ac:dyDescent="0.25">
      <c r="A9" t="s">
        <v>44</v>
      </c>
      <c r="B9" t="s">
        <v>2</v>
      </c>
      <c r="C9" t="s">
        <v>137</v>
      </c>
      <c r="D9" t="s">
        <v>120</v>
      </c>
      <c r="E9" s="26">
        <v>190.97</v>
      </c>
      <c r="F9" s="26">
        <v>218.23</v>
      </c>
      <c r="G9" s="26">
        <v>229.91</v>
      </c>
      <c r="H9" s="26">
        <v>239.6</v>
      </c>
      <c r="I9" s="26">
        <v>226.69000000000003</v>
      </c>
      <c r="J9" s="26">
        <f t="shared" si="0"/>
        <v>224.94</v>
      </c>
      <c r="L9" s="26" t="b">
        <f t="shared" si="4"/>
        <v>1</v>
      </c>
      <c r="M9" s="26" t="b">
        <f t="shared" si="5"/>
        <v>1</v>
      </c>
      <c r="N9" s="26" t="s">
        <v>44</v>
      </c>
      <c r="O9" s="26" t="s">
        <v>2</v>
      </c>
      <c r="P9" s="26" t="s">
        <v>137</v>
      </c>
      <c r="Q9" s="26" t="s">
        <v>120</v>
      </c>
      <c r="R9" s="26">
        <v>200.88</v>
      </c>
      <c r="S9" s="26">
        <v>188.67999999999998</v>
      </c>
      <c r="T9" s="26">
        <v>215.99</v>
      </c>
      <c r="U9" s="26">
        <v>227.72</v>
      </c>
      <c r="V9" s="26">
        <v>237.45999999999998</v>
      </c>
      <c r="X9" s="26" t="b">
        <f t="shared" si="3"/>
        <v>0</v>
      </c>
      <c r="Y9" s="26">
        <v>214.86</v>
      </c>
      <c r="Z9" s="181" t="s">
        <v>44</v>
      </c>
    </row>
    <row r="10" spans="1:26" ht="15" x14ac:dyDescent="0.25">
      <c r="A10" t="s">
        <v>46</v>
      </c>
      <c r="B10" t="s">
        <v>2</v>
      </c>
      <c r="C10" t="s">
        <v>137</v>
      </c>
      <c r="D10" t="s">
        <v>120</v>
      </c>
      <c r="E10" s="26">
        <v>194.65</v>
      </c>
      <c r="F10" s="26">
        <v>199.36</v>
      </c>
      <c r="G10" s="26">
        <v>200.82999999999998</v>
      </c>
      <c r="H10" s="26">
        <v>235.8</v>
      </c>
      <c r="I10" s="26">
        <v>177.96</v>
      </c>
      <c r="J10" s="26">
        <f t="shared" si="0"/>
        <v>198.28</v>
      </c>
      <c r="L10" s="26" t="b">
        <f t="shared" si="4"/>
        <v>1</v>
      </c>
      <c r="M10" s="26" t="b">
        <f t="shared" si="5"/>
        <v>1</v>
      </c>
      <c r="N10" s="26" t="s">
        <v>46</v>
      </c>
      <c r="O10" s="26" t="s">
        <v>2</v>
      </c>
      <c r="P10" s="26" t="s">
        <v>137</v>
      </c>
      <c r="Q10" s="26" t="s">
        <v>120</v>
      </c>
      <c r="R10" s="26">
        <v>211.76000000000002</v>
      </c>
      <c r="S10" s="26">
        <v>192.49</v>
      </c>
      <c r="T10" s="26">
        <v>197.18</v>
      </c>
      <c r="U10" s="26">
        <v>198.63</v>
      </c>
      <c r="V10" s="26">
        <v>233.58</v>
      </c>
      <c r="X10" s="26" t="b">
        <f t="shared" si="3"/>
        <v>0</v>
      </c>
      <c r="Y10" s="26">
        <v>202.52</v>
      </c>
      <c r="Z10" s="181" t="s">
        <v>46</v>
      </c>
    </row>
    <row r="11" spans="1:26" ht="15" x14ac:dyDescent="0.25">
      <c r="A11" t="s">
        <v>58</v>
      </c>
      <c r="B11" t="s">
        <v>2</v>
      </c>
      <c r="C11" t="s">
        <v>137</v>
      </c>
      <c r="D11" t="s">
        <v>120</v>
      </c>
      <c r="E11" s="26">
        <v>217.82999999999998</v>
      </c>
      <c r="F11" s="26">
        <v>227.62</v>
      </c>
      <c r="G11" s="26">
        <v>219.5</v>
      </c>
      <c r="H11" s="26">
        <v>247.53</v>
      </c>
      <c r="I11" s="26">
        <v>211.94</v>
      </c>
      <c r="J11" s="26">
        <f t="shared" si="0"/>
        <v>221.65</v>
      </c>
      <c r="L11" s="26" t="b">
        <f t="shared" si="4"/>
        <v>1</v>
      </c>
      <c r="M11" s="26" t="b">
        <f t="shared" si="5"/>
        <v>1</v>
      </c>
      <c r="N11" s="26" t="s">
        <v>58</v>
      </c>
      <c r="O11" s="26" t="s">
        <v>2</v>
      </c>
      <c r="P11" s="26" t="s">
        <v>137</v>
      </c>
      <c r="Q11" s="26" t="s">
        <v>120</v>
      </c>
      <c r="R11" s="26">
        <v>229.92999999999998</v>
      </c>
      <c r="S11" s="26">
        <v>215.81</v>
      </c>
      <c r="T11" s="26">
        <v>225.61</v>
      </c>
      <c r="U11" s="26">
        <v>217.5</v>
      </c>
      <c r="V11" s="26">
        <v>245.54</v>
      </c>
      <c r="X11" s="26" t="b">
        <f t="shared" si="3"/>
        <v>0</v>
      </c>
      <c r="Y11" s="26">
        <v>224.35</v>
      </c>
      <c r="Z11" s="181" t="s">
        <v>58</v>
      </c>
    </row>
    <row r="12" spans="1:26" ht="15" x14ac:dyDescent="0.25">
      <c r="A12" t="s">
        <v>59</v>
      </c>
      <c r="B12" t="s">
        <v>2</v>
      </c>
      <c r="C12" t="s">
        <v>137</v>
      </c>
      <c r="D12" t="s">
        <v>120</v>
      </c>
      <c r="E12" s="26">
        <v>231.61999999999998</v>
      </c>
      <c r="F12" s="26">
        <v>212.02</v>
      </c>
      <c r="G12" s="26">
        <v>221.95000000000002</v>
      </c>
      <c r="H12" s="26">
        <v>211.37</v>
      </c>
      <c r="I12" s="26">
        <v>201.66</v>
      </c>
      <c r="J12" s="26">
        <f t="shared" si="0"/>
        <v>215.11</v>
      </c>
      <c r="L12" s="26" t="b">
        <f t="shared" si="4"/>
        <v>1</v>
      </c>
      <c r="M12" s="26" t="b">
        <f t="shared" si="5"/>
        <v>1</v>
      </c>
      <c r="N12" s="26" t="s">
        <v>59</v>
      </c>
      <c r="O12" s="26" t="s">
        <v>2</v>
      </c>
      <c r="P12" s="26" t="s">
        <v>137</v>
      </c>
      <c r="Q12" s="26" t="s">
        <v>120</v>
      </c>
      <c r="R12" s="26">
        <v>227.92000000000002</v>
      </c>
      <c r="S12" s="26">
        <v>229.47</v>
      </c>
      <c r="T12" s="26">
        <v>209.91</v>
      </c>
      <c r="U12" s="26">
        <v>219.88</v>
      </c>
      <c r="V12" s="26">
        <v>209.34</v>
      </c>
      <c r="X12" s="26" t="b">
        <f t="shared" si="3"/>
        <v>0</v>
      </c>
      <c r="Y12" s="26">
        <v>219.24</v>
      </c>
      <c r="Z12" s="181" t="s">
        <v>59</v>
      </c>
    </row>
    <row r="13" spans="1:26" ht="15" x14ac:dyDescent="0.25">
      <c r="A13" t="s">
        <v>61</v>
      </c>
      <c r="B13" t="s">
        <v>2</v>
      </c>
      <c r="C13" t="s">
        <v>137</v>
      </c>
      <c r="D13" t="s">
        <v>120</v>
      </c>
      <c r="E13" s="26">
        <v>218.66</v>
      </c>
      <c r="F13" s="26">
        <v>178.92000000000002</v>
      </c>
      <c r="G13" s="26">
        <v>209.17999999999998</v>
      </c>
      <c r="H13" s="26">
        <v>207.60999999999999</v>
      </c>
      <c r="I13" s="26">
        <v>228.46</v>
      </c>
      <c r="J13" s="26">
        <f t="shared" si="0"/>
        <v>211.82</v>
      </c>
      <c r="L13" s="26" t="b">
        <f t="shared" si="4"/>
        <v>1</v>
      </c>
      <c r="M13" s="26" t="b">
        <f t="shared" si="5"/>
        <v>1</v>
      </c>
      <c r="N13" s="26" t="s">
        <v>61</v>
      </c>
      <c r="O13" s="26" t="s">
        <v>2</v>
      </c>
      <c r="P13" s="26" t="s">
        <v>137</v>
      </c>
      <c r="Q13" s="26" t="s">
        <v>120</v>
      </c>
      <c r="R13" s="26">
        <v>233.05</v>
      </c>
      <c r="S13" s="26">
        <v>216.38</v>
      </c>
      <c r="T13" s="26">
        <v>176.70000000000002</v>
      </c>
      <c r="U13" s="26">
        <v>207.01999999999998</v>
      </c>
      <c r="V13" s="26">
        <v>205.51</v>
      </c>
      <c r="X13" s="26" t="b">
        <f t="shared" si="3"/>
        <v>0</v>
      </c>
      <c r="Y13" s="26">
        <v>209.64</v>
      </c>
      <c r="Z13" s="181" t="s">
        <v>61</v>
      </c>
    </row>
    <row r="14" spans="1:26" ht="15" x14ac:dyDescent="0.25">
      <c r="A14" t="s">
        <v>63</v>
      </c>
      <c r="B14" t="s">
        <v>2</v>
      </c>
      <c r="C14" t="s">
        <v>137</v>
      </c>
      <c r="D14" t="s">
        <v>120</v>
      </c>
      <c r="E14" s="26">
        <v>206.72</v>
      </c>
      <c r="F14" s="26">
        <v>206.48</v>
      </c>
      <c r="G14" s="26">
        <v>239.82999999999998</v>
      </c>
      <c r="H14" s="26">
        <v>246.81</v>
      </c>
      <c r="I14" s="26">
        <v>218.17000000000002</v>
      </c>
      <c r="J14" s="26">
        <f t="shared" si="0"/>
        <v>221.57</v>
      </c>
      <c r="L14" s="26" t="b">
        <f t="shared" si="4"/>
        <v>1</v>
      </c>
      <c r="M14" s="26" t="b">
        <f t="shared" si="5"/>
        <v>1</v>
      </c>
      <c r="N14" s="26" t="s">
        <v>63</v>
      </c>
      <c r="O14" s="26" t="s">
        <v>2</v>
      </c>
      <c r="P14" s="26" t="s">
        <v>137</v>
      </c>
      <c r="Q14" s="26" t="s">
        <v>120</v>
      </c>
      <c r="R14" s="26">
        <v>245.13</v>
      </c>
      <c r="S14" s="26">
        <v>204.62</v>
      </c>
      <c r="T14" s="26">
        <v>204.32</v>
      </c>
      <c r="U14" s="26">
        <v>237.60999999999999</v>
      </c>
      <c r="V14" s="26">
        <v>244.53</v>
      </c>
      <c r="X14" s="26" t="b">
        <f t="shared" si="3"/>
        <v>0</v>
      </c>
      <c r="Y14" s="26">
        <v>228.92</v>
      </c>
      <c r="Z14" s="181" t="s">
        <v>63</v>
      </c>
    </row>
    <row r="15" spans="1:26" ht="15" x14ac:dyDescent="0.25">
      <c r="A15" t="s">
        <v>68</v>
      </c>
      <c r="B15" t="s">
        <v>2</v>
      </c>
      <c r="C15" t="s">
        <v>137</v>
      </c>
      <c r="D15" t="s">
        <v>120</v>
      </c>
      <c r="E15" s="26">
        <v>216.6</v>
      </c>
      <c r="F15" s="26">
        <v>230.19</v>
      </c>
      <c r="G15" s="26">
        <v>210.46</v>
      </c>
      <c r="H15" s="26">
        <v>230.89000000000001</v>
      </c>
      <c r="I15" s="26">
        <v>223.03</v>
      </c>
      <c r="J15" s="26">
        <f t="shared" si="0"/>
        <v>223.27</v>
      </c>
      <c r="L15" s="26" t="b">
        <f t="shared" si="4"/>
        <v>1</v>
      </c>
      <c r="M15" s="26" t="b">
        <f t="shared" si="5"/>
        <v>1</v>
      </c>
      <c r="N15" s="26" t="s">
        <v>68</v>
      </c>
      <c r="O15" s="26" t="s">
        <v>2</v>
      </c>
      <c r="P15" s="26" t="s">
        <v>137</v>
      </c>
      <c r="Q15" s="26" t="s">
        <v>120</v>
      </c>
      <c r="R15" s="26">
        <v>201.95</v>
      </c>
      <c r="S15" s="26">
        <v>214.07999999999998</v>
      </c>
      <c r="T15" s="26">
        <v>227.72</v>
      </c>
      <c r="U15" s="26">
        <v>208.04</v>
      </c>
      <c r="V15" s="26">
        <v>228.52</v>
      </c>
      <c r="X15" s="26" t="b">
        <f t="shared" si="3"/>
        <v>0</v>
      </c>
      <c r="Y15" s="26">
        <v>216.61</v>
      </c>
      <c r="Z15" s="181" t="s">
        <v>68</v>
      </c>
    </row>
    <row r="16" spans="1:26" ht="15" x14ac:dyDescent="0.25">
      <c r="A16" t="s">
        <v>70</v>
      </c>
      <c r="B16" t="s">
        <v>2</v>
      </c>
      <c r="C16" t="s">
        <v>137</v>
      </c>
      <c r="D16" t="s">
        <v>120</v>
      </c>
      <c r="E16" s="26">
        <v>209.93</v>
      </c>
      <c r="F16" s="26">
        <v>211.04</v>
      </c>
      <c r="G16" s="26">
        <v>212.43</v>
      </c>
      <c r="H16" s="26">
        <v>240.05</v>
      </c>
      <c r="I16" s="26">
        <v>198.4</v>
      </c>
      <c r="J16" s="26">
        <f t="shared" si="0"/>
        <v>211.13</v>
      </c>
      <c r="L16" s="26" t="b">
        <f t="shared" si="4"/>
        <v>1</v>
      </c>
      <c r="M16" s="26" t="b">
        <f t="shared" si="5"/>
        <v>1</v>
      </c>
      <c r="N16" s="26" t="s">
        <v>70</v>
      </c>
      <c r="O16" s="26" t="s">
        <v>2</v>
      </c>
      <c r="P16" s="26" t="s">
        <v>137</v>
      </c>
      <c r="Q16" s="26" t="s">
        <v>120</v>
      </c>
      <c r="R16" s="26">
        <v>219.52</v>
      </c>
      <c r="S16" s="26">
        <v>207.69</v>
      </c>
      <c r="T16" s="26">
        <v>208.79</v>
      </c>
      <c r="U16" s="26">
        <v>210.17000000000002</v>
      </c>
      <c r="V16" s="26">
        <v>237.78</v>
      </c>
      <c r="X16" s="26" t="b">
        <f t="shared" si="3"/>
        <v>0</v>
      </c>
      <c r="Y16" s="26">
        <v>212.83</v>
      </c>
      <c r="Z16" s="181" t="s">
        <v>70</v>
      </c>
    </row>
    <row r="17" spans="1:27" ht="15" x14ac:dyDescent="0.25">
      <c r="A17" t="s">
        <v>73</v>
      </c>
      <c r="B17" t="s">
        <v>2</v>
      </c>
      <c r="C17" t="s">
        <v>137</v>
      </c>
      <c r="D17" t="s">
        <v>120</v>
      </c>
      <c r="E17" s="26">
        <v>222.72</v>
      </c>
      <c r="F17" s="26">
        <v>187.28</v>
      </c>
      <c r="G17" s="26">
        <v>200.22</v>
      </c>
      <c r="H17" s="26">
        <v>218.95000000000002</v>
      </c>
      <c r="I17" s="26">
        <v>222.61</v>
      </c>
      <c r="J17" s="26">
        <f t="shared" si="0"/>
        <v>213.93</v>
      </c>
      <c r="L17" s="26" t="b">
        <f t="shared" si="4"/>
        <v>1</v>
      </c>
      <c r="M17" s="26" t="b">
        <f t="shared" si="5"/>
        <v>1</v>
      </c>
      <c r="N17" s="26" t="s">
        <v>73</v>
      </c>
      <c r="O17" s="26" t="s">
        <v>2</v>
      </c>
      <c r="P17" s="26" t="s">
        <v>137</v>
      </c>
      <c r="Q17" s="26" t="s">
        <v>120</v>
      </c>
      <c r="R17" s="26">
        <v>229.04999999999998</v>
      </c>
      <c r="S17" s="26">
        <v>220.34</v>
      </c>
      <c r="T17" s="26">
        <v>184.97</v>
      </c>
      <c r="U17" s="26">
        <v>197.98</v>
      </c>
      <c r="V17" s="26">
        <v>216.78</v>
      </c>
      <c r="X17" s="26" t="b">
        <f t="shared" si="3"/>
        <v>0</v>
      </c>
      <c r="Y17" s="26">
        <v>211.7</v>
      </c>
      <c r="Z17" s="181" t="s">
        <v>73</v>
      </c>
    </row>
    <row r="18" spans="1:27" ht="15" x14ac:dyDescent="0.25">
      <c r="A18" t="s">
        <v>75</v>
      </c>
      <c r="B18" t="s">
        <v>2</v>
      </c>
      <c r="C18" t="s">
        <v>137</v>
      </c>
      <c r="D18" t="s">
        <v>120</v>
      </c>
      <c r="E18" s="26">
        <v>168.82</v>
      </c>
      <c r="F18" s="26">
        <v>174.23999999999998</v>
      </c>
      <c r="G18" s="26">
        <v>208.52</v>
      </c>
      <c r="H18" s="26">
        <v>219.60999999999999</v>
      </c>
      <c r="I18" s="26">
        <v>215.75</v>
      </c>
      <c r="J18" s="26">
        <f t="shared" si="0"/>
        <v>199.5</v>
      </c>
      <c r="L18" s="26" t="b">
        <f t="shared" si="4"/>
        <v>1</v>
      </c>
      <c r="M18" s="26" t="b">
        <f t="shared" si="5"/>
        <v>1</v>
      </c>
      <c r="N18" s="26" t="s">
        <v>75</v>
      </c>
      <c r="O18" s="26" t="s">
        <v>2</v>
      </c>
      <c r="P18" s="26" t="s">
        <v>137</v>
      </c>
      <c r="Q18" s="26" t="s">
        <v>120</v>
      </c>
      <c r="R18" s="26">
        <v>231.75</v>
      </c>
      <c r="S18" s="26">
        <v>166.57999999999998</v>
      </c>
      <c r="T18" s="26">
        <v>172</v>
      </c>
      <c r="U18" s="26">
        <v>206.28</v>
      </c>
      <c r="V18" s="26">
        <v>217.36999999999998</v>
      </c>
      <c r="X18" s="26" t="b">
        <f t="shared" si="3"/>
        <v>0</v>
      </c>
      <c r="Y18" s="26">
        <v>198.55</v>
      </c>
      <c r="Z18" s="181" t="s">
        <v>75</v>
      </c>
    </row>
    <row r="19" spans="1:27" ht="15" x14ac:dyDescent="0.25">
      <c r="A19" t="s">
        <v>77</v>
      </c>
      <c r="B19" t="s">
        <v>2</v>
      </c>
      <c r="C19" t="s">
        <v>137</v>
      </c>
      <c r="D19" t="s">
        <v>120</v>
      </c>
      <c r="E19" s="26">
        <v>156.51</v>
      </c>
      <c r="F19" s="26">
        <v>199.65</v>
      </c>
      <c r="G19" s="26">
        <v>177.68</v>
      </c>
      <c r="H19" s="26">
        <v>205.36</v>
      </c>
      <c r="I19" s="26">
        <v>192.77</v>
      </c>
      <c r="J19" s="26">
        <f t="shared" si="0"/>
        <v>190.03</v>
      </c>
      <c r="L19" s="26" t="b">
        <f t="shared" si="4"/>
        <v>1</v>
      </c>
      <c r="M19" s="26" t="b">
        <f t="shared" si="5"/>
        <v>1</v>
      </c>
      <c r="N19" s="26" t="s">
        <v>77</v>
      </c>
      <c r="O19" s="26" t="s">
        <v>2</v>
      </c>
      <c r="P19" s="26" t="s">
        <v>137</v>
      </c>
      <c r="Q19" s="26" t="s">
        <v>120</v>
      </c>
      <c r="R19" s="26">
        <v>214.65</v>
      </c>
      <c r="S19" s="26">
        <v>154.35</v>
      </c>
      <c r="T19" s="26">
        <v>197.51</v>
      </c>
      <c r="U19" s="26">
        <v>175.56</v>
      </c>
      <c r="V19" s="26">
        <v>203.26000000000002</v>
      </c>
      <c r="X19" s="26" t="b">
        <f t="shared" si="3"/>
        <v>0</v>
      </c>
      <c r="Y19" s="26">
        <v>192.11</v>
      </c>
      <c r="Z19" s="181" t="s">
        <v>77</v>
      </c>
    </row>
    <row r="20" spans="1:27" ht="15" x14ac:dyDescent="0.25">
      <c r="A20" t="s">
        <v>78</v>
      </c>
      <c r="B20" t="s">
        <v>2</v>
      </c>
      <c r="C20" t="s">
        <v>137</v>
      </c>
      <c r="D20" t="s">
        <v>120</v>
      </c>
      <c r="E20" s="26">
        <v>139.20000000000002</v>
      </c>
      <c r="F20" s="26">
        <v>202.21</v>
      </c>
      <c r="G20" s="26">
        <v>200.67</v>
      </c>
      <c r="H20" s="26">
        <v>243.12</v>
      </c>
      <c r="I20" s="26">
        <v>209.97000000000003</v>
      </c>
      <c r="J20" s="26">
        <f t="shared" si="0"/>
        <v>204.28</v>
      </c>
      <c r="L20" s="26" t="b">
        <f t="shared" si="4"/>
        <v>1</v>
      </c>
      <c r="M20" s="26" t="b">
        <f t="shared" si="5"/>
        <v>1</v>
      </c>
      <c r="N20" s="26" t="s">
        <v>78</v>
      </c>
      <c r="O20" s="26" t="s">
        <v>2</v>
      </c>
      <c r="P20" s="26" t="s">
        <v>137</v>
      </c>
      <c r="Q20" s="26" t="s">
        <v>120</v>
      </c>
      <c r="R20" s="26">
        <v>220.24</v>
      </c>
      <c r="S20" s="26">
        <v>137.17000000000002</v>
      </c>
      <c r="T20" s="26">
        <v>200.1</v>
      </c>
      <c r="U20" s="26">
        <v>198.48</v>
      </c>
      <c r="V20" s="26">
        <v>240.85000000000002</v>
      </c>
      <c r="X20" s="26" t="b">
        <f t="shared" si="3"/>
        <v>0</v>
      </c>
      <c r="Y20" s="26">
        <v>206.27</v>
      </c>
      <c r="Z20" s="181" t="s">
        <v>78</v>
      </c>
    </row>
    <row r="21" spans="1:27" ht="15" x14ac:dyDescent="0.25">
      <c r="A21" t="s">
        <v>79</v>
      </c>
      <c r="B21" t="s">
        <v>2</v>
      </c>
      <c r="C21" t="s">
        <v>137</v>
      </c>
      <c r="D21" t="s">
        <v>120</v>
      </c>
      <c r="E21" s="26">
        <v>173.88</v>
      </c>
      <c r="F21" s="26">
        <v>199.85</v>
      </c>
      <c r="G21" s="26">
        <v>172.98000000000002</v>
      </c>
      <c r="H21" s="26">
        <v>247.92000000000002</v>
      </c>
      <c r="I21" s="26">
        <v>154.69999999999999</v>
      </c>
      <c r="J21" s="26">
        <f t="shared" si="0"/>
        <v>182.24</v>
      </c>
      <c r="L21" s="26" t="b">
        <f t="shared" si="4"/>
        <v>1</v>
      </c>
      <c r="M21" s="26" t="b">
        <f t="shared" si="5"/>
        <v>1</v>
      </c>
      <c r="N21" s="26" t="s">
        <v>79</v>
      </c>
      <c r="O21" s="26" t="s">
        <v>2</v>
      </c>
      <c r="P21" s="26" t="s">
        <v>137</v>
      </c>
      <c r="Q21" s="26" t="s">
        <v>120</v>
      </c>
      <c r="R21" s="26">
        <v>178.64999999999998</v>
      </c>
      <c r="S21" s="26">
        <v>171.63</v>
      </c>
      <c r="T21" s="26">
        <v>197.63</v>
      </c>
      <c r="U21" s="26">
        <v>170.79000000000002</v>
      </c>
      <c r="V21" s="26">
        <v>245.76</v>
      </c>
      <c r="X21" s="26" t="b">
        <f t="shared" si="3"/>
        <v>0</v>
      </c>
      <c r="Y21" s="26">
        <v>182.64</v>
      </c>
      <c r="Z21" s="181" t="s">
        <v>79</v>
      </c>
    </row>
    <row r="22" spans="1:27" ht="15" x14ac:dyDescent="0.25">
      <c r="A22" s="64" t="s">
        <v>128</v>
      </c>
      <c r="B22" t="s">
        <v>2</v>
      </c>
      <c r="C22" t="s">
        <v>137</v>
      </c>
      <c r="D22" t="s">
        <v>120</v>
      </c>
      <c r="E22" s="26">
        <v>192.76</v>
      </c>
      <c r="F22" s="26">
        <v>197.01999999999998</v>
      </c>
      <c r="G22" s="26">
        <v>209.64</v>
      </c>
      <c r="H22" s="26">
        <v>263.32</v>
      </c>
      <c r="I22" s="26">
        <v>201.81</v>
      </c>
      <c r="J22" s="26">
        <f t="shared" si="0"/>
        <v>202.82</v>
      </c>
      <c r="L22" s="26" t="b">
        <f t="shared" si="4"/>
        <v>0</v>
      </c>
      <c r="M22" s="26" t="b">
        <f t="shared" si="5"/>
        <v>1</v>
      </c>
      <c r="N22" s="26" t="s">
        <v>279</v>
      </c>
      <c r="O22" s="26" t="s">
        <v>2</v>
      </c>
      <c r="P22" s="26" t="s">
        <v>137</v>
      </c>
      <c r="Q22" s="26" t="s">
        <v>120</v>
      </c>
      <c r="R22" s="26">
        <v>227.74</v>
      </c>
      <c r="S22" s="26">
        <v>190.22</v>
      </c>
      <c r="T22" s="26">
        <v>194.51999999999998</v>
      </c>
      <c r="U22" s="26">
        <v>207.18</v>
      </c>
      <c r="V22" s="26">
        <v>260.90000000000003</v>
      </c>
      <c r="X22" s="26" t="b">
        <f t="shared" si="3"/>
        <v>0</v>
      </c>
      <c r="Y22" s="26">
        <v>209.81</v>
      </c>
      <c r="Z22" s="182" t="s">
        <v>279</v>
      </c>
    </row>
    <row r="23" spans="1:27" ht="15" x14ac:dyDescent="0.25">
      <c r="A23" s="64" t="s">
        <v>129</v>
      </c>
      <c r="B23" t="s">
        <v>2</v>
      </c>
      <c r="C23" t="s">
        <v>137</v>
      </c>
      <c r="D23" t="s">
        <v>120</v>
      </c>
      <c r="E23" s="26">
        <v>192.76</v>
      </c>
      <c r="F23" s="26">
        <v>197.01999999999998</v>
      </c>
      <c r="G23" s="26">
        <v>209.64</v>
      </c>
      <c r="H23" s="26">
        <v>263.32</v>
      </c>
      <c r="I23" s="26">
        <v>201.81</v>
      </c>
      <c r="J23" s="26">
        <f t="shared" si="0"/>
        <v>202.82</v>
      </c>
      <c r="L23" s="26" t="b">
        <f t="shared" si="4"/>
        <v>0</v>
      </c>
      <c r="M23" s="26" t="b">
        <f t="shared" si="5"/>
        <v>1</v>
      </c>
      <c r="N23" s="26" t="s">
        <v>280</v>
      </c>
      <c r="O23" s="26" t="s">
        <v>2</v>
      </c>
      <c r="P23" s="26" t="s">
        <v>137</v>
      </c>
      <c r="Q23" s="26" t="s">
        <v>120</v>
      </c>
      <c r="R23" s="26">
        <v>227.74</v>
      </c>
      <c r="S23" s="26">
        <v>190.22</v>
      </c>
      <c r="T23" s="26">
        <v>194.51999999999998</v>
      </c>
      <c r="U23" s="26">
        <v>207.18</v>
      </c>
      <c r="V23" s="26">
        <v>260.90000000000003</v>
      </c>
      <c r="X23" s="26" t="b">
        <f t="shared" si="3"/>
        <v>0</v>
      </c>
      <c r="Y23" s="26">
        <v>209.81</v>
      </c>
      <c r="Z23" s="182" t="s">
        <v>280</v>
      </c>
      <c r="AA23" s="183"/>
    </row>
    <row r="24" spans="1:27" ht="15" x14ac:dyDescent="0.25">
      <c r="A24" t="s">
        <v>86</v>
      </c>
      <c r="B24" t="s">
        <v>2</v>
      </c>
      <c r="C24" t="s">
        <v>137</v>
      </c>
      <c r="D24" t="s">
        <v>120</v>
      </c>
      <c r="E24" s="26">
        <v>203.06</v>
      </c>
      <c r="F24" s="26">
        <v>216.16000000000003</v>
      </c>
      <c r="G24" s="26">
        <v>214.2</v>
      </c>
      <c r="H24" s="26">
        <v>244.49</v>
      </c>
      <c r="I24" s="26">
        <v>199.07</v>
      </c>
      <c r="J24" s="26">
        <f t="shared" si="0"/>
        <v>211.14</v>
      </c>
      <c r="L24" s="26" t="b">
        <f t="shared" si="4"/>
        <v>1</v>
      </c>
      <c r="M24" s="26" t="b">
        <f t="shared" si="5"/>
        <v>1</v>
      </c>
      <c r="N24" s="26" t="s">
        <v>86</v>
      </c>
      <c r="O24" s="26" t="s">
        <v>2</v>
      </c>
      <c r="P24" s="26" t="s">
        <v>137</v>
      </c>
      <c r="Q24" s="26" t="s">
        <v>120</v>
      </c>
      <c r="R24" s="26">
        <v>236.81</v>
      </c>
      <c r="S24" s="26">
        <v>201.65</v>
      </c>
      <c r="T24" s="26">
        <v>214.61</v>
      </c>
      <c r="U24" s="26">
        <v>212.51</v>
      </c>
      <c r="V24" s="26">
        <v>242.66</v>
      </c>
      <c r="X24" s="26" t="b">
        <f t="shared" si="3"/>
        <v>0</v>
      </c>
      <c r="Y24" s="26">
        <v>221.31</v>
      </c>
      <c r="Z24" s="181" t="s">
        <v>86</v>
      </c>
      <c r="AA24" s="183"/>
    </row>
    <row r="25" spans="1:27" ht="15" x14ac:dyDescent="0.25">
      <c r="A25" t="s">
        <v>99</v>
      </c>
      <c r="B25" t="s">
        <v>2</v>
      </c>
      <c r="C25" t="s">
        <v>137</v>
      </c>
      <c r="D25" t="s">
        <v>120</v>
      </c>
      <c r="E25" s="26">
        <v>204.76</v>
      </c>
      <c r="F25" s="26">
        <v>190.31</v>
      </c>
      <c r="G25" s="26">
        <v>182.2</v>
      </c>
      <c r="H25" s="26">
        <v>214.97</v>
      </c>
      <c r="I25" s="26">
        <v>174.93</v>
      </c>
      <c r="J25" s="26">
        <f t="shared" si="0"/>
        <v>192.42</v>
      </c>
      <c r="L25" s="26" t="b">
        <f t="shared" si="4"/>
        <v>1</v>
      </c>
      <c r="M25" s="26" t="b">
        <f t="shared" si="5"/>
        <v>1</v>
      </c>
      <c r="N25" s="26" t="s">
        <v>99</v>
      </c>
      <c r="O25" s="26" t="s">
        <v>2</v>
      </c>
      <c r="P25" s="26" t="s">
        <v>137</v>
      </c>
      <c r="Q25" s="26" t="s">
        <v>120</v>
      </c>
      <c r="R25" s="26">
        <v>208.88</v>
      </c>
      <c r="S25" s="26">
        <v>202.29999999999998</v>
      </c>
      <c r="T25" s="26">
        <v>187.84</v>
      </c>
      <c r="U25" s="26">
        <v>179.72</v>
      </c>
      <c r="V25" s="26">
        <v>212.48</v>
      </c>
      <c r="X25" s="26" t="b">
        <f t="shared" si="3"/>
        <v>0</v>
      </c>
      <c r="Y25" s="26">
        <v>199.67</v>
      </c>
      <c r="Z25" s="181" t="s">
        <v>99</v>
      </c>
    </row>
    <row r="26" spans="1:27" ht="15" x14ac:dyDescent="0.25">
      <c r="A26" t="s">
        <v>100</v>
      </c>
      <c r="B26" t="s">
        <v>2</v>
      </c>
      <c r="C26" t="s">
        <v>137</v>
      </c>
      <c r="D26" t="s">
        <v>120</v>
      </c>
      <c r="E26" s="26">
        <v>179.79</v>
      </c>
      <c r="F26" s="26">
        <v>212.07</v>
      </c>
      <c r="G26" s="26">
        <v>223.79</v>
      </c>
      <c r="H26" s="26">
        <v>202.64</v>
      </c>
      <c r="I26" s="26">
        <v>240.56</v>
      </c>
      <c r="J26" s="26">
        <f t="shared" si="0"/>
        <v>212.83</v>
      </c>
      <c r="L26" s="26" t="b">
        <f t="shared" si="4"/>
        <v>1</v>
      </c>
      <c r="M26" s="26" t="b">
        <f t="shared" si="5"/>
        <v>1</v>
      </c>
      <c r="N26" s="26" t="s">
        <v>100</v>
      </c>
      <c r="O26" s="26" t="s">
        <v>2</v>
      </c>
      <c r="P26" s="26" t="s">
        <v>137</v>
      </c>
      <c r="Q26" s="26" t="s">
        <v>120</v>
      </c>
      <c r="R26" s="26">
        <v>225.17999999999998</v>
      </c>
      <c r="S26" s="26">
        <v>177.33999999999997</v>
      </c>
      <c r="T26" s="26">
        <v>209.68</v>
      </c>
      <c r="U26" s="26">
        <v>221.46</v>
      </c>
      <c r="V26" s="26">
        <v>200.37</v>
      </c>
      <c r="X26" s="26" t="b">
        <f t="shared" si="3"/>
        <v>0</v>
      </c>
      <c r="Y26" s="26">
        <v>210.5</v>
      </c>
      <c r="Z26" s="181" t="s">
        <v>100</v>
      </c>
    </row>
    <row r="27" spans="1:27" x14ac:dyDescent="0.2">
      <c r="A27" s="28"/>
      <c r="B27" s="30"/>
      <c r="C27" s="29"/>
      <c r="D27" s="29"/>
    </row>
    <row r="28" spans="1:27" x14ac:dyDescent="0.2">
      <c r="A28" s="28"/>
      <c r="B28" s="30"/>
      <c r="C28" s="29"/>
      <c r="D28" s="29"/>
    </row>
    <row r="29" spans="1:27" x14ac:dyDescent="0.2">
      <c r="A29" s="28"/>
      <c r="B29" s="30"/>
      <c r="C29" s="29"/>
      <c r="D29" s="29"/>
    </row>
    <row r="30" spans="1:27" x14ac:dyDescent="0.2">
      <c r="A30" s="28"/>
      <c r="B30" s="30"/>
      <c r="C30" s="29"/>
      <c r="D30" s="29"/>
    </row>
    <row r="31" spans="1:27" x14ac:dyDescent="0.2">
      <c r="A31" s="28"/>
      <c r="B31" s="30"/>
      <c r="C31" s="29"/>
      <c r="D31" s="29"/>
    </row>
    <row r="32" spans="1:27" x14ac:dyDescent="0.2">
      <c r="A32" s="28"/>
      <c r="B32" s="30"/>
      <c r="C32" s="29"/>
      <c r="D32" s="29"/>
    </row>
    <row r="33" spans="1:4" x14ac:dyDescent="0.2">
      <c r="A33" s="28"/>
      <c r="B33" s="30"/>
      <c r="C33" s="29"/>
      <c r="D33" s="29"/>
    </row>
    <row r="34" spans="1:4" x14ac:dyDescent="0.2">
      <c r="A34" s="28"/>
      <c r="B34" s="30"/>
      <c r="C34" s="29"/>
      <c r="D34" s="29"/>
    </row>
    <row r="36" spans="1:4" x14ac:dyDescent="0.2">
      <c r="A36" s="28"/>
      <c r="B36" s="30"/>
      <c r="C36" s="29"/>
      <c r="D36" s="29"/>
    </row>
    <row r="38" spans="1:4" x14ac:dyDescent="0.2">
      <c r="A38" s="28"/>
      <c r="B38" s="30"/>
      <c r="C38" s="29"/>
      <c r="D38" s="29"/>
    </row>
    <row r="39" spans="1:4" x14ac:dyDescent="0.2">
      <c r="A39" s="28"/>
      <c r="B39" s="30"/>
      <c r="C39" s="29"/>
      <c r="D39" s="29"/>
    </row>
    <row r="40" spans="1:4" x14ac:dyDescent="0.2">
      <c r="A40" s="28"/>
      <c r="B40" s="30"/>
      <c r="C40" s="29"/>
      <c r="D40" s="29"/>
    </row>
    <row r="41" spans="1:4" x14ac:dyDescent="0.2">
      <c r="A41" s="28"/>
      <c r="B41" s="30"/>
      <c r="C41" s="29"/>
      <c r="D41" s="29"/>
    </row>
    <row r="42" spans="1:4" x14ac:dyDescent="0.2">
      <c r="A42" s="28"/>
      <c r="B42" s="30"/>
      <c r="C42" s="29"/>
      <c r="D42" s="29"/>
    </row>
    <row r="43" spans="1:4" x14ac:dyDescent="0.2">
      <c r="A43" s="28"/>
      <c r="B43" s="30"/>
      <c r="C43" s="29"/>
      <c r="D43" s="29"/>
    </row>
    <row r="44" spans="1:4" x14ac:dyDescent="0.2">
      <c r="A44" s="28"/>
      <c r="B44" s="30"/>
      <c r="C44" s="29"/>
      <c r="D44" s="29"/>
    </row>
    <row r="45" spans="1:4" x14ac:dyDescent="0.2">
      <c r="A45" s="28"/>
      <c r="B45" s="30"/>
      <c r="C45" s="29"/>
      <c r="D45" s="29"/>
    </row>
    <row r="46" spans="1:4" x14ac:dyDescent="0.2">
      <c r="A46" s="28"/>
      <c r="B46" s="30"/>
      <c r="C46" s="29"/>
      <c r="D46" s="29"/>
    </row>
    <row r="47" spans="1:4" x14ac:dyDescent="0.2">
      <c r="A47" s="28"/>
      <c r="B47" s="30"/>
      <c r="C47" s="29"/>
      <c r="D47" s="29"/>
    </row>
    <row r="48" spans="1:4" x14ac:dyDescent="0.2">
      <c r="A48" s="28"/>
      <c r="B48" s="30"/>
      <c r="C48" s="29"/>
      <c r="D48" s="29"/>
    </row>
    <row r="49" spans="1:4" x14ac:dyDescent="0.2">
      <c r="A49" s="28"/>
      <c r="B49" s="30"/>
      <c r="C49" s="29"/>
      <c r="D49" s="29"/>
    </row>
    <row r="50" spans="1:4" x14ac:dyDescent="0.2">
      <c r="A50" s="28"/>
      <c r="B50" s="30"/>
      <c r="C50" s="29"/>
      <c r="D50" s="29"/>
    </row>
    <row r="51" spans="1:4" x14ac:dyDescent="0.2">
      <c r="A51" s="28"/>
      <c r="B51" s="30"/>
      <c r="C51" s="29"/>
      <c r="D51" s="29"/>
    </row>
    <row r="52" spans="1:4" x14ac:dyDescent="0.2">
      <c r="A52" s="28"/>
      <c r="B52" s="30"/>
      <c r="C52" s="29"/>
      <c r="D52" s="29"/>
    </row>
    <row r="53" spans="1:4" x14ac:dyDescent="0.2">
      <c r="A53" s="28"/>
      <c r="B53" s="30"/>
      <c r="C53" s="29"/>
      <c r="D53" s="29"/>
    </row>
    <row r="54" spans="1:4" x14ac:dyDescent="0.2">
      <c r="A54" s="28"/>
      <c r="B54" s="30"/>
      <c r="C54" s="29"/>
      <c r="D54" s="29"/>
    </row>
    <row r="55" spans="1:4" x14ac:dyDescent="0.2">
      <c r="A55" s="28"/>
      <c r="B55" s="30"/>
      <c r="C55" s="29"/>
      <c r="D55" s="29"/>
    </row>
    <row r="56" spans="1:4" x14ac:dyDescent="0.2">
      <c r="A56" s="28"/>
      <c r="B56" s="30"/>
      <c r="C56" s="29"/>
      <c r="D56" s="29"/>
    </row>
    <row r="57" spans="1:4" x14ac:dyDescent="0.2">
      <c r="A57" s="28"/>
      <c r="B57" s="30"/>
      <c r="C57" s="29"/>
      <c r="D57" s="29"/>
    </row>
    <row r="58" spans="1:4" x14ac:dyDescent="0.2">
      <c r="A58" s="28"/>
      <c r="B58" s="30"/>
      <c r="C58" s="29"/>
      <c r="D58" s="29"/>
    </row>
    <row r="59" spans="1:4" x14ac:dyDescent="0.2">
      <c r="A59" s="28"/>
      <c r="B59" s="30"/>
      <c r="C59" s="29"/>
      <c r="D59" s="29"/>
    </row>
    <row r="60" spans="1:4" x14ac:dyDescent="0.2">
      <c r="A60" s="28"/>
      <c r="B60" s="30"/>
      <c r="C60" s="29"/>
      <c r="D60" s="29"/>
    </row>
    <row r="61" spans="1:4" x14ac:dyDescent="0.2">
      <c r="A61" s="28"/>
      <c r="B61" s="30"/>
      <c r="C61" s="29"/>
      <c r="D61" s="29"/>
    </row>
    <row r="62" spans="1:4" x14ac:dyDescent="0.2">
      <c r="A62" s="28"/>
      <c r="B62" s="30"/>
      <c r="C62" s="29"/>
      <c r="D62" s="29"/>
    </row>
    <row r="63" spans="1:4" x14ac:dyDescent="0.2">
      <c r="A63" s="28"/>
      <c r="B63" s="30"/>
      <c r="C63" s="29"/>
      <c r="D63" s="29"/>
    </row>
    <row r="64" spans="1:4" x14ac:dyDescent="0.2">
      <c r="A64" s="28"/>
      <c r="B64" s="30"/>
      <c r="C64" s="29"/>
      <c r="D64" s="29"/>
    </row>
    <row r="65" spans="1:4" x14ac:dyDescent="0.2">
      <c r="A65" s="28"/>
      <c r="B65" s="30"/>
      <c r="C65" s="29"/>
      <c r="D65" s="29"/>
    </row>
    <row r="66" spans="1:4" x14ac:dyDescent="0.2">
      <c r="A66" s="28"/>
      <c r="B66" s="30"/>
      <c r="C66" s="29"/>
      <c r="D66" s="29"/>
    </row>
    <row r="67" spans="1:4" x14ac:dyDescent="0.2">
      <c r="A67" s="28"/>
      <c r="B67" s="30"/>
      <c r="C67" s="29"/>
      <c r="D67" s="29"/>
    </row>
    <row r="68" spans="1:4" x14ac:dyDescent="0.2">
      <c r="A68" s="28"/>
      <c r="B68" s="30"/>
      <c r="C68" s="29"/>
      <c r="D68" s="29"/>
    </row>
    <row r="69" spans="1:4" x14ac:dyDescent="0.2">
      <c r="A69" s="28"/>
      <c r="B69" s="30"/>
      <c r="C69" s="29"/>
      <c r="D69" s="29"/>
    </row>
    <row r="70" spans="1:4" x14ac:dyDescent="0.2">
      <c r="A70" s="28"/>
      <c r="B70" s="30"/>
      <c r="C70" s="29"/>
      <c r="D70" s="29"/>
    </row>
    <row r="71" spans="1:4" x14ac:dyDescent="0.2">
      <c r="A71" s="28"/>
      <c r="B71" s="30"/>
      <c r="C71" s="29"/>
      <c r="D71" s="29"/>
    </row>
    <row r="72" spans="1:4" x14ac:dyDescent="0.2">
      <c r="A72" s="28"/>
      <c r="B72" s="30"/>
      <c r="C72" s="29"/>
      <c r="D72" s="29"/>
    </row>
    <row r="73" spans="1:4" x14ac:dyDescent="0.2">
      <c r="A73" s="28"/>
      <c r="B73" s="30"/>
      <c r="C73" s="29"/>
      <c r="D73" s="29"/>
    </row>
    <row r="74" spans="1:4" x14ac:dyDescent="0.2">
      <c r="A74" s="28"/>
      <c r="B74" s="30"/>
      <c r="C74" s="29"/>
      <c r="D74" s="29"/>
    </row>
    <row r="75" spans="1:4" x14ac:dyDescent="0.2">
      <c r="A75" s="28"/>
      <c r="B75" s="30"/>
      <c r="C75" s="29"/>
      <c r="D75" s="29"/>
    </row>
    <row r="76" spans="1:4" x14ac:dyDescent="0.2">
      <c r="A76" s="28"/>
      <c r="B76" s="30"/>
      <c r="C76" s="29"/>
      <c r="D76" s="29"/>
    </row>
    <row r="77" spans="1:4" x14ac:dyDescent="0.2">
      <c r="A77" s="28"/>
      <c r="B77" s="30"/>
      <c r="C77" s="29"/>
      <c r="D77" s="29"/>
    </row>
    <row r="78" spans="1:4" x14ac:dyDescent="0.2">
      <c r="A78" s="28"/>
      <c r="B78" s="30"/>
      <c r="C78" s="29"/>
      <c r="D78" s="29"/>
    </row>
    <row r="79" spans="1:4" x14ac:dyDescent="0.2">
      <c r="A79" s="28"/>
      <c r="B79" s="30"/>
      <c r="C79" s="29"/>
      <c r="D79" s="29"/>
    </row>
    <row r="80" spans="1:4" x14ac:dyDescent="0.2">
      <c r="A80" s="28"/>
      <c r="B80" s="30"/>
      <c r="C80" s="29"/>
      <c r="D80" s="29"/>
    </row>
    <row r="81" spans="1:4" x14ac:dyDescent="0.2">
      <c r="A81" s="28"/>
      <c r="B81" s="30"/>
      <c r="C81" s="29"/>
      <c r="D81" s="29"/>
    </row>
    <row r="82" spans="1:4" x14ac:dyDescent="0.2">
      <c r="A82" s="28"/>
      <c r="B82" s="30"/>
      <c r="C82" s="29"/>
      <c r="D82" s="29"/>
    </row>
    <row r="83" spans="1:4" x14ac:dyDescent="0.2">
      <c r="A83" s="28"/>
      <c r="B83" s="30"/>
      <c r="C83" s="29"/>
      <c r="D83" s="29"/>
    </row>
    <row r="84" spans="1:4" x14ac:dyDescent="0.2">
      <c r="A84" s="28"/>
      <c r="B84" s="30"/>
      <c r="C84" s="29"/>
      <c r="D84" s="29"/>
    </row>
    <row r="85" spans="1:4" x14ac:dyDescent="0.2">
      <c r="A85" s="28"/>
      <c r="B85" s="30"/>
      <c r="C85" s="29"/>
      <c r="D85" s="29"/>
    </row>
    <row r="86" spans="1:4" x14ac:dyDescent="0.2">
      <c r="A86" s="28"/>
      <c r="B86" s="30"/>
      <c r="C86" s="29"/>
      <c r="D86" s="29"/>
    </row>
    <row r="87" spans="1:4" x14ac:dyDescent="0.2">
      <c r="A87" s="28"/>
      <c r="B87" s="30"/>
      <c r="C87" s="29"/>
      <c r="D87" s="29"/>
    </row>
    <row r="88" spans="1:4" x14ac:dyDescent="0.2">
      <c r="A88" s="28"/>
      <c r="B88" s="30"/>
      <c r="C88" s="29"/>
      <c r="D88" s="29"/>
    </row>
    <row r="89" spans="1:4" x14ac:dyDescent="0.2">
      <c r="A89" s="28"/>
      <c r="B89" s="30"/>
      <c r="C89" s="29"/>
      <c r="D89" s="29"/>
    </row>
    <row r="90" spans="1:4" x14ac:dyDescent="0.2">
      <c r="A90" s="28"/>
      <c r="B90" s="30"/>
      <c r="C90" s="29"/>
      <c r="D90" s="29"/>
    </row>
    <row r="91" spans="1:4" x14ac:dyDescent="0.2">
      <c r="A91" s="28"/>
      <c r="B91" s="30"/>
      <c r="C91" s="29"/>
      <c r="D91" s="29"/>
    </row>
    <row r="92" spans="1:4" x14ac:dyDescent="0.2">
      <c r="A92" s="28"/>
      <c r="B92" s="30"/>
      <c r="C92" s="29"/>
      <c r="D92" s="29"/>
    </row>
    <row r="93" spans="1:4" x14ac:dyDescent="0.2">
      <c r="A93" s="28"/>
      <c r="B93" s="30"/>
      <c r="C93" s="29"/>
      <c r="D93" s="29"/>
    </row>
    <row r="94" spans="1:4" x14ac:dyDescent="0.2">
      <c r="A94" s="28"/>
      <c r="B94" s="30"/>
      <c r="C94" s="29"/>
      <c r="D94" s="29"/>
    </row>
    <row r="95" spans="1:4" x14ac:dyDescent="0.2">
      <c r="A95" s="28"/>
      <c r="B95" s="30"/>
      <c r="C95" s="29"/>
      <c r="D95" s="29"/>
    </row>
    <row r="96" spans="1:4" x14ac:dyDescent="0.2">
      <c r="A96" s="28"/>
      <c r="B96" s="30"/>
      <c r="C96" s="29"/>
      <c r="D96" s="29"/>
    </row>
    <row r="97" spans="1:4" x14ac:dyDescent="0.2">
      <c r="A97" s="28"/>
      <c r="B97" s="30"/>
      <c r="C97" s="29"/>
      <c r="D97" s="29"/>
    </row>
    <row r="98" spans="1:4" x14ac:dyDescent="0.2">
      <c r="A98" s="28"/>
      <c r="B98" s="30"/>
      <c r="C98" s="29"/>
      <c r="D98" s="29"/>
    </row>
    <row r="99" spans="1:4" x14ac:dyDescent="0.2">
      <c r="A99" s="28"/>
      <c r="B99" s="30"/>
      <c r="C99" s="29"/>
      <c r="D99" s="29"/>
    </row>
    <row r="100" spans="1:4" x14ac:dyDescent="0.2">
      <c r="A100" s="28"/>
      <c r="B100" s="30"/>
      <c r="C100" s="29"/>
      <c r="D100" s="29"/>
    </row>
    <row r="101" spans="1:4" x14ac:dyDescent="0.2">
      <c r="A101" s="28"/>
      <c r="B101" s="30"/>
      <c r="C101" s="29"/>
      <c r="D101" s="29"/>
    </row>
    <row r="102" spans="1:4" x14ac:dyDescent="0.2">
      <c r="A102" s="28"/>
      <c r="B102" s="30"/>
      <c r="C102" s="29"/>
      <c r="D102" s="29"/>
    </row>
    <row r="103" spans="1:4" x14ac:dyDescent="0.2">
      <c r="A103" s="28"/>
      <c r="B103" s="30"/>
      <c r="C103" s="29"/>
      <c r="D103" s="2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FF0000"/>
  </sheetPr>
  <dimension ref="A1:Q19"/>
  <sheetViews>
    <sheetView topLeftCell="A4" workbookViewId="0">
      <selection activeCell="I2" sqref="I2"/>
    </sheetView>
  </sheetViews>
  <sheetFormatPr defaultColWidth="9.28515625" defaultRowHeight="12.75" x14ac:dyDescent="0.2"/>
  <cols>
    <col min="1" max="1" width="19.28515625" style="31" customWidth="1"/>
    <col min="2" max="2" width="9.7109375" style="31" bestFit="1" customWidth="1"/>
    <col min="3" max="3" width="10.7109375" style="32" customWidth="1"/>
    <col min="4" max="4" width="11.28515625" style="32" bestFit="1" customWidth="1"/>
    <col min="5" max="9" width="8.7109375" style="27" customWidth="1"/>
    <col min="10" max="11" width="7.7109375" style="26" bestFit="1" customWidth="1"/>
    <col min="12" max="12" width="8" style="26" bestFit="1" customWidth="1"/>
    <col min="13" max="13" width="8.7109375" style="26" customWidth="1"/>
    <col min="14" max="18" width="8.7109375" style="26" bestFit="1" customWidth="1"/>
    <col min="19" max="19" width="8.42578125" style="26" bestFit="1" customWidth="1"/>
    <col min="20" max="16384" width="9.28515625" style="26"/>
  </cols>
  <sheetData>
    <row r="1" spans="1:17" s="76" customFormat="1" ht="15" x14ac:dyDescent="0.25">
      <c r="A1" s="69" t="s">
        <v>139</v>
      </c>
      <c r="B1" s="70"/>
      <c r="C1" s="71"/>
      <c r="D1" s="71"/>
      <c r="E1" s="72"/>
      <c r="F1" s="73"/>
      <c r="G1" s="74"/>
      <c r="H1" s="75"/>
      <c r="I1" s="75" t="s">
        <v>304</v>
      </c>
    </row>
    <row r="2" spans="1:17" s="76" customFormat="1" ht="15.75" thickBot="1" x14ac:dyDescent="0.3">
      <c r="A2" s="69"/>
      <c r="B2" s="70"/>
      <c r="C2" s="71"/>
      <c r="D2" s="71"/>
      <c r="E2" s="77"/>
      <c r="F2" s="74"/>
      <c r="G2" s="74"/>
      <c r="H2" s="78"/>
      <c r="I2" s="79"/>
    </row>
    <row r="3" spans="1:17" ht="76.5" x14ac:dyDescent="0.2">
      <c r="A3" s="96" t="s">
        <v>107</v>
      </c>
      <c r="B3" s="96" t="s">
        <v>108</v>
      </c>
      <c r="C3" s="97" t="s">
        <v>109</v>
      </c>
      <c r="D3" s="97" t="s">
        <v>136</v>
      </c>
      <c r="E3" s="95" t="s">
        <v>142</v>
      </c>
      <c r="F3" s="95" t="s">
        <v>143</v>
      </c>
      <c r="G3" s="95" t="s">
        <v>281</v>
      </c>
      <c r="H3" s="95" t="s">
        <v>286</v>
      </c>
      <c r="I3" s="95" t="s">
        <v>297</v>
      </c>
      <c r="J3" s="76" t="s">
        <v>267</v>
      </c>
    </row>
    <row r="4" spans="1:17" x14ac:dyDescent="0.2">
      <c r="A4" s="64" t="s">
        <v>32</v>
      </c>
      <c r="B4" s="64" t="s">
        <v>3</v>
      </c>
      <c r="C4" s="65" t="s">
        <v>137</v>
      </c>
      <c r="D4" s="65" t="s">
        <v>120</v>
      </c>
      <c r="E4" s="26">
        <v>70.290000000000006</v>
      </c>
      <c r="F4" s="26">
        <v>70</v>
      </c>
      <c r="G4" s="26">
        <v>69.650000000000006</v>
      </c>
      <c r="H4" s="26">
        <v>74.28</v>
      </c>
      <c r="I4" s="26">
        <v>75.8</v>
      </c>
      <c r="J4" s="26">
        <f>ROUND((SUM(E4:I4)-MAX(E4:I4)-MIN(E4:I4))/3,2)</f>
        <v>71.52</v>
      </c>
      <c r="L4" s="26" t="b">
        <f>+N4=A4</f>
        <v>1</v>
      </c>
      <c r="M4" s="26" t="b">
        <f>+Q4=D4</f>
        <v>1</v>
      </c>
      <c r="N4" s="26" t="s">
        <v>32</v>
      </c>
      <c r="O4" s="26" t="s">
        <v>3</v>
      </c>
      <c r="P4" s="26" t="s">
        <v>137</v>
      </c>
      <c r="Q4" s="26" t="s">
        <v>120</v>
      </c>
    </row>
    <row r="5" spans="1:17" x14ac:dyDescent="0.2">
      <c r="A5" s="64" t="s">
        <v>39</v>
      </c>
      <c r="B5" s="64" t="s">
        <v>3</v>
      </c>
      <c r="C5" s="65" t="s">
        <v>137</v>
      </c>
      <c r="D5" s="65" t="s">
        <v>120</v>
      </c>
      <c r="E5" s="26">
        <v>57.22</v>
      </c>
      <c r="F5" s="26">
        <v>69.699999999999989</v>
      </c>
      <c r="G5" s="26">
        <v>65.010000000000005</v>
      </c>
      <c r="H5" s="26">
        <v>74.7</v>
      </c>
      <c r="I5" s="26">
        <v>64.7</v>
      </c>
      <c r="J5" s="26">
        <f t="shared" ref="J5:J19" si="0">ROUND((SUM(E5:I5)-MAX(E5:I5)-MIN(E5:I5))/3,2)</f>
        <v>66.47</v>
      </c>
      <c r="L5" s="26" t="b">
        <f t="shared" ref="L5:L19" si="1">+N5=A5</f>
        <v>1</v>
      </c>
      <c r="M5" s="26" t="b">
        <f t="shared" ref="M5:M19" si="2">+Q5=D5</f>
        <v>1</v>
      </c>
      <c r="N5" s="26" t="s">
        <v>39</v>
      </c>
      <c r="O5" s="26" t="s">
        <v>3</v>
      </c>
      <c r="P5" s="26" t="s">
        <v>137</v>
      </c>
      <c r="Q5" s="26" t="s">
        <v>120</v>
      </c>
    </row>
    <row r="6" spans="1:17" x14ac:dyDescent="0.2">
      <c r="A6" s="64" t="s">
        <v>44</v>
      </c>
      <c r="B6" s="64" t="s">
        <v>3</v>
      </c>
      <c r="C6" s="65" t="s">
        <v>137</v>
      </c>
      <c r="D6" s="65" t="s">
        <v>120</v>
      </c>
      <c r="E6" s="26">
        <v>54.45</v>
      </c>
      <c r="F6" s="26">
        <v>55.629999999999995</v>
      </c>
      <c r="G6" s="26">
        <v>64.739999999999995</v>
      </c>
      <c r="H6" s="26">
        <v>64.7</v>
      </c>
      <c r="I6" s="26">
        <v>71.11</v>
      </c>
      <c r="J6" s="26">
        <f t="shared" si="0"/>
        <v>61.69</v>
      </c>
      <c r="L6" s="26" t="b">
        <f t="shared" si="1"/>
        <v>1</v>
      </c>
      <c r="M6" s="26" t="b">
        <f t="shared" si="2"/>
        <v>1</v>
      </c>
      <c r="N6" s="26" t="s">
        <v>44</v>
      </c>
      <c r="O6" s="26" t="s">
        <v>3</v>
      </c>
      <c r="P6" s="26" t="s">
        <v>137</v>
      </c>
      <c r="Q6" s="26" t="s">
        <v>120</v>
      </c>
    </row>
    <row r="7" spans="1:17" x14ac:dyDescent="0.2">
      <c r="A7" s="64" t="s">
        <v>46</v>
      </c>
      <c r="B7" s="64" t="s">
        <v>3</v>
      </c>
      <c r="C7" s="65" t="s">
        <v>137</v>
      </c>
      <c r="D7" s="65" t="s">
        <v>120</v>
      </c>
      <c r="E7" s="26">
        <v>52.88</v>
      </c>
      <c r="F7" s="26">
        <v>54.6</v>
      </c>
      <c r="G7" s="26">
        <v>56.69</v>
      </c>
      <c r="H7" s="26">
        <v>66.5</v>
      </c>
      <c r="I7" s="26">
        <v>51.21</v>
      </c>
      <c r="J7" s="26">
        <f t="shared" si="0"/>
        <v>54.72</v>
      </c>
      <c r="L7" s="26" t="b">
        <f t="shared" si="1"/>
        <v>1</v>
      </c>
      <c r="M7" s="26" t="b">
        <f t="shared" si="2"/>
        <v>1</v>
      </c>
      <c r="N7" s="26" t="s">
        <v>46</v>
      </c>
      <c r="O7" s="26" t="s">
        <v>3</v>
      </c>
      <c r="P7" s="26" t="s">
        <v>137</v>
      </c>
      <c r="Q7" s="26" t="s">
        <v>120</v>
      </c>
    </row>
    <row r="8" spans="1:17" x14ac:dyDescent="0.2">
      <c r="A8" s="67" t="s">
        <v>61</v>
      </c>
      <c r="B8" s="68" t="s">
        <v>3</v>
      </c>
      <c r="C8" s="65" t="s">
        <v>137</v>
      </c>
      <c r="D8" s="65" t="s">
        <v>120</v>
      </c>
      <c r="E8" s="26">
        <v>58.08</v>
      </c>
      <c r="F8" s="26">
        <v>57.480000000000004</v>
      </c>
      <c r="G8" s="26">
        <v>56.43</v>
      </c>
      <c r="H8" s="26">
        <v>67.47999999999999</v>
      </c>
      <c r="I8" s="26">
        <v>62.699999999999996</v>
      </c>
      <c r="J8" s="26">
        <f t="shared" si="0"/>
        <v>59.42</v>
      </c>
      <c r="L8" s="26" t="b">
        <f t="shared" si="1"/>
        <v>1</v>
      </c>
      <c r="M8" s="26" t="b">
        <f t="shared" si="2"/>
        <v>1</v>
      </c>
      <c r="N8" s="26" t="s">
        <v>61</v>
      </c>
      <c r="O8" s="26" t="s">
        <v>3</v>
      </c>
      <c r="P8" s="26" t="s">
        <v>137</v>
      </c>
      <c r="Q8" s="26" t="s">
        <v>120</v>
      </c>
    </row>
    <row r="9" spans="1:17" x14ac:dyDescent="0.2">
      <c r="A9" s="64" t="s">
        <v>68</v>
      </c>
      <c r="B9" s="64" t="s">
        <v>3</v>
      </c>
      <c r="C9" s="65" t="s">
        <v>137</v>
      </c>
      <c r="D9" s="65" t="s">
        <v>120</v>
      </c>
      <c r="E9" s="26">
        <v>52.260000000000005</v>
      </c>
      <c r="F9" s="26">
        <v>69.649999999999991</v>
      </c>
      <c r="G9" s="26">
        <v>56.04</v>
      </c>
      <c r="H9" s="26">
        <v>72.44</v>
      </c>
      <c r="I9" s="26">
        <v>59.370000000000005</v>
      </c>
      <c r="J9" s="26">
        <f t="shared" si="0"/>
        <v>61.69</v>
      </c>
      <c r="L9" s="26" t="b">
        <f t="shared" si="1"/>
        <v>1</v>
      </c>
      <c r="M9" s="26" t="b">
        <f t="shared" si="2"/>
        <v>1</v>
      </c>
      <c r="N9" s="26" t="s">
        <v>68</v>
      </c>
      <c r="O9" s="26" t="s">
        <v>3</v>
      </c>
      <c r="P9" s="26" t="s">
        <v>137</v>
      </c>
      <c r="Q9" s="26" t="s">
        <v>120</v>
      </c>
    </row>
    <row r="10" spans="1:17" x14ac:dyDescent="0.2">
      <c r="A10" s="64" t="s">
        <v>70</v>
      </c>
      <c r="B10" s="64" t="s">
        <v>3</v>
      </c>
      <c r="C10" s="65" t="s">
        <v>137</v>
      </c>
      <c r="D10" s="65" t="s">
        <v>120</v>
      </c>
      <c r="E10" s="26">
        <v>55.949999999999996</v>
      </c>
      <c r="F10" s="26">
        <v>57.67</v>
      </c>
      <c r="G10" s="26">
        <v>62.03</v>
      </c>
      <c r="H10" s="26">
        <v>70.650000000000006</v>
      </c>
      <c r="I10" s="26">
        <v>57.32</v>
      </c>
      <c r="J10" s="26">
        <f t="shared" si="0"/>
        <v>59.01</v>
      </c>
      <c r="L10" s="26" t="b">
        <f t="shared" si="1"/>
        <v>1</v>
      </c>
      <c r="M10" s="26" t="b">
        <f t="shared" si="2"/>
        <v>1</v>
      </c>
      <c r="N10" s="26" t="s">
        <v>70</v>
      </c>
      <c r="O10" s="26" t="s">
        <v>3</v>
      </c>
      <c r="P10" s="26" t="s">
        <v>137</v>
      </c>
      <c r="Q10" s="26" t="s">
        <v>120</v>
      </c>
    </row>
    <row r="11" spans="1:17" x14ac:dyDescent="0.2">
      <c r="A11" s="64" t="s">
        <v>73</v>
      </c>
      <c r="B11" s="64" t="s">
        <v>3</v>
      </c>
      <c r="C11" s="65" t="s">
        <v>137</v>
      </c>
      <c r="D11" s="65" t="s">
        <v>120</v>
      </c>
      <c r="E11" s="26">
        <v>63.55</v>
      </c>
      <c r="F11" s="26">
        <v>61.47</v>
      </c>
      <c r="G11" s="26">
        <v>58.69</v>
      </c>
      <c r="H11" s="26">
        <v>67.64</v>
      </c>
      <c r="I11" s="26">
        <v>65.28</v>
      </c>
      <c r="J11" s="26">
        <f t="shared" si="0"/>
        <v>63.43</v>
      </c>
      <c r="L11" s="26" t="b">
        <f t="shared" si="1"/>
        <v>1</v>
      </c>
      <c r="M11" s="26" t="b">
        <f t="shared" si="2"/>
        <v>1</v>
      </c>
      <c r="N11" s="26" t="s">
        <v>73</v>
      </c>
      <c r="O11" s="26" t="s">
        <v>3</v>
      </c>
      <c r="P11" s="26" t="s">
        <v>137</v>
      </c>
      <c r="Q11" s="26" t="s">
        <v>120</v>
      </c>
    </row>
    <row r="12" spans="1:17" x14ac:dyDescent="0.2">
      <c r="A12" s="64" t="s">
        <v>75</v>
      </c>
      <c r="B12" s="64" t="s">
        <v>3</v>
      </c>
      <c r="C12" s="65" t="s">
        <v>137</v>
      </c>
      <c r="D12" s="65" t="s">
        <v>120</v>
      </c>
      <c r="E12" s="26">
        <v>49.82</v>
      </c>
      <c r="F12" s="26">
        <v>56.75</v>
      </c>
      <c r="G12" s="26">
        <v>55.309999999999995</v>
      </c>
      <c r="H12" s="26">
        <v>61.660000000000004</v>
      </c>
      <c r="I12" s="26">
        <v>59.49</v>
      </c>
      <c r="J12" s="26">
        <f t="shared" si="0"/>
        <v>57.18</v>
      </c>
      <c r="L12" s="26" t="b">
        <f t="shared" si="1"/>
        <v>1</v>
      </c>
      <c r="M12" s="26" t="b">
        <f t="shared" si="2"/>
        <v>1</v>
      </c>
      <c r="N12" s="26" t="s">
        <v>75</v>
      </c>
      <c r="O12" s="26" t="s">
        <v>3</v>
      </c>
      <c r="P12" s="26" t="s">
        <v>137</v>
      </c>
      <c r="Q12" s="26" t="s">
        <v>120</v>
      </c>
    </row>
    <row r="13" spans="1:17" x14ac:dyDescent="0.2">
      <c r="A13" s="64" t="s">
        <v>77</v>
      </c>
      <c r="B13" s="64" t="s">
        <v>3</v>
      </c>
      <c r="C13" s="65" t="s">
        <v>137</v>
      </c>
      <c r="D13" s="65" t="s">
        <v>120</v>
      </c>
      <c r="E13" s="26">
        <v>41.1</v>
      </c>
      <c r="F13" s="26">
        <v>54.58</v>
      </c>
      <c r="G13" s="26">
        <v>58.05</v>
      </c>
      <c r="H13" s="26">
        <v>62.120000000000005</v>
      </c>
      <c r="I13" s="26">
        <v>59.35</v>
      </c>
      <c r="J13" s="26">
        <f t="shared" si="0"/>
        <v>57.33</v>
      </c>
      <c r="L13" s="26" t="b">
        <f t="shared" si="1"/>
        <v>1</v>
      </c>
      <c r="M13" s="26" t="b">
        <f t="shared" si="2"/>
        <v>1</v>
      </c>
      <c r="N13" s="26" t="s">
        <v>77</v>
      </c>
      <c r="O13" s="26" t="s">
        <v>3</v>
      </c>
      <c r="P13" s="26" t="s">
        <v>137</v>
      </c>
      <c r="Q13" s="26" t="s">
        <v>120</v>
      </c>
    </row>
    <row r="14" spans="1:17" x14ac:dyDescent="0.2">
      <c r="A14" s="67" t="s">
        <v>78</v>
      </c>
      <c r="B14" s="68" t="s">
        <v>3</v>
      </c>
      <c r="C14" s="65" t="s">
        <v>137</v>
      </c>
      <c r="D14" s="65" t="s">
        <v>120</v>
      </c>
      <c r="E14" s="26">
        <v>46.74</v>
      </c>
      <c r="F14" s="26">
        <v>41.35</v>
      </c>
      <c r="G14" s="26">
        <v>66.16</v>
      </c>
      <c r="H14" s="26">
        <v>71.2</v>
      </c>
      <c r="I14" s="26">
        <v>63.85</v>
      </c>
      <c r="J14" s="26">
        <f t="shared" si="0"/>
        <v>58.92</v>
      </c>
      <c r="L14" s="26" t="b">
        <f t="shared" si="1"/>
        <v>1</v>
      </c>
      <c r="M14" s="26" t="b">
        <f t="shared" si="2"/>
        <v>1</v>
      </c>
      <c r="N14" s="26" t="s">
        <v>78</v>
      </c>
      <c r="O14" s="26" t="s">
        <v>3</v>
      </c>
      <c r="P14" s="26" t="s">
        <v>137</v>
      </c>
      <c r="Q14" s="26" t="s">
        <v>120</v>
      </c>
    </row>
    <row r="15" spans="1:17" x14ac:dyDescent="0.2">
      <c r="A15" s="64" t="s">
        <v>128</v>
      </c>
      <c r="B15" s="64" t="s">
        <v>3</v>
      </c>
      <c r="C15" s="65" t="s">
        <v>137</v>
      </c>
      <c r="D15" s="65" t="s">
        <v>120</v>
      </c>
      <c r="E15" s="26">
        <v>55.52</v>
      </c>
      <c r="F15" s="26">
        <v>53.89</v>
      </c>
      <c r="G15" s="26">
        <v>61.11</v>
      </c>
      <c r="H15" s="26">
        <v>65.800000000000011</v>
      </c>
      <c r="I15" s="26">
        <v>56.379999999999995</v>
      </c>
      <c r="J15" s="26">
        <f t="shared" si="0"/>
        <v>57.67</v>
      </c>
      <c r="L15" s="26" t="b">
        <f>+N15=A15</f>
        <v>0</v>
      </c>
      <c r="M15" s="26" t="b">
        <f t="shared" si="2"/>
        <v>1</v>
      </c>
      <c r="N15" s="26" t="s">
        <v>279</v>
      </c>
      <c r="O15" s="26" t="s">
        <v>3</v>
      </c>
      <c r="P15" s="26" t="s">
        <v>137</v>
      </c>
      <c r="Q15" s="26" t="s">
        <v>120</v>
      </c>
    </row>
    <row r="16" spans="1:17" x14ac:dyDescent="0.2">
      <c r="A16" s="64" t="s">
        <v>129</v>
      </c>
      <c r="B16" s="64" t="s">
        <v>3</v>
      </c>
      <c r="C16" s="65" t="s">
        <v>137</v>
      </c>
      <c r="D16" s="65" t="s">
        <v>120</v>
      </c>
      <c r="E16" s="26">
        <v>55.52</v>
      </c>
      <c r="F16" s="26">
        <v>53.89</v>
      </c>
      <c r="G16" s="26">
        <v>61.11</v>
      </c>
      <c r="H16" s="26">
        <v>65.800000000000011</v>
      </c>
      <c r="I16" s="26">
        <v>56.379999999999995</v>
      </c>
      <c r="J16" s="26">
        <f t="shared" si="0"/>
        <v>57.67</v>
      </c>
      <c r="L16" s="26" t="b">
        <f t="shared" si="1"/>
        <v>0</v>
      </c>
      <c r="M16" s="26" t="b">
        <f t="shared" si="2"/>
        <v>1</v>
      </c>
      <c r="N16" s="26" t="s">
        <v>280</v>
      </c>
      <c r="O16" s="26" t="s">
        <v>3</v>
      </c>
      <c r="P16" s="26" t="s">
        <v>137</v>
      </c>
      <c r="Q16" s="26" t="s">
        <v>120</v>
      </c>
    </row>
    <row r="17" spans="1:17" x14ac:dyDescent="0.2">
      <c r="A17" s="64" t="s">
        <v>86</v>
      </c>
      <c r="B17" s="64" t="s">
        <v>3</v>
      </c>
      <c r="C17" s="65" t="s">
        <v>137</v>
      </c>
      <c r="D17" s="65" t="s">
        <v>120</v>
      </c>
      <c r="E17" s="26">
        <v>57.46</v>
      </c>
      <c r="F17" s="26">
        <v>63.22</v>
      </c>
      <c r="G17" s="26">
        <v>60.66</v>
      </c>
      <c r="H17" s="26">
        <v>67.489999999999995</v>
      </c>
      <c r="I17" s="26">
        <v>59.580000000000005</v>
      </c>
      <c r="J17" s="26">
        <f t="shared" si="0"/>
        <v>61.15</v>
      </c>
      <c r="L17" s="26" t="b">
        <f t="shared" si="1"/>
        <v>1</v>
      </c>
      <c r="M17" s="26" t="b">
        <f t="shared" si="2"/>
        <v>1</v>
      </c>
      <c r="N17" s="26" t="s">
        <v>86</v>
      </c>
      <c r="O17" s="26" t="s">
        <v>3</v>
      </c>
      <c r="P17" s="26" t="s">
        <v>137</v>
      </c>
      <c r="Q17" s="26" t="s">
        <v>120</v>
      </c>
    </row>
    <row r="18" spans="1:17" x14ac:dyDescent="0.2">
      <c r="A18" s="64" t="s">
        <v>87</v>
      </c>
      <c r="B18" s="64" t="s">
        <v>3</v>
      </c>
      <c r="C18" s="65" t="s">
        <v>137</v>
      </c>
      <c r="D18" s="65" t="s">
        <v>120</v>
      </c>
      <c r="E18" s="26">
        <v>59.72</v>
      </c>
      <c r="F18" s="26">
        <v>56.17</v>
      </c>
      <c r="G18" s="26">
        <v>56.68</v>
      </c>
      <c r="H18" s="26">
        <v>64.52</v>
      </c>
      <c r="I18" s="26">
        <v>70.989999999999995</v>
      </c>
      <c r="J18" s="26">
        <f t="shared" si="0"/>
        <v>60.31</v>
      </c>
      <c r="L18" s="26" t="b">
        <f t="shared" si="1"/>
        <v>1</v>
      </c>
      <c r="M18" s="26" t="b">
        <f t="shared" si="2"/>
        <v>1</v>
      </c>
      <c r="N18" s="26" t="s">
        <v>87</v>
      </c>
      <c r="O18" s="26" t="s">
        <v>3</v>
      </c>
      <c r="P18" s="26" t="s">
        <v>137</v>
      </c>
      <c r="Q18" s="26" t="s">
        <v>120</v>
      </c>
    </row>
    <row r="19" spans="1:17" x14ac:dyDescent="0.2">
      <c r="A19" s="64" t="s">
        <v>99</v>
      </c>
      <c r="B19" s="64" t="s">
        <v>3</v>
      </c>
      <c r="C19" s="65" t="s">
        <v>137</v>
      </c>
      <c r="D19" s="65" t="s">
        <v>120</v>
      </c>
      <c r="E19" s="26">
        <v>57.96</v>
      </c>
      <c r="F19" s="26">
        <v>58.940000000000005</v>
      </c>
      <c r="G19" s="26">
        <v>61.379999999999995</v>
      </c>
      <c r="H19" s="26">
        <v>69.12</v>
      </c>
      <c r="I19" s="26">
        <v>54.8</v>
      </c>
      <c r="J19" s="26">
        <f t="shared" si="0"/>
        <v>59.43</v>
      </c>
      <c r="L19" s="26" t="b">
        <f t="shared" si="1"/>
        <v>1</v>
      </c>
      <c r="M19" s="26" t="b">
        <f t="shared" si="2"/>
        <v>1</v>
      </c>
      <c r="N19" s="26" t="s">
        <v>99</v>
      </c>
      <c r="O19" s="26" t="s">
        <v>3</v>
      </c>
      <c r="P19" s="26" t="s">
        <v>137</v>
      </c>
      <c r="Q19" s="26" t="s">
        <v>120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rgb="FFFFC000"/>
    <pageSetUpPr fitToPage="1"/>
  </sheetPr>
  <dimension ref="A1:Z7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7109375" defaultRowHeight="14.25" x14ac:dyDescent="0.2"/>
  <cols>
    <col min="1" max="1" width="11.42578125" style="3" customWidth="1"/>
    <col min="2" max="2" width="15" style="3" bestFit="1" customWidth="1"/>
    <col min="3" max="3" width="7.28515625" style="3" customWidth="1"/>
    <col min="4" max="4" width="8" style="3" bestFit="1" customWidth="1"/>
    <col min="5" max="5" width="9.28515625" style="3" customWidth="1"/>
    <col min="6" max="6" width="9.5703125" style="3" customWidth="1"/>
    <col min="7" max="8" width="9.7109375" style="3" customWidth="1"/>
    <col min="9" max="10" width="8.28515625" style="3" customWidth="1"/>
    <col min="11" max="11" width="7.28515625" style="3" customWidth="1"/>
    <col min="12" max="12" width="8" style="3" bestFit="1" customWidth="1"/>
    <col min="13" max="13" width="7.28515625" style="3" customWidth="1"/>
    <col min="14" max="14" width="8" style="3" bestFit="1" customWidth="1"/>
    <col min="15" max="16" width="9" style="3" customWidth="1"/>
    <col min="17" max="17" width="9.42578125" style="3" bestFit="1" customWidth="1"/>
    <col min="18" max="18" width="27.7109375" style="3" customWidth="1"/>
    <col min="19" max="19" width="8.7109375" style="3"/>
    <col min="20" max="20" width="9.7109375" style="3" customWidth="1"/>
    <col min="21" max="16384" width="8.7109375" style="3"/>
  </cols>
  <sheetData>
    <row r="1" spans="1:26" s="352" customFormat="1" ht="30" customHeight="1" thickBot="1" x14ac:dyDescent="0.35">
      <c r="A1" s="346" t="s">
        <v>305</v>
      </c>
    </row>
    <row r="2" spans="1:26" s="1" customFormat="1" ht="15.75" thickTop="1" x14ac:dyDescent="0.25">
      <c r="A2" s="113" t="s">
        <v>103</v>
      </c>
      <c r="R2" s="40"/>
      <c r="S2" s="40"/>
      <c r="T2" s="40"/>
      <c r="U2" s="40"/>
      <c r="V2" s="40"/>
      <c r="W2" s="40"/>
      <c r="X2" s="40"/>
      <c r="Y2" s="40"/>
      <c r="Z2" s="40"/>
    </row>
    <row r="3" spans="1:26" s="2" customFormat="1" ht="12.75" customHeight="1" x14ac:dyDescent="0.2">
      <c r="A3" s="356" t="s">
        <v>287</v>
      </c>
      <c r="B3" s="356"/>
      <c r="C3" s="356"/>
      <c r="D3" s="356"/>
      <c r="E3" s="356"/>
      <c r="F3" s="356"/>
      <c r="G3" s="356"/>
      <c r="H3" s="356"/>
      <c r="I3" s="356"/>
      <c r="J3" s="132"/>
      <c r="K3" s="132"/>
      <c r="L3" s="132"/>
      <c r="M3" s="132"/>
      <c r="N3" s="132"/>
      <c r="O3" s="132"/>
      <c r="P3" s="132"/>
      <c r="Q3" s="43"/>
      <c r="R3" s="55" t="s">
        <v>113</v>
      </c>
      <c r="S3" s="161">
        <f>+'Payment by County - Non Irr.'!H37</f>
        <v>4.8499999999999996</v>
      </c>
      <c r="T3" s="162">
        <f>'Payment by County - Non Irr.'!Q37</f>
        <v>11.12</v>
      </c>
      <c r="U3" s="60">
        <v>0.85</v>
      </c>
      <c r="V3" s="43"/>
      <c r="W3" s="43"/>
      <c r="X3" s="43"/>
      <c r="Y3" s="43"/>
      <c r="Z3" s="43"/>
    </row>
    <row r="4" spans="1:26" s="2" customFormat="1" ht="12.75" customHeight="1" x14ac:dyDescent="0.2">
      <c r="A4" s="58"/>
      <c r="B4" s="38"/>
      <c r="C4" s="38"/>
      <c r="D4" s="38"/>
      <c r="I4" s="38"/>
      <c r="J4" s="38"/>
      <c r="K4" s="38"/>
      <c r="L4" s="38"/>
      <c r="O4" s="360">
        <f>'Payment by County - Non Irr.'!A81</f>
        <v>45341</v>
      </c>
      <c r="P4" s="360"/>
      <c r="Q4" s="62"/>
      <c r="R4" s="55" t="s">
        <v>114</v>
      </c>
      <c r="S4" s="163">
        <f>'Payment by County - Non Irr.'!H49</f>
        <v>4.4000000000000004</v>
      </c>
      <c r="T4" s="164">
        <f>'Payment by County - Non Irr.'!Q49</f>
        <v>11.3</v>
      </c>
      <c r="U4" s="61">
        <f>1-0.068</f>
        <v>0.93199999999999994</v>
      </c>
      <c r="V4" s="43"/>
      <c r="W4" s="43"/>
      <c r="X4" s="43"/>
      <c r="Y4" s="43"/>
      <c r="Z4" s="43"/>
    </row>
    <row r="5" spans="1:26" ht="25.5" customHeight="1" x14ac:dyDescent="0.2">
      <c r="A5" s="391" t="s">
        <v>133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3"/>
      <c r="Q5" s="63"/>
      <c r="X5" s="43"/>
    </row>
    <row r="6" spans="1:26" s="4" customFormat="1" ht="54" customHeight="1" x14ac:dyDescent="0.25">
      <c r="A6" s="59" t="s">
        <v>0</v>
      </c>
      <c r="B6" s="59" t="s">
        <v>1</v>
      </c>
      <c r="C6" s="384" t="s">
        <v>347</v>
      </c>
      <c r="D6" s="384"/>
      <c r="E6" s="384" t="s">
        <v>358</v>
      </c>
      <c r="F6" s="384"/>
      <c r="G6" s="384" t="s">
        <v>359</v>
      </c>
      <c r="H6" s="384"/>
      <c r="I6" s="384" t="s">
        <v>360</v>
      </c>
      <c r="J6" s="384"/>
      <c r="K6" s="384" t="s">
        <v>345</v>
      </c>
      <c r="L6" s="384"/>
      <c r="M6" s="385" t="s">
        <v>357</v>
      </c>
      <c r="N6" s="386"/>
      <c r="O6" s="387" t="s">
        <v>346</v>
      </c>
      <c r="P6" s="388"/>
      <c r="Q6" s="39"/>
      <c r="R6" s="54"/>
      <c r="S6" s="37">
        <v>0.85</v>
      </c>
      <c r="T6" s="36"/>
      <c r="U6" s="39"/>
      <c r="V6" s="39"/>
      <c r="W6" s="39"/>
      <c r="X6" s="43"/>
      <c r="Y6" s="39"/>
      <c r="Z6" s="39"/>
    </row>
    <row r="7" spans="1:26" x14ac:dyDescent="0.2">
      <c r="A7" s="5"/>
      <c r="B7" s="5"/>
      <c r="C7" s="22" t="s">
        <v>2</v>
      </c>
      <c r="D7" s="23" t="s">
        <v>3</v>
      </c>
      <c r="E7" s="22" t="s">
        <v>2</v>
      </c>
      <c r="F7" s="23" t="s">
        <v>3</v>
      </c>
      <c r="G7" s="22" t="s">
        <v>2</v>
      </c>
      <c r="H7" s="23" t="s">
        <v>3</v>
      </c>
      <c r="I7" s="22" t="s">
        <v>2</v>
      </c>
      <c r="J7" s="23" t="s">
        <v>3</v>
      </c>
      <c r="K7" s="22" t="s">
        <v>2</v>
      </c>
      <c r="L7" s="23" t="s">
        <v>3</v>
      </c>
      <c r="M7" s="22" t="s">
        <v>2</v>
      </c>
      <c r="N7" s="23" t="s">
        <v>3</v>
      </c>
      <c r="O7" s="22" t="s">
        <v>2</v>
      </c>
      <c r="P7" s="23" t="s">
        <v>3</v>
      </c>
      <c r="Q7" s="40"/>
      <c r="R7" s="54"/>
      <c r="S7" s="44">
        <f>1-0.057</f>
        <v>0.94299999999999995</v>
      </c>
      <c r="T7" s="36"/>
      <c r="U7" s="40"/>
      <c r="V7" s="40"/>
      <c r="W7" s="40"/>
      <c r="X7" s="43"/>
      <c r="Y7" s="40"/>
      <c r="Z7" s="40"/>
    </row>
    <row r="8" spans="1:26" x14ac:dyDescent="0.2">
      <c r="A8" s="184">
        <v>9</v>
      </c>
      <c r="B8" s="185" t="s">
        <v>32</v>
      </c>
      <c r="C8" s="126">
        <f>IFERROR(VLOOKUP(B8,'corn yields Irrigated'!$A$4:$J$26,10,0),"n/a")</f>
        <v>221.61</v>
      </c>
      <c r="D8" s="127">
        <f>IFERROR(VLOOKUP(B8,'soybean yields Irrigated'!$A$4:$J$19,10,0),"n/a")</f>
        <v>71.52</v>
      </c>
      <c r="E8" s="189">
        <f>IFERROR(C8*$S$3,"n/a")</f>
        <v>1074.8085000000001</v>
      </c>
      <c r="F8" s="190">
        <f t="shared" ref="F8:F31" si="0">IFERROR(D8*$T$3,"n/a")</f>
        <v>795.30239999999992</v>
      </c>
      <c r="G8" s="193">
        <f>IFERROR(E8*0.86,"n/a")</f>
        <v>924.33531000000005</v>
      </c>
      <c r="H8" s="194">
        <f>IFERROR(F8*0.86,"n/a")</f>
        <v>683.96006399999987</v>
      </c>
      <c r="I8" s="193">
        <f>IFERROR(E8*0.1,"n/a")</f>
        <v>107.48085000000002</v>
      </c>
      <c r="J8" s="194">
        <f>IFERROR(F8*0.1,"n/a")</f>
        <v>79.530239999999992</v>
      </c>
      <c r="K8" s="102" t="s">
        <v>145</v>
      </c>
      <c r="L8" s="103" t="s">
        <v>145</v>
      </c>
      <c r="M8" s="102" t="str">
        <f t="shared" ref="M8" si="1">IF(K8="n/a","n/a",IFERROR(K8*$S$4,""))</f>
        <v>n/a</v>
      </c>
      <c r="N8" s="103" t="str">
        <f t="shared" ref="N8" si="2">IF(L8="n/a","n/a",IFERROR(L8*$T$4,""))</f>
        <v>n/a</v>
      </c>
      <c r="O8" s="102" t="str">
        <f t="shared" ref="O8:P8" si="3">IF(K8="n/a","n/a",(IF((M8-G8)&lt;0,IF(-(M8-G8)&lt;I8,-(M8-G8)*$S$5,I8*$S$5),0))*$S$6)</f>
        <v>n/a</v>
      </c>
      <c r="P8" s="103" t="str">
        <f t="shared" si="3"/>
        <v>n/a</v>
      </c>
      <c r="Q8" s="40"/>
      <c r="R8" s="54"/>
      <c r="T8" s="80"/>
      <c r="U8" s="80"/>
      <c r="X8" s="43"/>
    </row>
    <row r="9" spans="1:26" x14ac:dyDescent="0.2">
      <c r="A9" s="186">
        <v>1</v>
      </c>
      <c r="B9" s="187" t="s">
        <v>33</v>
      </c>
      <c r="C9" s="128">
        <f>IFERROR(VLOOKUP(B9,'corn yields Irrigated'!$A$4:$J$26,10,0),"n/a")</f>
        <v>200.37</v>
      </c>
      <c r="D9" s="129" t="str">
        <f>IFERROR(VLOOKUP(B9,'soybean yields Irrigated'!$A$4:$J$19,10,0),"n/a")</f>
        <v>n/a</v>
      </c>
      <c r="E9" s="191">
        <f>IFERROR(C9*$S$3,"n/a")</f>
        <v>971.79449999999997</v>
      </c>
      <c r="F9" s="192" t="str">
        <f t="shared" si="0"/>
        <v>n/a</v>
      </c>
      <c r="G9" s="195">
        <f t="shared" ref="G9:G32" si="4">IFERROR(E9*0.86,"n/a")</f>
        <v>835.74326999999994</v>
      </c>
      <c r="H9" s="196" t="str">
        <f t="shared" ref="H9:H32" si="5">IFERROR(F9*0.86,"n/a")</f>
        <v>n/a</v>
      </c>
      <c r="I9" s="195">
        <f t="shared" ref="I9:I32" si="6">IFERROR(E9*0.1,"n/a")</f>
        <v>97.179450000000003</v>
      </c>
      <c r="J9" s="196" t="str">
        <f t="shared" ref="J9:J32" si="7">IFERROR(F9*0.1,"n/a")</f>
        <v>n/a</v>
      </c>
      <c r="K9" s="100" t="s">
        <v>145</v>
      </c>
      <c r="L9" s="101" t="s">
        <v>145</v>
      </c>
      <c r="M9" s="100" t="str">
        <f t="shared" ref="M9:M31" si="8">IF(K9="n/a","n/a",IFERROR(K9*$S$4,""))</f>
        <v>n/a</v>
      </c>
      <c r="N9" s="101" t="str">
        <f t="shared" ref="N9:N31" si="9">IF(L9="n/a","n/a",IFERROR(L9*$T$4,""))</f>
        <v>n/a</v>
      </c>
      <c r="O9" s="100" t="str">
        <f t="shared" ref="O9:O31" si="10">IF(K9="n/a","n/a",(IF((M9-G9)&lt;0,IF(-(M9-G9)&lt;I9,-(M9-G9)*$S$5,I9*$S$5),0))*$S$6)</f>
        <v>n/a</v>
      </c>
      <c r="P9" s="101" t="str">
        <f t="shared" ref="P9:P31" si="11">IF(L9="n/a","n/a",(IF((N9-H9)&lt;0,IF(-(N9-H9)&lt;J9,-(N9-H9)*$S$5,J9*$S$5),0))*$S$6)</f>
        <v>n/a</v>
      </c>
      <c r="Q9" s="40"/>
      <c r="R9" s="54"/>
      <c r="T9" s="80"/>
      <c r="U9" s="80"/>
      <c r="X9" s="43"/>
    </row>
    <row r="10" spans="1:26" x14ac:dyDescent="0.2">
      <c r="A10" s="184">
        <v>3</v>
      </c>
      <c r="B10" s="185" t="s">
        <v>36</v>
      </c>
      <c r="C10" s="126">
        <f>IFERROR(VLOOKUP(B10,'corn yields Irrigated'!$A$4:$J$26,10,0),"n/a")</f>
        <v>227.03</v>
      </c>
      <c r="D10" s="127" t="str">
        <f>IFERROR(VLOOKUP(B10,'soybean yields Irrigated'!$A$4:$J$19,10,0),"n/a")</f>
        <v>n/a</v>
      </c>
      <c r="E10" s="189">
        <f t="shared" ref="E10:E30" si="12">IFERROR(C10*$S$3,"n/a")</f>
        <v>1101.0954999999999</v>
      </c>
      <c r="F10" s="190" t="str">
        <f t="shared" si="0"/>
        <v>n/a</v>
      </c>
      <c r="G10" s="193">
        <f t="shared" si="4"/>
        <v>946.94212999999991</v>
      </c>
      <c r="H10" s="194" t="str">
        <f t="shared" si="5"/>
        <v>n/a</v>
      </c>
      <c r="I10" s="193">
        <f t="shared" si="6"/>
        <v>110.10955</v>
      </c>
      <c r="J10" s="194" t="str">
        <f t="shared" si="7"/>
        <v>n/a</v>
      </c>
      <c r="K10" s="102" t="s">
        <v>145</v>
      </c>
      <c r="L10" s="103" t="s">
        <v>145</v>
      </c>
      <c r="M10" s="102" t="str">
        <f t="shared" si="8"/>
        <v>n/a</v>
      </c>
      <c r="N10" s="103" t="str">
        <f t="shared" si="9"/>
        <v>n/a</v>
      </c>
      <c r="O10" s="102" t="str">
        <f t="shared" si="10"/>
        <v>n/a</v>
      </c>
      <c r="P10" s="103" t="str">
        <f t="shared" si="11"/>
        <v>n/a</v>
      </c>
      <c r="Q10" s="40"/>
      <c r="R10" s="54"/>
      <c r="T10" s="80"/>
      <c r="U10" s="80"/>
      <c r="X10" s="43"/>
    </row>
    <row r="11" spans="1:26" x14ac:dyDescent="0.2">
      <c r="A11" s="186">
        <v>2</v>
      </c>
      <c r="B11" s="187" t="s">
        <v>37</v>
      </c>
      <c r="C11" s="128">
        <f>IFERROR(VLOOKUP(B11,'corn yields Irrigated'!$A$4:$J$26,10,0),"n/a")</f>
        <v>223.36</v>
      </c>
      <c r="D11" s="129" t="str">
        <f>IFERROR(VLOOKUP(B11,'soybean yields Irrigated'!$A$4:$J$19,10,0),"n/a")</f>
        <v>n/a</v>
      </c>
      <c r="E11" s="191">
        <f t="shared" si="12"/>
        <v>1083.296</v>
      </c>
      <c r="F11" s="192" t="str">
        <f t="shared" si="0"/>
        <v>n/a</v>
      </c>
      <c r="G11" s="195">
        <f t="shared" si="4"/>
        <v>931.63456000000008</v>
      </c>
      <c r="H11" s="196" t="str">
        <f t="shared" si="5"/>
        <v>n/a</v>
      </c>
      <c r="I11" s="195">
        <f t="shared" si="6"/>
        <v>108.32960000000001</v>
      </c>
      <c r="J11" s="196" t="str">
        <f t="shared" si="7"/>
        <v>n/a</v>
      </c>
      <c r="K11" s="100" t="s">
        <v>145</v>
      </c>
      <c r="L11" s="101" t="s">
        <v>145</v>
      </c>
      <c r="M11" s="100" t="str">
        <f t="shared" si="8"/>
        <v>n/a</v>
      </c>
      <c r="N11" s="101" t="str">
        <f t="shared" si="9"/>
        <v>n/a</v>
      </c>
      <c r="O11" s="100" t="str">
        <f t="shared" si="10"/>
        <v>n/a</v>
      </c>
      <c r="P11" s="101" t="str">
        <f t="shared" si="11"/>
        <v>n/a</v>
      </c>
      <c r="Q11" s="40"/>
      <c r="R11" s="54"/>
      <c r="T11" s="80"/>
      <c r="U11" s="80"/>
      <c r="X11" s="43"/>
    </row>
    <row r="12" spans="1:26" x14ac:dyDescent="0.2">
      <c r="A12" s="184">
        <v>7</v>
      </c>
      <c r="B12" s="185" t="s">
        <v>39</v>
      </c>
      <c r="C12" s="126">
        <f>IFERROR(VLOOKUP(B12,'corn yields Irrigated'!$A$4:$J$26,10,0),"n/a")</f>
        <v>227.57</v>
      </c>
      <c r="D12" s="127">
        <f>IFERROR(VLOOKUP(B12,'soybean yields Irrigated'!$A$4:$J$19,10,0),"n/a")</f>
        <v>66.47</v>
      </c>
      <c r="E12" s="189">
        <f t="shared" si="12"/>
        <v>1103.7144999999998</v>
      </c>
      <c r="F12" s="190">
        <f t="shared" si="0"/>
        <v>739.14639999999997</v>
      </c>
      <c r="G12" s="193">
        <f t="shared" si="4"/>
        <v>949.1944699999998</v>
      </c>
      <c r="H12" s="194">
        <f t="shared" si="5"/>
        <v>635.66590399999995</v>
      </c>
      <c r="I12" s="193">
        <f t="shared" si="6"/>
        <v>110.37144999999998</v>
      </c>
      <c r="J12" s="194">
        <f t="shared" si="7"/>
        <v>73.914640000000006</v>
      </c>
      <c r="K12" s="102" t="s">
        <v>145</v>
      </c>
      <c r="L12" s="103" t="s">
        <v>145</v>
      </c>
      <c r="M12" s="102" t="str">
        <f t="shared" si="8"/>
        <v>n/a</v>
      </c>
      <c r="N12" s="103" t="str">
        <f t="shared" si="9"/>
        <v>n/a</v>
      </c>
      <c r="O12" s="102" t="str">
        <f t="shared" si="10"/>
        <v>n/a</v>
      </c>
      <c r="P12" s="103" t="str">
        <f t="shared" si="11"/>
        <v>n/a</v>
      </c>
      <c r="Q12" s="40"/>
      <c r="R12" s="54"/>
      <c r="T12" s="80"/>
      <c r="U12" s="80"/>
      <c r="X12" s="43"/>
    </row>
    <row r="13" spans="1:26" x14ac:dyDescent="0.2">
      <c r="A13" s="186">
        <v>2</v>
      </c>
      <c r="B13" s="187" t="s">
        <v>44</v>
      </c>
      <c r="C13" s="128">
        <f>IFERROR(VLOOKUP(B13,'corn yields Irrigated'!$A$4:$J$26,10,0),"n/a")</f>
        <v>224.94</v>
      </c>
      <c r="D13" s="129">
        <f>IFERROR(VLOOKUP(B13,'soybean yields Irrigated'!$A$4:$J$19,10,0),"n/a")</f>
        <v>61.69</v>
      </c>
      <c r="E13" s="191">
        <f t="shared" si="12"/>
        <v>1090.9589999999998</v>
      </c>
      <c r="F13" s="192">
        <f t="shared" si="0"/>
        <v>685.99279999999987</v>
      </c>
      <c r="G13" s="195">
        <f t="shared" si="4"/>
        <v>938.22473999999988</v>
      </c>
      <c r="H13" s="196">
        <f t="shared" si="5"/>
        <v>589.95380799999987</v>
      </c>
      <c r="I13" s="195">
        <f t="shared" si="6"/>
        <v>109.09589999999999</v>
      </c>
      <c r="J13" s="196">
        <f t="shared" si="7"/>
        <v>68.599279999999993</v>
      </c>
      <c r="K13" s="100" t="s">
        <v>145</v>
      </c>
      <c r="L13" s="101" t="s">
        <v>145</v>
      </c>
      <c r="M13" s="100" t="str">
        <f t="shared" si="8"/>
        <v>n/a</v>
      </c>
      <c r="N13" s="101" t="str">
        <f t="shared" si="9"/>
        <v>n/a</v>
      </c>
      <c r="O13" s="100" t="str">
        <f t="shared" si="10"/>
        <v>n/a</v>
      </c>
      <c r="P13" s="101" t="str">
        <f t="shared" si="11"/>
        <v>n/a</v>
      </c>
      <c r="Q13" s="40"/>
      <c r="R13" s="54"/>
      <c r="T13" s="80"/>
      <c r="U13" s="80"/>
      <c r="X13" s="43"/>
    </row>
    <row r="14" spans="1:26" x14ac:dyDescent="0.2">
      <c r="A14" s="184">
        <v>4</v>
      </c>
      <c r="B14" s="185" t="s">
        <v>46</v>
      </c>
      <c r="C14" s="126">
        <f>IFERROR(VLOOKUP(B14,'corn yields Irrigated'!$A$4:$J$26,10,0),"n/a")</f>
        <v>198.28</v>
      </c>
      <c r="D14" s="127">
        <f>IFERROR(VLOOKUP(B14,'soybean yields Irrigated'!$A$4:$J$19,10,0),"n/a")</f>
        <v>54.72</v>
      </c>
      <c r="E14" s="189">
        <f t="shared" si="12"/>
        <v>961.6579999999999</v>
      </c>
      <c r="F14" s="190">
        <f t="shared" si="0"/>
        <v>608.48639999999989</v>
      </c>
      <c r="G14" s="193">
        <f t="shared" si="4"/>
        <v>827.02587999999992</v>
      </c>
      <c r="H14" s="194">
        <f t="shared" si="5"/>
        <v>523.29830399999992</v>
      </c>
      <c r="I14" s="193">
        <f t="shared" si="6"/>
        <v>96.16579999999999</v>
      </c>
      <c r="J14" s="194">
        <f t="shared" si="7"/>
        <v>60.848639999999989</v>
      </c>
      <c r="K14" s="102" t="s">
        <v>145</v>
      </c>
      <c r="L14" s="103" t="s">
        <v>145</v>
      </c>
      <c r="M14" s="102" t="str">
        <f t="shared" si="8"/>
        <v>n/a</v>
      </c>
      <c r="N14" s="103" t="str">
        <f t="shared" si="9"/>
        <v>n/a</v>
      </c>
      <c r="O14" s="102" t="str">
        <f t="shared" si="10"/>
        <v>n/a</v>
      </c>
      <c r="P14" s="103" t="str">
        <f t="shared" si="11"/>
        <v>n/a</v>
      </c>
      <c r="Q14" s="40"/>
      <c r="R14" s="54"/>
      <c r="T14" s="80"/>
      <c r="U14" s="80"/>
      <c r="X14" s="43"/>
    </row>
    <row r="15" spans="1:26" x14ac:dyDescent="0.2">
      <c r="A15" s="186">
        <v>2</v>
      </c>
      <c r="B15" s="187" t="s">
        <v>58</v>
      </c>
      <c r="C15" s="128">
        <f>IFERROR(VLOOKUP(B15,'corn yields Irrigated'!$A$4:$J$26,10,0),"n/a")</f>
        <v>221.65</v>
      </c>
      <c r="D15" s="129" t="str">
        <f>IFERROR(VLOOKUP(B15,'soybean yields Irrigated'!$A$4:$J$19,10,0),"n/a")</f>
        <v>n/a</v>
      </c>
      <c r="E15" s="191">
        <f t="shared" si="12"/>
        <v>1075.0025000000001</v>
      </c>
      <c r="F15" s="192" t="str">
        <f t="shared" si="0"/>
        <v>n/a</v>
      </c>
      <c r="G15" s="195">
        <f t="shared" si="4"/>
        <v>924.50215000000003</v>
      </c>
      <c r="H15" s="196" t="str">
        <f t="shared" si="5"/>
        <v>n/a</v>
      </c>
      <c r="I15" s="195">
        <f t="shared" si="6"/>
        <v>107.50025000000001</v>
      </c>
      <c r="J15" s="196" t="str">
        <f t="shared" si="7"/>
        <v>n/a</v>
      </c>
      <c r="K15" s="100" t="s">
        <v>145</v>
      </c>
      <c r="L15" s="101" t="s">
        <v>145</v>
      </c>
      <c r="M15" s="100" t="str">
        <f t="shared" si="8"/>
        <v>n/a</v>
      </c>
      <c r="N15" s="101" t="str">
        <f t="shared" si="9"/>
        <v>n/a</v>
      </c>
      <c r="O15" s="100" t="str">
        <f t="shared" si="10"/>
        <v>n/a</v>
      </c>
      <c r="P15" s="101" t="str">
        <f t="shared" si="11"/>
        <v>n/a</v>
      </c>
      <c r="Q15" s="40"/>
      <c r="R15" s="54"/>
      <c r="T15" s="80"/>
      <c r="U15" s="80"/>
      <c r="X15" s="43"/>
    </row>
    <row r="16" spans="1:26" x14ac:dyDescent="0.2">
      <c r="A16" s="184">
        <v>9</v>
      </c>
      <c r="B16" s="185" t="s">
        <v>59</v>
      </c>
      <c r="C16" s="126">
        <f>IFERROR(VLOOKUP(B16,'corn yields Irrigated'!$A$4:$J$26,10,0),"n/a")</f>
        <v>215.11</v>
      </c>
      <c r="D16" s="127" t="str">
        <f>IFERROR(VLOOKUP(B16,'soybean yields Irrigated'!$A$4:$J$19,10,0),"n/a")</f>
        <v>n/a</v>
      </c>
      <c r="E16" s="189">
        <f t="shared" si="12"/>
        <v>1043.2835</v>
      </c>
      <c r="F16" s="190" t="str">
        <f t="shared" si="0"/>
        <v>n/a</v>
      </c>
      <c r="G16" s="193">
        <f t="shared" si="4"/>
        <v>897.22380999999996</v>
      </c>
      <c r="H16" s="194" t="str">
        <f t="shared" si="5"/>
        <v>n/a</v>
      </c>
      <c r="I16" s="193">
        <f t="shared" si="6"/>
        <v>104.32835</v>
      </c>
      <c r="J16" s="194" t="str">
        <f t="shared" si="7"/>
        <v>n/a</v>
      </c>
      <c r="K16" s="102" t="s">
        <v>145</v>
      </c>
      <c r="L16" s="103" t="s">
        <v>145</v>
      </c>
      <c r="M16" s="102" t="str">
        <f t="shared" si="8"/>
        <v>n/a</v>
      </c>
      <c r="N16" s="103" t="str">
        <f t="shared" si="9"/>
        <v>n/a</v>
      </c>
      <c r="O16" s="102" t="str">
        <f t="shared" si="10"/>
        <v>n/a</v>
      </c>
      <c r="P16" s="103" t="str">
        <f t="shared" si="11"/>
        <v>n/a</v>
      </c>
      <c r="Q16" s="40"/>
      <c r="R16" s="54"/>
      <c r="T16" s="80"/>
      <c r="U16" s="80"/>
      <c r="X16" s="43"/>
    </row>
    <row r="17" spans="1:24" x14ac:dyDescent="0.2">
      <c r="A17" s="186">
        <v>9</v>
      </c>
      <c r="B17" s="187" t="s">
        <v>61</v>
      </c>
      <c r="C17" s="128">
        <f>IFERROR(VLOOKUP(B17,'corn yields Irrigated'!$A$4:$J$26,10,0),"n/a")</f>
        <v>211.82</v>
      </c>
      <c r="D17" s="129">
        <f>IFERROR(VLOOKUP(B17,'soybean yields Irrigated'!$A$4:$J$19,10,0),"n/a")</f>
        <v>59.42</v>
      </c>
      <c r="E17" s="191">
        <f t="shared" si="12"/>
        <v>1027.327</v>
      </c>
      <c r="F17" s="192">
        <f t="shared" si="0"/>
        <v>660.75040000000001</v>
      </c>
      <c r="G17" s="195">
        <f t="shared" si="4"/>
        <v>883.50121999999999</v>
      </c>
      <c r="H17" s="196">
        <f t="shared" si="5"/>
        <v>568.24534400000005</v>
      </c>
      <c r="I17" s="195">
        <f t="shared" si="6"/>
        <v>102.73270000000001</v>
      </c>
      <c r="J17" s="196">
        <f t="shared" si="7"/>
        <v>66.075040000000001</v>
      </c>
      <c r="K17" s="100" t="s">
        <v>145</v>
      </c>
      <c r="L17" s="130" t="s">
        <v>145</v>
      </c>
      <c r="M17" s="131" t="str">
        <f t="shared" si="8"/>
        <v>n/a</v>
      </c>
      <c r="N17" s="130" t="str">
        <f t="shared" si="9"/>
        <v>n/a</v>
      </c>
      <c r="O17" s="131" t="str">
        <f t="shared" si="10"/>
        <v>n/a</v>
      </c>
      <c r="P17" s="130" t="str">
        <f t="shared" si="11"/>
        <v>n/a</v>
      </c>
      <c r="Q17" s="40"/>
      <c r="R17" s="54"/>
      <c r="T17" s="80"/>
      <c r="U17" s="80"/>
      <c r="X17" s="43"/>
    </row>
    <row r="18" spans="1:24" x14ac:dyDescent="0.2">
      <c r="A18" s="184">
        <v>1</v>
      </c>
      <c r="B18" s="185" t="s">
        <v>63</v>
      </c>
      <c r="C18" s="126">
        <f>IFERROR(VLOOKUP(B18,'corn yields Irrigated'!$A$4:$J$26,10,0),"n/a")</f>
        <v>221.57</v>
      </c>
      <c r="D18" s="127" t="str">
        <f>IFERROR(VLOOKUP(B18,'soybean yields Irrigated'!$A$4:$J$19,10,0),"n/a")</f>
        <v>n/a</v>
      </c>
      <c r="E18" s="189">
        <f t="shared" si="12"/>
        <v>1074.6144999999999</v>
      </c>
      <c r="F18" s="190" t="str">
        <f t="shared" si="0"/>
        <v>n/a</v>
      </c>
      <c r="G18" s="193">
        <f t="shared" si="4"/>
        <v>924.16846999999996</v>
      </c>
      <c r="H18" s="194" t="str">
        <f t="shared" si="5"/>
        <v>n/a</v>
      </c>
      <c r="I18" s="193">
        <f t="shared" si="6"/>
        <v>107.46145</v>
      </c>
      <c r="J18" s="194" t="str">
        <f t="shared" si="7"/>
        <v>n/a</v>
      </c>
      <c r="K18" s="102" t="s">
        <v>145</v>
      </c>
      <c r="L18" s="103" t="s">
        <v>145</v>
      </c>
      <c r="M18" s="102" t="str">
        <f t="shared" si="8"/>
        <v>n/a</v>
      </c>
      <c r="N18" s="103" t="str">
        <f t="shared" si="9"/>
        <v>n/a</v>
      </c>
      <c r="O18" s="102" t="str">
        <f t="shared" si="10"/>
        <v>n/a</v>
      </c>
      <c r="P18" s="103" t="str">
        <f t="shared" si="11"/>
        <v>n/a</v>
      </c>
      <c r="Q18" s="40"/>
      <c r="R18" s="54"/>
      <c r="T18" s="80"/>
      <c r="U18" s="80"/>
      <c r="X18" s="43"/>
    </row>
    <row r="19" spans="1:24" x14ac:dyDescent="0.2">
      <c r="A19" s="186">
        <v>7</v>
      </c>
      <c r="B19" s="187" t="s">
        <v>68</v>
      </c>
      <c r="C19" s="128">
        <f>IFERROR(VLOOKUP(B19,'corn yields Irrigated'!$A$4:$J$26,10,0),"n/a")</f>
        <v>223.27</v>
      </c>
      <c r="D19" s="129">
        <f>IFERROR(VLOOKUP(B19,'soybean yields Irrigated'!$A$4:$J$19,10,0),"n/a")</f>
        <v>61.69</v>
      </c>
      <c r="E19" s="191">
        <f t="shared" si="12"/>
        <v>1082.8595</v>
      </c>
      <c r="F19" s="192">
        <f t="shared" si="0"/>
        <v>685.99279999999987</v>
      </c>
      <c r="G19" s="195">
        <f t="shared" si="4"/>
        <v>931.25917000000004</v>
      </c>
      <c r="H19" s="196">
        <f t="shared" si="5"/>
        <v>589.95380799999987</v>
      </c>
      <c r="I19" s="195">
        <f t="shared" si="6"/>
        <v>108.28595000000001</v>
      </c>
      <c r="J19" s="196">
        <f t="shared" si="7"/>
        <v>68.599279999999993</v>
      </c>
      <c r="K19" s="100" t="s">
        <v>145</v>
      </c>
      <c r="L19" s="101" t="s">
        <v>145</v>
      </c>
      <c r="M19" s="100" t="str">
        <f t="shared" si="8"/>
        <v>n/a</v>
      </c>
      <c r="N19" s="101" t="str">
        <f t="shared" si="9"/>
        <v>n/a</v>
      </c>
      <c r="O19" s="100" t="str">
        <f t="shared" si="10"/>
        <v>n/a</v>
      </c>
      <c r="P19" s="101" t="str">
        <f t="shared" si="11"/>
        <v>n/a</v>
      </c>
      <c r="Q19" s="40"/>
      <c r="R19" s="54"/>
      <c r="T19" s="80"/>
      <c r="U19" s="80"/>
      <c r="X19" s="43"/>
    </row>
    <row r="20" spans="1:24" x14ac:dyDescent="0.2">
      <c r="A20" s="184">
        <v>4</v>
      </c>
      <c r="B20" s="185" t="s">
        <v>70</v>
      </c>
      <c r="C20" s="126">
        <f>IFERROR(VLOOKUP(B20,'corn yields Irrigated'!$A$4:$J$26,10,0),"n/a")</f>
        <v>211.13</v>
      </c>
      <c r="D20" s="127">
        <f>IFERROR(VLOOKUP(B20,'soybean yields Irrigated'!$A$4:$J$19,10,0),"n/a")</f>
        <v>59.01</v>
      </c>
      <c r="E20" s="189">
        <f t="shared" si="12"/>
        <v>1023.9804999999999</v>
      </c>
      <c r="F20" s="190">
        <f t="shared" si="0"/>
        <v>656.19119999999998</v>
      </c>
      <c r="G20" s="193">
        <f t="shared" si="4"/>
        <v>880.62322999999992</v>
      </c>
      <c r="H20" s="194">
        <f t="shared" si="5"/>
        <v>564.324432</v>
      </c>
      <c r="I20" s="193">
        <f t="shared" si="6"/>
        <v>102.39805</v>
      </c>
      <c r="J20" s="194">
        <f t="shared" si="7"/>
        <v>65.619119999999995</v>
      </c>
      <c r="K20" s="102" t="s">
        <v>145</v>
      </c>
      <c r="L20" s="103" t="s">
        <v>145</v>
      </c>
      <c r="M20" s="102" t="str">
        <f t="shared" si="8"/>
        <v>n/a</v>
      </c>
      <c r="N20" s="103" t="str">
        <f t="shared" si="9"/>
        <v>n/a</v>
      </c>
      <c r="O20" s="102" t="str">
        <f t="shared" si="10"/>
        <v>n/a</v>
      </c>
      <c r="P20" s="103" t="str">
        <f t="shared" si="11"/>
        <v>n/a</v>
      </c>
      <c r="Q20" s="40"/>
      <c r="R20" s="54"/>
      <c r="T20" s="80"/>
      <c r="U20" s="80"/>
      <c r="X20" s="43"/>
    </row>
    <row r="21" spans="1:24" x14ac:dyDescent="0.2">
      <c r="A21" s="186">
        <v>6</v>
      </c>
      <c r="B21" s="187" t="s">
        <v>73</v>
      </c>
      <c r="C21" s="128">
        <f>IFERROR(VLOOKUP(B21,'corn yields Irrigated'!$A$4:$J$26,10,0),"n/a")</f>
        <v>213.93</v>
      </c>
      <c r="D21" s="129">
        <f>IFERROR(VLOOKUP(B21,'soybean yields Irrigated'!$A$4:$J$19,10,0),"n/a")</f>
        <v>63.43</v>
      </c>
      <c r="E21" s="191">
        <f t="shared" si="12"/>
        <v>1037.5605</v>
      </c>
      <c r="F21" s="192">
        <f t="shared" si="0"/>
        <v>705.34159999999997</v>
      </c>
      <c r="G21" s="195">
        <f t="shared" si="4"/>
        <v>892.30203000000006</v>
      </c>
      <c r="H21" s="196">
        <f t="shared" si="5"/>
        <v>606.59377599999993</v>
      </c>
      <c r="I21" s="195">
        <f t="shared" si="6"/>
        <v>103.75605000000002</v>
      </c>
      <c r="J21" s="196">
        <f t="shared" si="7"/>
        <v>70.53416</v>
      </c>
      <c r="K21" s="100" t="s">
        <v>145</v>
      </c>
      <c r="L21" s="101" t="s">
        <v>145</v>
      </c>
      <c r="M21" s="100" t="str">
        <f t="shared" si="8"/>
        <v>n/a</v>
      </c>
      <c r="N21" s="101" t="str">
        <f t="shared" si="9"/>
        <v>n/a</v>
      </c>
      <c r="O21" s="100" t="str">
        <f t="shared" si="10"/>
        <v>n/a</v>
      </c>
      <c r="P21" s="101" t="str">
        <f t="shared" si="11"/>
        <v>n/a</v>
      </c>
      <c r="Q21" s="40"/>
      <c r="R21" s="54"/>
      <c r="T21" s="80"/>
      <c r="U21" s="80"/>
      <c r="X21" s="43"/>
    </row>
    <row r="22" spans="1:24" x14ac:dyDescent="0.2">
      <c r="A22" s="184">
        <v>1</v>
      </c>
      <c r="B22" s="185" t="s">
        <v>75</v>
      </c>
      <c r="C22" s="126">
        <f>IFERROR(VLOOKUP(B22,'corn yields Irrigated'!$A$4:$J$26,10,0),"n/a")</f>
        <v>199.5</v>
      </c>
      <c r="D22" s="127">
        <f>IFERROR(VLOOKUP(B22,'soybean yields Irrigated'!$A$4:$J$19,10,0),"n/a")</f>
        <v>57.18</v>
      </c>
      <c r="E22" s="189">
        <f t="shared" si="12"/>
        <v>967.57499999999993</v>
      </c>
      <c r="F22" s="190">
        <f t="shared" si="0"/>
        <v>635.84159999999997</v>
      </c>
      <c r="G22" s="193">
        <f t="shared" si="4"/>
        <v>832.11449999999991</v>
      </c>
      <c r="H22" s="194">
        <f t="shared" si="5"/>
        <v>546.82377599999995</v>
      </c>
      <c r="I22" s="193">
        <f t="shared" si="6"/>
        <v>96.757499999999993</v>
      </c>
      <c r="J22" s="194">
        <f t="shared" si="7"/>
        <v>63.584159999999997</v>
      </c>
      <c r="K22" s="102" t="s">
        <v>145</v>
      </c>
      <c r="L22" s="103" t="s">
        <v>145</v>
      </c>
      <c r="M22" s="102" t="str">
        <f t="shared" si="8"/>
        <v>n/a</v>
      </c>
      <c r="N22" s="103" t="str">
        <f t="shared" si="9"/>
        <v>n/a</v>
      </c>
      <c r="O22" s="102" t="str">
        <f t="shared" si="10"/>
        <v>n/a</v>
      </c>
      <c r="P22" s="103" t="str">
        <f t="shared" si="11"/>
        <v>n/a</v>
      </c>
      <c r="Q22" s="40"/>
      <c r="R22" s="54"/>
      <c r="T22" s="80"/>
      <c r="U22" s="80"/>
      <c r="X22" s="43"/>
    </row>
    <row r="23" spans="1:24" x14ac:dyDescent="0.2">
      <c r="A23" s="186">
        <v>1</v>
      </c>
      <c r="B23" s="187" t="s">
        <v>77</v>
      </c>
      <c r="C23" s="128">
        <f>IFERROR(VLOOKUP(B23,'corn yields Irrigated'!$A$4:$J$26,10,0),"n/a")</f>
        <v>190.03</v>
      </c>
      <c r="D23" s="129">
        <f>IFERROR(VLOOKUP(B23,'soybean yields Irrigated'!$A$4:$J$19,10,0),"n/a")</f>
        <v>57.33</v>
      </c>
      <c r="E23" s="191">
        <f t="shared" si="12"/>
        <v>921.64549999999997</v>
      </c>
      <c r="F23" s="192">
        <f t="shared" si="0"/>
        <v>637.50959999999998</v>
      </c>
      <c r="G23" s="195">
        <f t="shared" si="4"/>
        <v>792.61512999999991</v>
      </c>
      <c r="H23" s="196">
        <f t="shared" si="5"/>
        <v>548.25825599999996</v>
      </c>
      <c r="I23" s="195">
        <f t="shared" si="6"/>
        <v>92.164550000000006</v>
      </c>
      <c r="J23" s="196">
        <f t="shared" si="7"/>
        <v>63.750959999999999</v>
      </c>
      <c r="K23" s="100" t="s">
        <v>145</v>
      </c>
      <c r="L23" s="101" t="s">
        <v>145</v>
      </c>
      <c r="M23" s="100" t="str">
        <f t="shared" si="8"/>
        <v>n/a</v>
      </c>
      <c r="N23" s="101" t="str">
        <f t="shared" si="9"/>
        <v>n/a</v>
      </c>
      <c r="O23" s="100" t="str">
        <f t="shared" si="10"/>
        <v>n/a</v>
      </c>
      <c r="P23" s="101" t="str">
        <f t="shared" si="11"/>
        <v>n/a</v>
      </c>
      <c r="Q23" s="40"/>
      <c r="R23" s="54"/>
      <c r="T23" s="80"/>
      <c r="U23" s="80"/>
      <c r="X23" s="43"/>
    </row>
    <row r="24" spans="1:24" x14ac:dyDescent="0.2">
      <c r="A24" s="184">
        <v>1</v>
      </c>
      <c r="B24" s="185" t="s">
        <v>78</v>
      </c>
      <c r="C24" s="126">
        <f>IFERROR(VLOOKUP(B24,'corn yields Irrigated'!$A$4:$J$26,10,0),"n/a")</f>
        <v>204.28</v>
      </c>
      <c r="D24" s="127">
        <f>IFERROR(VLOOKUP(B24,'soybean yields Irrigated'!$A$4:$J$19,10,0),"n/a")</f>
        <v>58.92</v>
      </c>
      <c r="E24" s="189">
        <f t="shared" si="12"/>
        <v>990.75799999999992</v>
      </c>
      <c r="F24" s="190">
        <f t="shared" si="0"/>
        <v>655.19039999999995</v>
      </c>
      <c r="G24" s="193">
        <f t="shared" si="4"/>
        <v>852.05187999999987</v>
      </c>
      <c r="H24" s="194">
        <f t="shared" si="5"/>
        <v>563.46374399999991</v>
      </c>
      <c r="I24" s="193">
        <f t="shared" si="6"/>
        <v>99.075800000000001</v>
      </c>
      <c r="J24" s="194">
        <f t="shared" si="7"/>
        <v>65.519040000000004</v>
      </c>
      <c r="K24" s="102" t="s">
        <v>145</v>
      </c>
      <c r="L24" s="103" t="s">
        <v>145</v>
      </c>
      <c r="M24" s="102" t="str">
        <f t="shared" si="8"/>
        <v>n/a</v>
      </c>
      <c r="N24" s="103" t="str">
        <f t="shared" si="9"/>
        <v>n/a</v>
      </c>
      <c r="O24" s="102" t="str">
        <f t="shared" si="10"/>
        <v>n/a</v>
      </c>
      <c r="P24" s="103" t="str">
        <f t="shared" si="11"/>
        <v>n/a</v>
      </c>
      <c r="Q24" s="40"/>
      <c r="R24" s="54"/>
      <c r="T24" s="80"/>
      <c r="U24" s="80"/>
      <c r="X24" s="43"/>
    </row>
    <row r="25" spans="1:24" x14ac:dyDescent="0.2">
      <c r="A25" s="186">
        <v>1</v>
      </c>
      <c r="B25" s="187" t="s">
        <v>79</v>
      </c>
      <c r="C25" s="128">
        <f>IFERROR(VLOOKUP(B25,'corn yields Irrigated'!$A$4:$J$26,10,0),"n/a")</f>
        <v>182.24</v>
      </c>
      <c r="D25" s="129" t="str">
        <f>IFERROR(VLOOKUP(B25,'soybean yields Irrigated'!$A$4:$J$19,10,0),"n/a")</f>
        <v>n/a</v>
      </c>
      <c r="E25" s="191">
        <f t="shared" si="12"/>
        <v>883.86400000000003</v>
      </c>
      <c r="F25" s="192" t="str">
        <f t="shared" si="0"/>
        <v>n/a</v>
      </c>
      <c r="G25" s="195">
        <f t="shared" si="4"/>
        <v>760.12304000000006</v>
      </c>
      <c r="H25" s="196" t="str">
        <f t="shared" si="5"/>
        <v>n/a</v>
      </c>
      <c r="I25" s="195">
        <f t="shared" si="6"/>
        <v>88.386400000000009</v>
      </c>
      <c r="J25" s="196" t="str">
        <f t="shared" si="7"/>
        <v>n/a</v>
      </c>
      <c r="K25" s="100" t="s">
        <v>145</v>
      </c>
      <c r="L25" s="101" t="s">
        <v>145</v>
      </c>
      <c r="M25" s="100" t="str">
        <f t="shared" si="8"/>
        <v>n/a</v>
      </c>
      <c r="N25" s="101" t="str">
        <f t="shared" si="9"/>
        <v>n/a</v>
      </c>
      <c r="O25" s="100" t="str">
        <f t="shared" si="10"/>
        <v>n/a</v>
      </c>
      <c r="P25" s="101" t="str">
        <f t="shared" si="11"/>
        <v>n/a</v>
      </c>
      <c r="Q25" s="40"/>
      <c r="R25" s="54"/>
      <c r="T25" s="80"/>
      <c r="U25" s="80"/>
      <c r="X25" s="43"/>
    </row>
    <row r="26" spans="1:24" x14ac:dyDescent="0.2">
      <c r="A26" s="184">
        <v>7</v>
      </c>
      <c r="B26" s="185" t="s">
        <v>128</v>
      </c>
      <c r="C26" s="126">
        <f>IFERROR(VLOOKUP(B26,'corn yields Irrigated'!$A$4:$J$26,10,0),"n/a")</f>
        <v>202.82</v>
      </c>
      <c r="D26" s="127">
        <f>IFERROR(VLOOKUP(B26,'soybean yields Irrigated'!$A$4:$J$19,10,0),"n/a")</f>
        <v>57.67</v>
      </c>
      <c r="E26" s="189">
        <f t="shared" si="12"/>
        <v>983.67699999999991</v>
      </c>
      <c r="F26" s="190">
        <f t="shared" si="0"/>
        <v>641.29039999999998</v>
      </c>
      <c r="G26" s="193">
        <f t="shared" si="4"/>
        <v>845.96221999999989</v>
      </c>
      <c r="H26" s="194">
        <f t="shared" si="5"/>
        <v>551.50974399999996</v>
      </c>
      <c r="I26" s="193">
        <f t="shared" si="6"/>
        <v>98.367699999999999</v>
      </c>
      <c r="J26" s="194">
        <f t="shared" si="7"/>
        <v>64.129040000000003</v>
      </c>
      <c r="K26" s="102" t="s">
        <v>145</v>
      </c>
      <c r="L26" s="103" t="s">
        <v>145</v>
      </c>
      <c r="M26" s="102" t="str">
        <f t="shared" si="8"/>
        <v>n/a</v>
      </c>
      <c r="N26" s="103" t="str">
        <f t="shared" si="9"/>
        <v>n/a</v>
      </c>
      <c r="O26" s="102" t="str">
        <f t="shared" si="10"/>
        <v>n/a</v>
      </c>
      <c r="P26" s="103" t="str">
        <f t="shared" si="11"/>
        <v>n/a</v>
      </c>
      <c r="Q26" s="40"/>
      <c r="R26" s="54"/>
      <c r="T26" s="80"/>
      <c r="U26" s="80"/>
      <c r="X26" s="43"/>
    </row>
    <row r="27" spans="1:24" x14ac:dyDescent="0.2">
      <c r="A27" s="187">
        <v>7</v>
      </c>
      <c r="B27" s="187" t="s">
        <v>129</v>
      </c>
      <c r="C27" s="128">
        <f>IFERROR(VLOOKUP(B27,'corn yields Irrigated'!$A$4:$J$26,10,0),"n/a")</f>
        <v>202.82</v>
      </c>
      <c r="D27" s="129">
        <f>IFERROR(VLOOKUP(B27,'soybean yields Irrigated'!$A$4:$J$19,10,0),"n/a")</f>
        <v>57.67</v>
      </c>
      <c r="E27" s="191">
        <f t="shared" si="12"/>
        <v>983.67699999999991</v>
      </c>
      <c r="F27" s="192">
        <f t="shared" si="0"/>
        <v>641.29039999999998</v>
      </c>
      <c r="G27" s="195">
        <f t="shared" si="4"/>
        <v>845.96221999999989</v>
      </c>
      <c r="H27" s="196">
        <f t="shared" si="5"/>
        <v>551.50974399999996</v>
      </c>
      <c r="I27" s="195">
        <f t="shared" si="6"/>
        <v>98.367699999999999</v>
      </c>
      <c r="J27" s="196">
        <f t="shared" si="7"/>
        <v>64.129040000000003</v>
      </c>
      <c r="K27" s="100" t="s">
        <v>145</v>
      </c>
      <c r="L27" s="101" t="s">
        <v>145</v>
      </c>
      <c r="M27" s="100" t="str">
        <f t="shared" si="8"/>
        <v>n/a</v>
      </c>
      <c r="N27" s="101" t="str">
        <f t="shared" si="9"/>
        <v>n/a</v>
      </c>
      <c r="O27" s="100" t="str">
        <f t="shared" si="10"/>
        <v>n/a</v>
      </c>
      <c r="P27" s="101" t="str">
        <f t="shared" si="11"/>
        <v>n/a</v>
      </c>
      <c r="Q27" s="40"/>
      <c r="R27" s="54"/>
      <c r="T27" s="80"/>
      <c r="U27" s="80"/>
      <c r="X27" s="43"/>
    </row>
    <row r="28" spans="1:24" x14ac:dyDescent="0.2">
      <c r="A28" s="185">
        <v>1</v>
      </c>
      <c r="B28" s="185" t="s">
        <v>86</v>
      </c>
      <c r="C28" s="126">
        <f>IFERROR(VLOOKUP(B28,'corn yields Irrigated'!$A$4:$J$26,10,0),"n/a")</f>
        <v>211.14</v>
      </c>
      <c r="D28" s="127">
        <f>IFERROR(VLOOKUP(B28,'soybean yields Irrigated'!$A$4:$J$19,10,0),"n/a")</f>
        <v>61.15</v>
      </c>
      <c r="E28" s="189">
        <f t="shared" si="12"/>
        <v>1024.0289999999998</v>
      </c>
      <c r="F28" s="190">
        <f t="shared" si="0"/>
        <v>679.98799999999994</v>
      </c>
      <c r="G28" s="193">
        <f t="shared" si="4"/>
        <v>880.66493999999977</v>
      </c>
      <c r="H28" s="194">
        <f t="shared" si="5"/>
        <v>584.78967999999998</v>
      </c>
      <c r="I28" s="193">
        <f t="shared" si="6"/>
        <v>102.40289999999999</v>
      </c>
      <c r="J28" s="194">
        <f t="shared" si="7"/>
        <v>67.998800000000003</v>
      </c>
      <c r="K28" s="102" t="s">
        <v>145</v>
      </c>
      <c r="L28" s="103" t="s">
        <v>145</v>
      </c>
      <c r="M28" s="102" t="str">
        <f t="shared" si="8"/>
        <v>n/a</v>
      </c>
      <c r="N28" s="103" t="str">
        <f t="shared" si="9"/>
        <v>n/a</v>
      </c>
      <c r="O28" s="102" t="str">
        <f t="shared" si="10"/>
        <v>n/a</v>
      </c>
      <c r="P28" s="103" t="str">
        <f t="shared" si="11"/>
        <v>n/a</v>
      </c>
      <c r="Q28" s="40"/>
      <c r="R28" s="54"/>
      <c r="T28" s="80"/>
      <c r="U28" s="80"/>
      <c r="X28" s="43"/>
    </row>
    <row r="29" spans="1:24" x14ac:dyDescent="0.2">
      <c r="A29" s="187">
        <v>5</v>
      </c>
      <c r="B29" s="187" t="s">
        <v>87</v>
      </c>
      <c r="C29" s="128" t="str">
        <f>IFERROR(VLOOKUP(B29,'corn yields Irrigated'!$A$4:$J$26,10,0),"n/a")</f>
        <v>n/a</v>
      </c>
      <c r="D29" s="129">
        <f>IFERROR(VLOOKUP(B29,'soybean yields Irrigated'!$A$4:$J$19,10,0),"n/a")</f>
        <v>60.31</v>
      </c>
      <c r="E29" s="191" t="str">
        <f t="shared" si="12"/>
        <v>n/a</v>
      </c>
      <c r="F29" s="192">
        <f t="shared" si="0"/>
        <v>670.6472</v>
      </c>
      <c r="G29" s="195" t="str">
        <f t="shared" si="4"/>
        <v>n/a</v>
      </c>
      <c r="H29" s="196">
        <f t="shared" si="5"/>
        <v>576.75659199999996</v>
      </c>
      <c r="I29" s="195" t="str">
        <f t="shared" si="6"/>
        <v>n/a</v>
      </c>
      <c r="J29" s="196">
        <f t="shared" si="7"/>
        <v>67.064720000000008</v>
      </c>
      <c r="K29" s="100" t="s">
        <v>145</v>
      </c>
      <c r="L29" s="101" t="s">
        <v>145</v>
      </c>
      <c r="M29" s="100" t="str">
        <f t="shared" si="8"/>
        <v>n/a</v>
      </c>
      <c r="N29" s="101" t="str">
        <f t="shared" si="9"/>
        <v>n/a</v>
      </c>
      <c r="O29" s="100" t="str">
        <f t="shared" si="10"/>
        <v>n/a</v>
      </c>
      <c r="P29" s="101" t="str">
        <f t="shared" si="11"/>
        <v>n/a</v>
      </c>
      <c r="Q29" s="40"/>
      <c r="R29" s="54"/>
      <c r="T29" s="80"/>
      <c r="U29" s="80"/>
      <c r="X29" s="43"/>
    </row>
    <row r="30" spans="1:24" x14ac:dyDescent="0.2">
      <c r="A30" s="185">
        <v>4</v>
      </c>
      <c r="B30" s="185" t="s">
        <v>99</v>
      </c>
      <c r="C30" s="126">
        <f>IFERROR(VLOOKUP(B30,'corn yields Irrigated'!$A$4:$J$26,10,0),"n/a")</f>
        <v>192.42</v>
      </c>
      <c r="D30" s="127">
        <f>IFERROR(VLOOKUP(B30,'soybean yields Irrigated'!$A$4:$J$19,10,0),"n/a")</f>
        <v>59.43</v>
      </c>
      <c r="E30" s="189">
        <f t="shared" si="12"/>
        <v>933.23699999999985</v>
      </c>
      <c r="F30" s="190">
        <f t="shared" si="0"/>
        <v>660.86159999999995</v>
      </c>
      <c r="G30" s="193">
        <f t="shared" si="4"/>
        <v>802.58381999999983</v>
      </c>
      <c r="H30" s="194">
        <f t="shared" si="5"/>
        <v>568.34097599999996</v>
      </c>
      <c r="I30" s="193">
        <f t="shared" si="6"/>
        <v>93.323699999999988</v>
      </c>
      <c r="J30" s="194">
        <f t="shared" si="7"/>
        <v>66.086159999999992</v>
      </c>
      <c r="K30" s="102" t="s">
        <v>145</v>
      </c>
      <c r="L30" s="103" t="s">
        <v>145</v>
      </c>
      <c r="M30" s="102" t="str">
        <f t="shared" si="8"/>
        <v>n/a</v>
      </c>
      <c r="N30" s="103" t="str">
        <f t="shared" si="9"/>
        <v>n/a</v>
      </c>
      <c r="O30" s="102" t="str">
        <f t="shared" si="10"/>
        <v>n/a</v>
      </c>
      <c r="P30" s="103" t="str">
        <f t="shared" si="11"/>
        <v>n/a</v>
      </c>
      <c r="Q30" s="40"/>
      <c r="R30" s="54"/>
      <c r="T30" s="80"/>
      <c r="U30" s="80"/>
      <c r="X30" s="43"/>
    </row>
    <row r="31" spans="1:24" ht="15" thickBot="1" x14ac:dyDescent="0.25">
      <c r="A31" s="187">
        <v>2</v>
      </c>
      <c r="B31" s="187" t="s">
        <v>100</v>
      </c>
      <c r="C31" s="128">
        <f>IFERROR(VLOOKUP(B31,'corn yields Irrigated'!$A$4:$J$26,10,0),"n/a")</f>
        <v>212.83</v>
      </c>
      <c r="D31" s="129" t="str">
        <f>IFERROR(VLOOKUP(B31,'soybean yields Irrigated'!$A$4:$J$19,10,0),"n/a")</f>
        <v>n/a</v>
      </c>
      <c r="E31" s="191">
        <f>IFERROR(C31*$S$3,"n/a")</f>
        <v>1032.2255</v>
      </c>
      <c r="F31" s="192" t="str">
        <f t="shared" si="0"/>
        <v>n/a</v>
      </c>
      <c r="G31" s="195">
        <f t="shared" si="4"/>
        <v>887.71393</v>
      </c>
      <c r="H31" s="196" t="str">
        <f t="shared" si="5"/>
        <v>n/a</v>
      </c>
      <c r="I31" s="195">
        <f t="shared" si="6"/>
        <v>103.22255000000001</v>
      </c>
      <c r="J31" s="196" t="str">
        <f t="shared" si="7"/>
        <v>n/a</v>
      </c>
      <c r="K31" s="100" t="s">
        <v>145</v>
      </c>
      <c r="L31" s="101" t="s">
        <v>145</v>
      </c>
      <c r="M31" s="100" t="str">
        <f t="shared" si="8"/>
        <v>n/a</v>
      </c>
      <c r="N31" s="101" t="str">
        <f t="shared" si="9"/>
        <v>n/a</v>
      </c>
      <c r="O31" s="100" t="str">
        <f t="shared" si="10"/>
        <v>n/a</v>
      </c>
      <c r="P31" s="101" t="str">
        <f t="shared" si="11"/>
        <v>n/a</v>
      </c>
      <c r="Q31" s="40"/>
      <c r="R31" s="54"/>
      <c r="T31" s="80"/>
      <c r="U31" s="80"/>
      <c r="X31" s="43"/>
    </row>
    <row r="32" spans="1:24" x14ac:dyDescent="0.2">
      <c r="A32" s="21"/>
      <c r="B32" s="17" t="s">
        <v>102</v>
      </c>
      <c r="C32" s="124">
        <f t="shared" ref="C32" si="13">AVERAGE(C8:C31)</f>
        <v>210.42260869565223</v>
      </c>
      <c r="D32" s="125">
        <f t="shared" ref="D32" si="14">AVERAGE(D8:D31)</f>
        <v>60.475624999999987</v>
      </c>
      <c r="E32" s="12">
        <f t="shared" ref="E32:F32" si="15">AVERAGE(E8:E31)</f>
        <v>1020.549652173913</v>
      </c>
      <c r="F32" s="13">
        <f t="shared" si="15"/>
        <v>672.48894999999982</v>
      </c>
      <c r="G32" s="12">
        <f t="shared" si="4"/>
        <v>877.67270086956523</v>
      </c>
      <c r="H32" s="13">
        <f t="shared" si="5"/>
        <v>578.3404969999998</v>
      </c>
      <c r="I32" s="12">
        <f t="shared" si="6"/>
        <v>102.05496521739131</v>
      </c>
      <c r="J32" s="13">
        <f t="shared" si="7"/>
        <v>67.24889499999999</v>
      </c>
      <c r="K32" s="33" t="str">
        <f t="shared" ref="K32" si="16">IFERROR(AVERAGE(#REF!),"")</f>
        <v/>
      </c>
      <c r="L32" s="34" t="str">
        <f t="shared" ref="L32" si="17">IFERROR(AVERAGE(#REF!),"")</f>
        <v/>
      </c>
      <c r="M32" s="33" t="str">
        <f t="shared" ref="M32" si="18">IFERROR(AVERAGE(#REF!),"")</f>
        <v/>
      </c>
      <c r="N32" s="34" t="str">
        <f t="shared" ref="N32" si="19">IFERROR(AVERAGE(#REF!),"")</f>
        <v/>
      </c>
      <c r="O32" s="33" t="str">
        <f t="shared" ref="O32" si="20">IFERROR(AVERAGE(#REF!),"")</f>
        <v/>
      </c>
      <c r="P32" s="34" t="str">
        <f t="shared" ref="P32" si="21">IFERROR(AVERAGE(#REF!),"")</f>
        <v/>
      </c>
      <c r="Q32" s="40"/>
      <c r="R32" s="54"/>
      <c r="X32" s="43"/>
    </row>
    <row r="33" spans="1:24" x14ac:dyDescent="0.2">
      <c r="A33" s="159" t="s">
        <v>274</v>
      </c>
      <c r="Q33" s="40"/>
      <c r="R33" s="54"/>
      <c r="X33" s="43"/>
    </row>
    <row r="34" spans="1:24" s="35" customFormat="1" x14ac:dyDescent="0.2">
      <c r="A34" s="159" t="str">
        <f>+'ARC-CO All Counties - Non-irr.'!A109</f>
        <v>^FSA yield projections are not released until the October following the production year.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0"/>
      <c r="R34" s="54"/>
      <c r="X34" s="43"/>
    </row>
    <row r="35" spans="1:24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/>
      <c r="R35" s="54"/>
      <c r="X35" s="43"/>
    </row>
    <row r="36" spans="1:24" x14ac:dyDescent="0.2">
      <c r="A36" s="25"/>
      <c r="X36" s="43"/>
    </row>
    <row r="37" spans="1:24" ht="15" x14ac:dyDescent="0.25">
      <c r="A37" s="56"/>
      <c r="X37" s="112"/>
    </row>
    <row r="38" spans="1:24" ht="15" x14ac:dyDescent="0.25">
      <c r="X38" s="112"/>
    </row>
    <row r="39" spans="1:24" ht="15" x14ac:dyDescent="0.25">
      <c r="X39" s="112"/>
    </row>
    <row r="40" spans="1:24" ht="15" x14ac:dyDescent="0.25">
      <c r="X40" s="112"/>
    </row>
    <row r="41" spans="1:24" ht="15" x14ac:dyDescent="0.25">
      <c r="X41" s="112"/>
    </row>
    <row r="42" spans="1:24" ht="15" x14ac:dyDescent="0.25">
      <c r="X42" s="112"/>
    </row>
    <row r="43" spans="1:24" ht="15" x14ac:dyDescent="0.25">
      <c r="X43" s="112"/>
    </row>
    <row r="44" spans="1:24" ht="15" x14ac:dyDescent="0.25">
      <c r="X44" s="112"/>
    </row>
    <row r="45" spans="1:24" ht="15" x14ac:dyDescent="0.25">
      <c r="X45" s="112"/>
    </row>
    <row r="46" spans="1:24" ht="15" x14ac:dyDescent="0.25">
      <c r="X46" s="112"/>
    </row>
    <row r="47" spans="1:24" ht="15" x14ac:dyDescent="0.25">
      <c r="X47" s="112"/>
    </row>
    <row r="48" spans="1:24" ht="15" x14ac:dyDescent="0.25">
      <c r="X48" s="112"/>
    </row>
    <row r="49" spans="24:24" ht="15" x14ac:dyDescent="0.25">
      <c r="X49" s="112"/>
    </row>
    <row r="50" spans="24:24" ht="15" x14ac:dyDescent="0.25">
      <c r="X50" s="112"/>
    </row>
    <row r="51" spans="24:24" ht="15" x14ac:dyDescent="0.25">
      <c r="X51" s="112"/>
    </row>
    <row r="52" spans="24:24" ht="15" x14ac:dyDescent="0.25">
      <c r="X52" s="112"/>
    </row>
    <row r="53" spans="24:24" ht="15" x14ac:dyDescent="0.25">
      <c r="X53" s="112"/>
    </row>
    <row r="54" spans="24:24" ht="15" x14ac:dyDescent="0.25">
      <c r="X54" s="112"/>
    </row>
    <row r="55" spans="24:24" x14ac:dyDescent="0.2">
      <c r="X55" s="154"/>
    </row>
    <row r="56" spans="24:24" x14ac:dyDescent="0.2">
      <c r="X56" s="154"/>
    </row>
    <row r="57" spans="24:24" ht="15" x14ac:dyDescent="0.25">
      <c r="X57" s="112"/>
    </row>
    <row r="58" spans="24:24" ht="15" x14ac:dyDescent="0.25">
      <c r="X58" s="112"/>
    </row>
    <row r="59" spans="24:24" ht="15" x14ac:dyDescent="0.25">
      <c r="X59" s="112"/>
    </row>
    <row r="60" spans="24:24" x14ac:dyDescent="0.2">
      <c r="X60" s="154"/>
    </row>
    <row r="61" spans="24:24" ht="15" x14ac:dyDescent="0.25">
      <c r="X61"/>
    </row>
    <row r="62" spans="24:24" ht="15" x14ac:dyDescent="0.25">
      <c r="X62"/>
    </row>
    <row r="63" spans="24:24" ht="15" x14ac:dyDescent="0.25">
      <c r="X63"/>
    </row>
    <row r="64" spans="24:24" ht="15" x14ac:dyDescent="0.25">
      <c r="X64"/>
    </row>
    <row r="65" spans="24:24" ht="15" x14ac:dyDescent="0.25">
      <c r="X65"/>
    </row>
    <row r="66" spans="24:24" ht="15" x14ac:dyDescent="0.25">
      <c r="X66"/>
    </row>
    <row r="67" spans="24:24" ht="15" x14ac:dyDescent="0.25">
      <c r="X67"/>
    </row>
    <row r="68" spans="24:24" ht="15" x14ac:dyDescent="0.25">
      <c r="X68"/>
    </row>
    <row r="69" spans="24:24" ht="15" x14ac:dyDescent="0.25">
      <c r="X69"/>
    </row>
    <row r="70" spans="24:24" ht="15" x14ac:dyDescent="0.25">
      <c r="X70"/>
    </row>
    <row r="71" spans="24:24" ht="15" x14ac:dyDescent="0.25">
      <c r="X71"/>
    </row>
    <row r="72" spans="24:24" ht="15" x14ac:dyDescent="0.25">
      <c r="X72"/>
    </row>
    <row r="73" spans="24:24" ht="15" x14ac:dyDescent="0.25">
      <c r="X73"/>
    </row>
    <row r="74" spans="24:24" ht="15" x14ac:dyDescent="0.25">
      <c r="X74"/>
    </row>
    <row r="75" spans="24:24" ht="15" x14ac:dyDescent="0.25">
      <c r="X75"/>
    </row>
  </sheetData>
  <sheetProtection algorithmName="SHA-512" hashValue="rRP9TnAnSIowKJZ/CUvnJBXrwu+0yhUAxVDEBuEoVtlO7razTJvULDodEN1hty88BNOU6Ay0MbX1CCHBISvp5A==" saltValue="03guXPafS8xGCw9PVgBe8w==" spinCount="100000" sheet="1" sort="0" autoFilter="0"/>
  <protectedRanges>
    <protectedRange sqref="K7:P7 A7:H7 A8:B8 B9:B31 A9:A32" name="Range1"/>
    <protectedRange sqref="I7:J7" name="Range1_2"/>
    <protectedRange sqref="D8:D31" name="Range1_1"/>
    <protectedRange sqref="K8:N31 E8:H8 E9:F31 G9:H32" name="Range1_4"/>
    <protectedRange sqref="I8:J32" name="Range1_2_1"/>
    <protectedRange sqref="O8:P31" name="Range1_3_1"/>
  </protectedRanges>
  <mergeCells count="8">
    <mergeCell ref="A5:P5"/>
    <mergeCell ref="C6:D6"/>
    <mergeCell ref="E6:F6"/>
    <mergeCell ref="G6:H6"/>
    <mergeCell ref="I6:J6"/>
    <mergeCell ref="K6:L6"/>
    <mergeCell ref="M6:N6"/>
    <mergeCell ref="O6:P6"/>
  </mergeCells>
  <hyperlinks>
    <hyperlink ref="A3" r:id="rId1" xr:uid="{241C615B-AE79-4FFD-B891-5CA7D4154516}"/>
  </hyperlinks>
  <pageMargins left="0.7" right="0.7" top="0.75" bottom="0.75" header="0.3" footer="0.3"/>
  <pageSetup scale="84" orientation="landscape" r:id="rId2"/>
  <colBreaks count="1" manualBreakCount="1">
    <brk id="17" max="1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6" tint="0.39997558519241921"/>
  </sheetPr>
  <dimension ref="A1:W111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8.7109375" defaultRowHeight="14.25" x14ac:dyDescent="0.2"/>
  <cols>
    <col min="1" max="1" width="11.42578125" style="3" customWidth="1"/>
    <col min="2" max="2" width="15" style="3" bestFit="1" customWidth="1"/>
    <col min="3" max="3" width="7.28515625" style="3" customWidth="1"/>
    <col min="4" max="4" width="8" style="3" bestFit="1" customWidth="1"/>
    <col min="5" max="5" width="9.28515625" style="3" customWidth="1"/>
    <col min="6" max="6" width="9.5703125" style="3" customWidth="1"/>
    <col min="7" max="8" width="9.7109375" style="3" customWidth="1"/>
    <col min="9" max="10" width="8.28515625" style="3" customWidth="1"/>
    <col min="11" max="11" width="7.28515625" style="3" customWidth="1"/>
    <col min="12" max="12" width="8" style="3" bestFit="1" customWidth="1"/>
    <col min="13" max="13" width="7.28515625" style="3" customWidth="1"/>
    <col min="14" max="14" width="8" style="3" bestFit="1" customWidth="1"/>
    <col min="15" max="16" width="9" style="3" customWidth="1"/>
    <col min="17" max="17" width="9.42578125" style="3" bestFit="1" customWidth="1"/>
    <col min="18" max="18" width="27.7109375" style="3" customWidth="1"/>
    <col min="19" max="19" width="8.7109375" style="3"/>
    <col min="20" max="20" width="9.7109375" style="3" customWidth="1"/>
    <col min="21" max="16384" width="8.7109375" style="3"/>
  </cols>
  <sheetData>
    <row r="1" spans="1:23" s="352" customFormat="1" ht="30" customHeight="1" thickBot="1" x14ac:dyDescent="0.35">
      <c r="A1" s="346" t="s">
        <v>299</v>
      </c>
    </row>
    <row r="2" spans="1:23" s="1" customFormat="1" ht="15.75" thickTop="1" x14ac:dyDescent="0.25">
      <c r="A2" s="113" t="s">
        <v>103</v>
      </c>
      <c r="R2" s="40"/>
      <c r="S2" s="40"/>
      <c r="T2" s="40"/>
      <c r="U2" s="40"/>
      <c r="V2" s="40"/>
      <c r="W2" s="40"/>
    </row>
    <row r="3" spans="1:23" s="2" customFormat="1" ht="12.75" customHeight="1" x14ac:dyDescent="0.2">
      <c r="A3" s="114" t="s">
        <v>349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43"/>
      <c r="R3" s="43"/>
      <c r="S3" s="43"/>
      <c r="T3" s="43"/>
      <c r="U3" s="43"/>
      <c r="V3" s="43"/>
      <c r="W3" s="43"/>
    </row>
    <row r="4" spans="1:23" s="2" customFormat="1" ht="12.75" customHeight="1" x14ac:dyDescent="0.2">
      <c r="A4" s="105"/>
      <c r="B4" s="38"/>
      <c r="C4" s="38"/>
      <c r="D4" s="38"/>
      <c r="G4" s="394">
        <f>'Payment by County - Non Irr.'!A81</f>
        <v>45341</v>
      </c>
      <c r="H4" s="394"/>
      <c r="I4" s="38"/>
      <c r="J4" s="38"/>
      <c r="K4" s="38"/>
      <c r="L4" s="38"/>
      <c r="Q4" s="43"/>
      <c r="R4" s="43"/>
      <c r="S4" s="43"/>
      <c r="T4" s="43"/>
      <c r="U4" s="43"/>
      <c r="V4" s="43"/>
      <c r="W4" s="43"/>
    </row>
    <row r="5" spans="1:23" s="4" customFormat="1" ht="54" customHeight="1" x14ac:dyDescent="0.25">
      <c r="A5" s="117" t="s">
        <v>0</v>
      </c>
      <c r="B5" s="117" t="s">
        <v>1</v>
      </c>
      <c r="C5" s="384" t="s">
        <v>361</v>
      </c>
      <c r="D5" s="384"/>
      <c r="E5" s="39"/>
      <c r="F5" s="54"/>
      <c r="G5" s="37">
        <v>0.85</v>
      </c>
      <c r="H5" s="36"/>
      <c r="I5" s="39"/>
      <c r="J5" s="39"/>
      <c r="K5" s="39"/>
      <c r="L5" s="39"/>
      <c r="M5" s="39"/>
      <c r="N5" s="39"/>
    </row>
    <row r="6" spans="1:23" x14ac:dyDescent="0.2">
      <c r="A6" s="5"/>
      <c r="B6" s="5"/>
      <c r="C6" s="22" t="s">
        <v>2</v>
      </c>
      <c r="D6" s="23" t="s">
        <v>3</v>
      </c>
      <c r="E6" s="40"/>
      <c r="F6" s="54"/>
      <c r="G6" s="44">
        <f>1-0.068</f>
        <v>0.93199999999999994</v>
      </c>
      <c r="H6" s="36"/>
      <c r="I6" s="40"/>
      <c r="J6" s="40"/>
      <c r="K6" s="40"/>
      <c r="L6" s="40"/>
      <c r="M6" s="40"/>
      <c r="N6" s="40"/>
    </row>
    <row r="7" spans="1:23" ht="14.65" customHeight="1" x14ac:dyDescent="0.2">
      <c r="A7" s="18">
        <v>7</v>
      </c>
      <c r="B7" s="14" t="s">
        <v>4</v>
      </c>
      <c r="C7" s="118">
        <v>139.43025186820299</v>
      </c>
      <c r="D7" s="121">
        <v>43.484422909980601</v>
      </c>
      <c r="E7" s="41"/>
      <c r="I7" s="40"/>
      <c r="J7" s="40"/>
      <c r="K7" s="40"/>
      <c r="L7" s="40"/>
      <c r="M7" s="40"/>
      <c r="N7" s="40"/>
    </row>
    <row r="8" spans="1:23" ht="14.65" customHeight="1" x14ac:dyDescent="0.2">
      <c r="A8" s="19">
        <v>7</v>
      </c>
      <c r="B8" s="15" t="s">
        <v>5</v>
      </c>
      <c r="C8" s="119">
        <v>137.610219531387</v>
      </c>
      <c r="D8" s="122">
        <v>43.0862711630311</v>
      </c>
      <c r="E8" s="41"/>
      <c r="I8" s="40"/>
      <c r="J8" s="40"/>
      <c r="K8" s="40"/>
      <c r="L8" s="40"/>
      <c r="M8" s="40"/>
      <c r="N8" s="40"/>
    </row>
    <row r="9" spans="1:23" ht="14.65" customHeight="1" x14ac:dyDescent="0.2">
      <c r="A9" s="20">
        <v>3</v>
      </c>
      <c r="B9" s="16" t="s">
        <v>6</v>
      </c>
      <c r="C9" s="120">
        <v>150.655054397642</v>
      </c>
      <c r="D9" s="123">
        <v>45.632662313234903</v>
      </c>
      <c r="E9" s="40"/>
      <c r="I9" s="40"/>
      <c r="J9" s="40"/>
      <c r="K9" s="40"/>
      <c r="L9" s="40"/>
      <c r="M9" s="40"/>
      <c r="N9" s="40"/>
    </row>
    <row r="10" spans="1:23" ht="14.65" customHeight="1" x14ac:dyDescent="0.2">
      <c r="A10" s="19">
        <v>8</v>
      </c>
      <c r="B10" s="15" t="s">
        <v>7</v>
      </c>
      <c r="C10" s="119">
        <v>110.950049956412</v>
      </c>
      <c r="D10" s="122">
        <v>35.138705182566</v>
      </c>
      <c r="E10" s="40"/>
      <c r="I10" s="40"/>
      <c r="J10" s="40"/>
      <c r="K10" s="40"/>
      <c r="L10" s="40"/>
      <c r="M10" s="40"/>
      <c r="N10" s="40"/>
    </row>
    <row r="11" spans="1:23" ht="14.65" customHeight="1" x14ac:dyDescent="0.2">
      <c r="A11" s="20">
        <v>4</v>
      </c>
      <c r="B11" s="16" t="s">
        <v>8</v>
      </c>
      <c r="C11" s="120">
        <v>158.17034933858699</v>
      </c>
      <c r="D11" s="123">
        <v>48.048984128574197</v>
      </c>
      <c r="E11" s="40"/>
      <c r="G11" s="40"/>
      <c r="H11" s="40"/>
      <c r="I11" s="40"/>
      <c r="J11" s="40"/>
      <c r="K11" s="40"/>
      <c r="L11" s="40"/>
      <c r="M11" s="40"/>
      <c r="N11" s="40"/>
    </row>
    <row r="12" spans="1:23" ht="14.65" customHeight="1" x14ac:dyDescent="0.25">
      <c r="A12" s="19">
        <v>6</v>
      </c>
      <c r="B12" s="15" t="s">
        <v>9</v>
      </c>
      <c r="C12" s="119">
        <v>163.86560872810799</v>
      </c>
      <c r="D12" s="122">
        <v>50.138335957327598</v>
      </c>
      <c r="E12" s="40"/>
      <c r="G12" s="39"/>
      <c r="H12" s="39"/>
      <c r="I12" s="39"/>
      <c r="J12" s="39"/>
      <c r="K12" s="40"/>
      <c r="L12" s="40"/>
      <c r="M12" s="40"/>
      <c r="N12" s="40"/>
    </row>
    <row r="13" spans="1:23" ht="14.65" customHeight="1" x14ac:dyDescent="0.25">
      <c r="A13" s="20">
        <v>3</v>
      </c>
      <c r="B13" s="16" t="s">
        <v>10</v>
      </c>
      <c r="C13" s="120">
        <v>158.17135971114101</v>
      </c>
      <c r="D13" s="123">
        <v>47.689274536101301</v>
      </c>
      <c r="E13" s="40"/>
      <c r="G13" s="39"/>
      <c r="H13" s="39"/>
      <c r="I13" s="39"/>
      <c r="J13" s="39"/>
      <c r="K13" s="40"/>
      <c r="L13" s="40"/>
      <c r="M13" s="40"/>
      <c r="N13" s="40"/>
    </row>
    <row r="14" spans="1:23" ht="14.65" customHeight="1" x14ac:dyDescent="0.2">
      <c r="A14" s="19">
        <v>5</v>
      </c>
      <c r="B14" s="15" t="s">
        <v>11</v>
      </c>
      <c r="C14" s="119">
        <v>156.00895805831601</v>
      </c>
      <c r="D14" s="122">
        <v>45.402195956102503</v>
      </c>
      <c r="E14" s="40"/>
      <c r="G14" s="40"/>
      <c r="H14" s="40"/>
      <c r="I14" s="40"/>
      <c r="J14" s="40"/>
      <c r="K14" s="40"/>
      <c r="L14" s="40"/>
      <c r="M14" s="40"/>
      <c r="N14" s="40"/>
    </row>
    <row r="15" spans="1:23" ht="14.65" customHeight="1" x14ac:dyDescent="0.2">
      <c r="A15" s="20">
        <v>3</v>
      </c>
      <c r="B15" s="16" t="s">
        <v>12</v>
      </c>
      <c r="C15" s="120">
        <v>162.345443652874</v>
      </c>
      <c r="D15" s="123">
        <v>49.291131363324801</v>
      </c>
      <c r="E15" s="40"/>
      <c r="G15" s="40"/>
      <c r="H15" s="40"/>
      <c r="I15" s="40"/>
      <c r="J15" s="40"/>
      <c r="K15" s="40"/>
      <c r="L15" s="40"/>
      <c r="M15" s="40"/>
      <c r="N15" s="40"/>
    </row>
    <row r="16" spans="1:23" ht="14.65" customHeight="1" x14ac:dyDescent="0.2">
      <c r="A16" s="19">
        <v>3</v>
      </c>
      <c r="B16" s="15" t="s">
        <v>13</v>
      </c>
      <c r="C16" s="119">
        <v>158.019623950708</v>
      </c>
      <c r="D16" s="122">
        <v>46.639140592221104</v>
      </c>
      <c r="E16" s="40"/>
      <c r="G16" s="40"/>
      <c r="H16" s="40"/>
      <c r="I16" s="40"/>
      <c r="J16" s="40"/>
      <c r="K16" s="40"/>
      <c r="L16" s="40"/>
      <c r="M16" s="40"/>
      <c r="N16" s="40"/>
    </row>
    <row r="17" spans="1:14" ht="14.65" customHeight="1" x14ac:dyDescent="0.2">
      <c r="A17" s="20">
        <v>1</v>
      </c>
      <c r="B17" s="16" t="s">
        <v>14</v>
      </c>
      <c r="C17" s="120">
        <v>162.15272159434301</v>
      </c>
      <c r="D17" s="123">
        <v>47.303970352362398</v>
      </c>
      <c r="E17" s="40"/>
      <c r="G17" s="40"/>
      <c r="H17" s="40"/>
      <c r="I17" s="40"/>
      <c r="J17" s="40"/>
      <c r="K17" s="40"/>
      <c r="L17" s="40"/>
      <c r="M17" s="40"/>
      <c r="N17" s="40"/>
    </row>
    <row r="18" spans="1:14" ht="14.65" customHeight="1" x14ac:dyDescent="0.2">
      <c r="A18" s="19">
        <v>2</v>
      </c>
      <c r="B18" s="15" t="s">
        <v>15</v>
      </c>
      <c r="C18" s="119">
        <v>157.28536947158901</v>
      </c>
      <c r="D18" s="122">
        <v>46.503188565908196</v>
      </c>
      <c r="E18" s="40"/>
      <c r="G18" s="40"/>
      <c r="H18" s="40"/>
      <c r="I18" s="40"/>
      <c r="J18" s="40"/>
      <c r="K18" s="40"/>
      <c r="L18" s="40"/>
      <c r="M18" s="40"/>
      <c r="N18" s="40"/>
    </row>
    <row r="19" spans="1:14" ht="14.65" customHeight="1" x14ac:dyDescent="0.2">
      <c r="A19" s="20">
        <v>4</v>
      </c>
      <c r="B19" s="16" t="s">
        <v>16</v>
      </c>
      <c r="C19" s="120">
        <v>158.75373071055699</v>
      </c>
      <c r="D19" s="123">
        <v>45.665498653236199</v>
      </c>
      <c r="G19" s="40"/>
      <c r="H19" s="40"/>
      <c r="I19" s="40"/>
      <c r="J19" s="40"/>
      <c r="K19" s="40"/>
      <c r="L19" s="40"/>
      <c r="M19" s="40"/>
      <c r="N19" s="40"/>
    </row>
    <row r="20" spans="1:14" ht="14.65" customHeight="1" x14ac:dyDescent="0.2">
      <c r="A20" s="19">
        <v>4</v>
      </c>
      <c r="B20" s="15" t="s">
        <v>17</v>
      </c>
      <c r="C20" s="119">
        <v>162.96150400693199</v>
      </c>
      <c r="D20" s="122">
        <v>47.607924068065202</v>
      </c>
      <c r="G20" s="40"/>
      <c r="H20" s="40"/>
      <c r="I20" s="40"/>
      <c r="J20" s="40"/>
      <c r="K20" s="40"/>
      <c r="L20" s="40"/>
      <c r="M20" s="40"/>
      <c r="N20" s="40"/>
    </row>
    <row r="21" spans="1:14" ht="14.65" customHeight="1" x14ac:dyDescent="0.2">
      <c r="A21" s="20">
        <v>7</v>
      </c>
      <c r="B21" s="16" t="s">
        <v>18</v>
      </c>
      <c r="C21" s="120">
        <v>152.18142373542901</v>
      </c>
      <c r="D21" s="123">
        <v>45.878569354066101</v>
      </c>
      <c r="G21" s="40"/>
      <c r="H21" s="40"/>
      <c r="I21" s="40"/>
      <c r="J21" s="40"/>
      <c r="K21" s="40"/>
      <c r="L21" s="40"/>
      <c r="M21" s="40"/>
      <c r="N21" s="40"/>
    </row>
    <row r="22" spans="1:14" ht="14.65" customHeight="1" x14ac:dyDescent="0.2">
      <c r="A22" s="19">
        <v>6</v>
      </c>
      <c r="B22" s="15" t="s">
        <v>19</v>
      </c>
      <c r="C22" s="119">
        <v>169.006204536864</v>
      </c>
      <c r="D22" s="122">
        <v>51.754142593656503</v>
      </c>
      <c r="G22" s="40"/>
      <c r="H22" s="40"/>
      <c r="I22" s="40"/>
      <c r="J22" s="40"/>
      <c r="K22" s="40"/>
      <c r="L22" s="40"/>
      <c r="M22" s="40"/>
      <c r="N22" s="40"/>
    </row>
    <row r="23" spans="1:14" ht="14.65" customHeight="1" x14ac:dyDescent="0.2">
      <c r="A23" s="20">
        <v>2</v>
      </c>
      <c r="B23" s="16" t="s">
        <v>20</v>
      </c>
      <c r="C23" s="120">
        <v>153.25426256607801</v>
      </c>
      <c r="D23" s="123">
        <v>45.4813817048544</v>
      </c>
      <c r="G23" s="40"/>
      <c r="H23" s="40"/>
      <c r="I23" s="40"/>
      <c r="J23" s="40"/>
      <c r="K23" s="40"/>
      <c r="L23" s="40"/>
      <c r="M23" s="40"/>
      <c r="N23" s="40"/>
    </row>
    <row r="24" spans="1:14" ht="14.65" customHeight="1" x14ac:dyDescent="0.2">
      <c r="A24" s="19">
        <v>1</v>
      </c>
      <c r="B24" s="15" t="s">
        <v>21</v>
      </c>
      <c r="C24" s="119">
        <v>172.23888378164401</v>
      </c>
      <c r="D24" s="122">
        <v>51.380185836924298</v>
      </c>
      <c r="G24" s="40"/>
      <c r="H24" s="40"/>
      <c r="I24" s="40"/>
      <c r="J24" s="40"/>
      <c r="K24" s="40"/>
      <c r="L24" s="40"/>
      <c r="M24" s="40"/>
      <c r="N24" s="40"/>
    </row>
    <row r="25" spans="1:14" ht="14.65" customHeight="1" x14ac:dyDescent="0.2">
      <c r="A25" s="20">
        <v>3</v>
      </c>
      <c r="B25" s="16" t="s">
        <v>22</v>
      </c>
      <c r="C25" s="120">
        <v>158.01236203939899</v>
      </c>
      <c r="D25" s="123">
        <v>46.5644171899824</v>
      </c>
      <c r="G25" s="40"/>
      <c r="H25" s="40"/>
      <c r="I25" s="40"/>
      <c r="J25" s="40"/>
      <c r="K25" s="40"/>
      <c r="L25" s="40"/>
      <c r="M25" s="40"/>
      <c r="N25" s="40"/>
    </row>
    <row r="26" spans="1:14" ht="14.65" customHeight="1" x14ac:dyDescent="0.2">
      <c r="A26" s="19">
        <v>8</v>
      </c>
      <c r="B26" s="15" t="s">
        <v>23</v>
      </c>
      <c r="C26" s="119">
        <v>111.216036028445</v>
      </c>
      <c r="D26" s="122">
        <v>37.457222975547197</v>
      </c>
    </row>
    <row r="27" spans="1:14" ht="14.65" customHeight="1" x14ac:dyDescent="0.2">
      <c r="A27" s="20">
        <v>1</v>
      </c>
      <c r="B27" s="16" t="s">
        <v>24</v>
      </c>
      <c r="C27" s="120">
        <v>162.35805507954899</v>
      </c>
      <c r="D27" s="123">
        <v>47.748773737128403</v>
      </c>
    </row>
    <row r="28" spans="1:14" ht="14.65" customHeight="1" x14ac:dyDescent="0.2">
      <c r="A28" s="19">
        <v>3</v>
      </c>
      <c r="B28" s="15" t="s">
        <v>25</v>
      </c>
      <c r="C28" s="119">
        <v>159.59691555394599</v>
      </c>
      <c r="D28" s="122">
        <v>50.177039442833099</v>
      </c>
    </row>
    <row r="29" spans="1:14" ht="14.65" customHeight="1" x14ac:dyDescent="0.2">
      <c r="A29" s="20">
        <v>6</v>
      </c>
      <c r="B29" s="16" t="s">
        <v>26</v>
      </c>
      <c r="C29" s="120">
        <v>166.82383012106899</v>
      </c>
      <c r="D29" s="123">
        <v>50.021572203150903</v>
      </c>
    </row>
    <row r="30" spans="1:14" ht="14.65" customHeight="1" x14ac:dyDescent="0.2">
      <c r="A30" s="19">
        <v>4</v>
      </c>
      <c r="B30" s="15" t="s">
        <v>27</v>
      </c>
      <c r="C30" s="119">
        <v>166.434182497145</v>
      </c>
      <c r="D30" s="122">
        <v>48.574795442284199</v>
      </c>
    </row>
    <row r="31" spans="1:14" ht="14.65" customHeight="1" x14ac:dyDescent="0.2">
      <c r="A31" s="20">
        <v>5</v>
      </c>
      <c r="B31" s="16" t="s">
        <v>28</v>
      </c>
      <c r="C31" s="120">
        <v>148.537703141344</v>
      </c>
      <c r="D31" s="123">
        <v>44.981864935763298</v>
      </c>
    </row>
    <row r="32" spans="1:14" ht="14.65" customHeight="1" x14ac:dyDescent="0.2">
      <c r="A32" s="19">
        <v>9</v>
      </c>
      <c r="B32" s="15" t="s">
        <v>29</v>
      </c>
      <c r="C32" s="119">
        <v>120.25982392547201</v>
      </c>
      <c r="D32" s="122">
        <v>37.880703600658599</v>
      </c>
    </row>
    <row r="33" spans="1:4" ht="14.65" customHeight="1" x14ac:dyDescent="0.2">
      <c r="A33" s="20">
        <v>8</v>
      </c>
      <c r="B33" s="16" t="s">
        <v>30</v>
      </c>
      <c r="C33" s="120">
        <v>118.04370116493099</v>
      </c>
      <c r="D33" s="123">
        <v>39.1766423746313</v>
      </c>
    </row>
    <row r="34" spans="1:4" ht="14.65" customHeight="1" x14ac:dyDescent="0.2">
      <c r="A34" s="19">
        <v>3</v>
      </c>
      <c r="B34" s="15" t="s">
        <v>31</v>
      </c>
      <c r="C34" s="119">
        <v>162.299034276735</v>
      </c>
      <c r="D34" s="122">
        <v>50.648239151038503</v>
      </c>
    </row>
    <row r="35" spans="1:4" ht="14.65" customHeight="1" x14ac:dyDescent="0.2">
      <c r="A35" s="20">
        <v>9</v>
      </c>
      <c r="B35" s="16" t="s">
        <v>32</v>
      </c>
      <c r="C35" s="120">
        <v>152.78272916897399</v>
      </c>
      <c r="D35" s="123">
        <v>47.329437309116202</v>
      </c>
    </row>
    <row r="36" spans="1:4" ht="14.65" customHeight="1" x14ac:dyDescent="0.2">
      <c r="A36" s="19">
        <v>1</v>
      </c>
      <c r="B36" s="15" t="s">
        <v>33</v>
      </c>
      <c r="C36" s="119">
        <v>154.54194078136501</v>
      </c>
      <c r="D36" s="122">
        <v>44.834307582456503</v>
      </c>
    </row>
    <row r="37" spans="1:4" ht="14.65" customHeight="1" x14ac:dyDescent="0.2">
      <c r="A37" s="20">
        <v>3</v>
      </c>
      <c r="B37" s="16" t="s">
        <v>34</v>
      </c>
      <c r="C37" s="120">
        <v>163.59293697593299</v>
      </c>
      <c r="D37" s="123">
        <v>50.8624120968406</v>
      </c>
    </row>
    <row r="38" spans="1:4" ht="14.65" customHeight="1" x14ac:dyDescent="0.2">
      <c r="A38" s="19">
        <v>1</v>
      </c>
      <c r="B38" s="15" t="s">
        <v>35</v>
      </c>
      <c r="C38" s="119">
        <v>161.68657801460901</v>
      </c>
      <c r="D38" s="122">
        <v>45.564918521494199</v>
      </c>
    </row>
    <row r="39" spans="1:4" ht="14.65" customHeight="1" x14ac:dyDescent="0.2">
      <c r="A39" s="20">
        <v>3</v>
      </c>
      <c r="B39" s="16" t="s">
        <v>36</v>
      </c>
      <c r="C39" s="120">
        <v>155.83972511792001</v>
      </c>
      <c r="D39" s="123">
        <v>46.555289166218003</v>
      </c>
    </row>
    <row r="40" spans="1:4" ht="14.65" customHeight="1" x14ac:dyDescent="0.2">
      <c r="A40" s="19">
        <v>2</v>
      </c>
      <c r="B40" s="15" t="s">
        <v>37</v>
      </c>
      <c r="C40" s="119">
        <v>155.24783241340199</v>
      </c>
      <c r="D40" s="122">
        <v>45.776736842586097</v>
      </c>
    </row>
    <row r="41" spans="1:4" ht="14.65" customHeight="1" x14ac:dyDescent="0.2">
      <c r="A41" s="20">
        <v>2</v>
      </c>
      <c r="B41" s="16" t="s">
        <v>38</v>
      </c>
      <c r="C41" s="120">
        <v>154.830181415672</v>
      </c>
      <c r="D41" s="123">
        <v>46.012787479162498</v>
      </c>
    </row>
    <row r="42" spans="1:4" ht="14.65" customHeight="1" x14ac:dyDescent="0.2">
      <c r="A42" s="19">
        <v>7</v>
      </c>
      <c r="B42" s="15" t="s">
        <v>39</v>
      </c>
      <c r="C42" s="119">
        <v>146.50051890573201</v>
      </c>
      <c r="D42" s="122">
        <v>44.4510477069527</v>
      </c>
    </row>
    <row r="43" spans="1:4" ht="14.65" customHeight="1" x14ac:dyDescent="0.2">
      <c r="A43" s="20">
        <v>4</v>
      </c>
      <c r="B43" s="16" t="s">
        <v>40</v>
      </c>
      <c r="C43" s="120">
        <v>155.28422696457</v>
      </c>
      <c r="D43" s="123">
        <v>44.953335446580297</v>
      </c>
    </row>
    <row r="44" spans="1:4" ht="14.65" customHeight="1" x14ac:dyDescent="0.2">
      <c r="A44" s="19">
        <v>5</v>
      </c>
      <c r="B44" s="15" t="s">
        <v>41</v>
      </c>
      <c r="C44" s="119">
        <v>177.21158299265699</v>
      </c>
      <c r="D44" s="122">
        <v>52.241383403715503</v>
      </c>
    </row>
    <row r="45" spans="1:4" ht="14.65" customHeight="1" x14ac:dyDescent="0.2">
      <c r="A45" s="20">
        <v>4</v>
      </c>
      <c r="B45" s="16" t="s">
        <v>42</v>
      </c>
      <c r="C45" s="120">
        <v>146.610891560911</v>
      </c>
      <c r="D45" s="123">
        <v>44.059135524966798</v>
      </c>
    </row>
    <row r="46" spans="1:4" ht="14.65" customHeight="1" x14ac:dyDescent="0.2">
      <c r="A46" s="19">
        <v>5</v>
      </c>
      <c r="B46" s="15" t="s">
        <v>43</v>
      </c>
      <c r="C46" s="119">
        <v>155.15980656488099</v>
      </c>
      <c r="D46" s="122">
        <v>44.721850945705398</v>
      </c>
    </row>
    <row r="47" spans="1:4" ht="14.65" customHeight="1" x14ac:dyDescent="0.2">
      <c r="A47" s="20">
        <v>2</v>
      </c>
      <c r="B47" s="16" t="s">
        <v>44</v>
      </c>
      <c r="C47" s="120">
        <v>157.62154984739399</v>
      </c>
      <c r="D47" s="123">
        <v>46.047720505794103</v>
      </c>
    </row>
    <row r="48" spans="1:4" ht="14.65" customHeight="1" x14ac:dyDescent="0.2">
      <c r="A48" s="19">
        <v>5</v>
      </c>
      <c r="B48" s="15" t="s">
        <v>45</v>
      </c>
      <c r="C48" s="119">
        <v>160.19866261464099</v>
      </c>
      <c r="D48" s="122">
        <v>47.489846051960001</v>
      </c>
    </row>
    <row r="49" spans="1:4" ht="14.65" customHeight="1" x14ac:dyDescent="0.2">
      <c r="A49" s="20">
        <v>4</v>
      </c>
      <c r="B49" s="16" t="s">
        <v>46</v>
      </c>
      <c r="C49" s="120">
        <v>156.01745864525299</v>
      </c>
      <c r="D49" s="123">
        <v>44.352139861344</v>
      </c>
    </row>
    <row r="50" spans="1:4" ht="14.65" customHeight="1" x14ac:dyDescent="0.2">
      <c r="A50" s="19">
        <v>9</v>
      </c>
      <c r="B50" s="15" t="s">
        <v>47</v>
      </c>
      <c r="C50" s="119">
        <v>150.897639908261</v>
      </c>
      <c r="D50" s="122">
        <v>46.973641585947099</v>
      </c>
    </row>
    <row r="51" spans="1:4" ht="14.65" customHeight="1" x14ac:dyDescent="0.2">
      <c r="A51" s="20">
        <v>3</v>
      </c>
      <c r="B51" s="16" t="s">
        <v>48</v>
      </c>
      <c r="C51" s="120">
        <v>158.880511304279</v>
      </c>
      <c r="D51" s="123">
        <v>45.819740144733601</v>
      </c>
    </row>
    <row r="52" spans="1:4" ht="14.65" customHeight="1" x14ac:dyDescent="0.2">
      <c r="A52" s="19">
        <v>2</v>
      </c>
      <c r="B52" s="15" t="s">
        <v>49</v>
      </c>
      <c r="C52" s="119">
        <v>160.877869694764</v>
      </c>
      <c r="D52" s="122">
        <v>46.326750083759002</v>
      </c>
    </row>
    <row r="53" spans="1:4" ht="14.65" customHeight="1" x14ac:dyDescent="0.2">
      <c r="A53" s="20">
        <v>4</v>
      </c>
      <c r="B53" s="16" t="s">
        <v>50</v>
      </c>
      <c r="C53" s="120">
        <v>172.14521587266699</v>
      </c>
      <c r="D53" s="123">
        <v>49.4407773719132</v>
      </c>
    </row>
    <row r="54" spans="1:4" ht="14.65" customHeight="1" x14ac:dyDescent="0.2">
      <c r="A54" s="19">
        <v>6</v>
      </c>
      <c r="B54" s="15" t="s">
        <v>51</v>
      </c>
      <c r="C54" s="119">
        <v>158.103955736735</v>
      </c>
      <c r="D54" s="122">
        <v>48.895183771284799</v>
      </c>
    </row>
    <row r="55" spans="1:4" ht="14.65" customHeight="1" x14ac:dyDescent="0.2">
      <c r="A55" s="20">
        <v>6</v>
      </c>
      <c r="B55" s="16" t="s">
        <v>52</v>
      </c>
      <c r="C55" s="120">
        <v>153.27880386601399</v>
      </c>
      <c r="D55" s="123">
        <v>47.679549430679202</v>
      </c>
    </row>
    <row r="56" spans="1:4" ht="14.65" customHeight="1" x14ac:dyDescent="0.2">
      <c r="A56" s="19">
        <v>5</v>
      </c>
      <c r="B56" s="15" t="s">
        <v>53</v>
      </c>
      <c r="C56" s="119">
        <v>161.73917881884901</v>
      </c>
      <c r="D56" s="122">
        <v>49.447856232821103</v>
      </c>
    </row>
    <row r="57" spans="1:4" ht="14.65" customHeight="1" x14ac:dyDescent="0.2">
      <c r="A57" s="20">
        <v>9</v>
      </c>
      <c r="B57" s="16" t="s">
        <v>54</v>
      </c>
      <c r="C57" s="120">
        <v>136.07154005051399</v>
      </c>
      <c r="D57" s="123">
        <v>42.789135994789497</v>
      </c>
    </row>
    <row r="58" spans="1:4" ht="14.65" customHeight="1" x14ac:dyDescent="0.2">
      <c r="A58" s="19">
        <v>6</v>
      </c>
      <c r="B58" s="15" t="s">
        <v>55</v>
      </c>
      <c r="C58" s="119">
        <v>154.05364119260599</v>
      </c>
      <c r="D58" s="122">
        <v>46.407763370593102</v>
      </c>
    </row>
    <row r="59" spans="1:4" ht="14.65" customHeight="1" x14ac:dyDescent="0.2">
      <c r="A59" s="20">
        <v>6</v>
      </c>
      <c r="B59" s="16" t="s">
        <v>56</v>
      </c>
      <c r="C59" s="120">
        <v>157.64452504896801</v>
      </c>
      <c r="D59" s="123">
        <v>49.032380565679802</v>
      </c>
    </row>
    <row r="60" spans="1:4" ht="14.65" customHeight="1" x14ac:dyDescent="0.2">
      <c r="A60" s="19">
        <v>9</v>
      </c>
      <c r="B60" s="15" t="s">
        <v>57</v>
      </c>
      <c r="C60" s="119">
        <v>153.387346180007</v>
      </c>
      <c r="D60" s="122">
        <v>45.855953007829797</v>
      </c>
    </row>
    <row r="61" spans="1:4" ht="14.65" customHeight="1" x14ac:dyDescent="0.2">
      <c r="A61" s="20">
        <v>2</v>
      </c>
      <c r="B61" s="16" t="s">
        <v>58</v>
      </c>
      <c r="C61" s="120">
        <v>164.14051275245799</v>
      </c>
      <c r="D61" s="123">
        <v>47.268408943096503</v>
      </c>
    </row>
    <row r="62" spans="1:4" ht="14.65" customHeight="1" x14ac:dyDescent="0.2">
      <c r="A62" s="19">
        <v>9</v>
      </c>
      <c r="B62" s="15" t="s">
        <v>59</v>
      </c>
      <c r="C62" s="119">
        <v>138.94959743336801</v>
      </c>
      <c r="D62" s="122">
        <v>43.927806733676697</v>
      </c>
    </row>
    <row r="63" spans="1:4" ht="14.65" customHeight="1" x14ac:dyDescent="0.2">
      <c r="A63" s="20">
        <v>6</v>
      </c>
      <c r="B63" s="16" t="s">
        <v>60</v>
      </c>
      <c r="C63" s="120">
        <v>156.59703068511999</v>
      </c>
      <c r="D63" s="123">
        <v>47.602422429824699</v>
      </c>
    </row>
    <row r="64" spans="1:4" ht="14.65" customHeight="1" x14ac:dyDescent="0.2">
      <c r="A64" s="19">
        <v>9</v>
      </c>
      <c r="B64" s="15" t="s">
        <v>61</v>
      </c>
      <c r="C64" s="119">
        <v>154.288461888092</v>
      </c>
      <c r="D64" s="122">
        <v>46.506830278022299</v>
      </c>
    </row>
    <row r="65" spans="1:5" ht="14.65" customHeight="1" x14ac:dyDescent="0.2">
      <c r="A65" s="20">
        <v>8</v>
      </c>
      <c r="B65" s="16" t="s">
        <v>62</v>
      </c>
      <c r="C65" s="120">
        <v>109.87049484466399</v>
      </c>
      <c r="D65" s="123">
        <v>37.627634000849604</v>
      </c>
    </row>
    <row r="66" spans="1:5" ht="14.65" customHeight="1" x14ac:dyDescent="0.2">
      <c r="A66" s="19">
        <v>1</v>
      </c>
      <c r="B66" s="15" t="s">
        <v>63</v>
      </c>
      <c r="C66" s="119">
        <v>170.876550542747</v>
      </c>
      <c r="D66" s="122">
        <v>50.251185826746102</v>
      </c>
    </row>
    <row r="67" spans="1:5" ht="14.65" customHeight="1" x14ac:dyDescent="0.2">
      <c r="A67" s="20">
        <v>8</v>
      </c>
      <c r="B67" s="16" t="s">
        <v>64</v>
      </c>
      <c r="C67" s="120">
        <v>132.01187753360401</v>
      </c>
      <c r="D67" s="123">
        <v>43.175254046773901</v>
      </c>
    </row>
    <row r="68" spans="1:5" ht="14.65" customHeight="1" x14ac:dyDescent="0.2">
      <c r="A68" s="19">
        <v>9</v>
      </c>
      <c r="B68" s="15" t="s">
        <v>65</v>
      </c>
      <c r="C68" s="119">
        <v>148.89370367309101</v>
      </c>
      <c r="D68" s="122">
        <v>47.1663047401846</v>
      </c>
    </row>
    <row r="69" spans="1:5" ht="14.65" customHeight="1" x14ac:dyDescent="0.2">
      <c r="A69" s="20">
        <v>8</v>
      </c>
      <c r="B69" s="16" t="s">
        <v>66</v>
      </c>
      <c r="C69" s="120">
        <v>138.506956825446</v>
      </c>
      <c r="D69" s="123">
        <v>44.882649586739703</v>
      </c>
    </row>
    <row r="70" spans="1:5" ht="14.65" customHeight="1" x14ac:dyDescent="0.2">
      <c r="A70" s="19">
        <v>5</v>
      </c>
      <c r="B70" s="15" t="s">
        <v>67</v>
      </c>
      <c r="C70" s="119">
        <v>168.56903947231001</v>
      </c>
      <c r="D70" s="122">
        <v>50.928408952876602</v>
      </c>
    </row>
    <row r="71" spans="1:5" ht="14.65" customHeight="1" x14ac:dyDescent="0.2">
      <c r="A71" s="20">
        <v>7</v>
      </c>
      <c r="B71" s="16" t="s">
        <v>68</v>
      </c>
      <c r="C71" s="120">
        <v>148.99297480493399</v>
      </c>
      <c r="D71" s="123">
        <v>44.752175935073701</v>
      </c>
      <c r="E71" s="81"/>
    </row>
    <row r="72" spans="1:5" ht="14.65" customHeight="1" x14ac:dyDescent="0.2">
      <c r="A72" s="19">
        <v>2</v>
      </c>
      <c r="B72" s="15" t="s">
        <v>69</v>
      </c>
      <c r="C72" s="119">
        <v>159.40573418827199</v>
      </c>
      <c r="D72" s="122">
        <v>46.135201005628502</v>
      </c>
    </row>
    <row r="73" spans="1:5" ht="14.65" customHeight="1" x14ac:dyDescent="0.2">
      <c r="A73" s="20">
        <v>4</v>
      </c>
      <c r="B73" s="16" t="s">
        <v>70</v>
      </c>
      <c r="C73" s="120">
        <v>156.227178655985</v>
      </c>
      <c r="D73" s="123">
        <v>43.428159217263499</v>
      </c>
    </row>
    <row r="74" spans="1:5" ht="14.65" customHeight="1" x14ac:dyDescent="0.2">
      <c r="A74" s="19">
        <v>8</v>
      </c>
      <c r="B74" s="15" t="s">
        <v>71</v>
      </c>
      <c r="C74" s="119">
        <v>113.908675751373</v>
      </c>
      <c r="D74" s="122">
        <v>38.531484476495997</v>
      </c>
      <c r="E74" s="42"/>
    </row>
    <row r="75" spans="1:5" ht="14.65" customHeight="1" x14ac:dyDescent="0.2">
      <c r="A75" s="20">
        <v>7</v>
      </c>
      <c r="B75" s="16" t="s">
        <v>72</v>
      </c>
      <c r="C75" s="120">
        <v>147.79727435966899</v>
      </c>
      <c r="D75" s="123">
        <v>45.142254300038402</v>
      </c>
    </row>
    <row r="76" spans="1:5" ht="14.65" customHeight="1" x14ac:dyDescent="0.2">
      <c r="A76" s="19">
        <v>6</v>
      </c>
      <c r="B76" s="15" t="s">
        <v>73</v>
      </c>
      <c r="C76" s="119">
        <v>156.20598594270999</v>
      </c>
      <c r="D76" s="122">
        <v>47.673875327874001</v>
      </c>
    </row>
    <row r="77" spans="1:5" ht="14.65" customHeight="1" x14ac:dyDescent="0.2">
      <c r="A77" s="20">
        <v>1</v>
      </c>
      <c r="B77" s="16" t="s">
        <v>74</v>
      </c>
      <c r="C77" s="120">
        <v>171.86104067083801</v>
      </c>
      <c r="D77" s="123">
        <v>50.450107334316201</v>
      </c>
    </row>
    <row r="78" spans="1:5" ht="14.65" customHeight="1" x14ac:dyDescent="0.2">
      <c r="A78" s="19">
        <v>1</v>
      </c>
      <c r="B78" s="15" t="s">
        <v>75</v>
      </c>
      <c r="C78" s="119">
        <v>165.81441765516399</v>
      </c>
      <c r="D78" s="122">
        <v>48.621253267272202</v>
      </c>
    </row>
    <row r="79" spans="1:5" ht="14.65" customHeight="1" x14ac:dyDescent="0.2">
      <c r="A79" s="20">
        <v>7</v>
      </c>
      <c r="B79" s="16" t="s">
        <v>76</v>
      </c>
      <c r="C79" s="120">
        <v>141.619355068994</v>
      </c>
      <c r="D79" s="123">
        <v>44.485561727921002</v>
      </c>
    </row>
    <row r="80" spans="1:5" ht="14.65" customHeight="1" x14ac:dyDescent="0.2">
      <c r="A80" s="19">
        <v>1</v>
      </c>
      <c r="B80" s="15" t="s">
        <v>77</v>
      </c>
      <c r="C80" s="119">
        <v>161.71161265720801</v>
      </c>
      <c r="D80" s="122">
        <v>45.965275221114098</v>
      </c>
    </row>
    <row r="81" spans="1:5" ht="14.65" customHeight="1" x14ac:dyDescent="0.2">
      <c r="A81" s="20">
        <v>1</v>
      </c>
      <c r="B81" s="16" t="s">
        <v>78</v>
      </c>
      <c r="C81" s="120">
        <v>163.948239783763</v>
      </c>
      <c r="D81" s="123">
        <v>49.563022223194402</v>
      </c>
    </row>
    <row r="82" spans="1:5" ht="14.65" customHeight="1" x14ac:dyDescent="0.2">
      <c r="A82" s="19">
        <v>1</v>
      </c>
      <c r="B82" s="15" t="s">
        <v>79</v>
      </c>
      <c r="C82" s="119">
        <v>165.77244227092999</v>
      </c>
      <c r="D82" s="122">
        <v>46.337841689832103</v>
      </c>
    </row>
    <row r="83" spans="1:5" ht="14.65" customHeight="1" x14ac:dyDescent="0.2">
      <c r="A83" s="20">
        <v>5</v>
      </c>
      <c r="B83" s="16" t="s">
        <v>80</v>
      </c>
      <c r="C83" s="120">
        <v>150.74015672988</v>
      </c>
      <c r="D83" s="123">
        <v>45.115087158514498</v>
      </c>
    </row>
    <row r="84" spans="1:5" ht="14.65" customHeight="1" x14ac:dyDescent="0.2">
      <c r="A84" s="19">
        <v>7</v>
      </c>
      <c r="B84" s="15" t="s">
        <v>128</v>
      </c>
      <c r="C84" s="119">
        <v>157.82289133986501</v>
      </c>
      <c r="D84" s="122">
        <v>46.766312091289898</v>
      </c>
    </row>
    <row r="85" spans="1:5" ht="14.65" customHeight="1" x14ac:dyDescent="0.2">
      <c r="A85" s="20">
        <v>7</v>
      </c>
      <c r="B85" s="16" t="s">
        <v>129</v>
      </c>
      <c r="C85" s="120">
        <v>152.83742944586299</v>
      </c>
      <c r="D85" s="123">
        <v>43.734461454289303</v>
      </c>
      <c r="E85" s="81"/>
    </row>
    <row r="86" spans="1:5" ht="14.65" customHeight="1" x14ac:dyDescent="0.2">
      <c r="A86" s="19">
        <v>5</v>
      </c>
      <c r="B86" s="15" t="s">
        <v>81</v>
      </c>
      <c r="C86" s="119">
        <v>157.045920631846</v>
      </c>
      <c r="D86" s="122">
        <v>48.8495126870855</v>
      </c>
    </row>
    <row r="87" spans="1:5" ht="14.65" customHeight="1" x14ac:dyDescent="0.2">
      <c r="A87" s="20">
        <v>8</v>
      </c>
      <c r="B87" s="16" t="s">
        <v>82</v>
      </c>
      <c r="C87" s="120">
        <v>113.208927465142</v>
      </c>
      <c r="D87" s="123">
        <v>38.406339711304497</v>
      </c>
    </row>
    <row r="88" spans="1:5" ht="14.65" customHeight="1" x14ac:dyDescent="0.2">
      <c r="A88" s="19">
        <v>4</v>
      </c>
      <c r="B88" s="15" t="s">
        <v>83</v>
      </c>
      <c r="C88" s="119">
        <v>165.288047653099</v>
      </c>
      <c r="D88" s="122">
        <v>47.557827111714801</v>
      </c>
    </row>
    <row r="89" spans="1:5" ht="14.65" customHeight="1" x14ac:dyDescent="0.2">
      <c r="A89" s="20">
        <v>6</v>
      </c>
      <c r="B89" s="16" t="s">
        <v>84</v>
      </c>
      <c r="C89" s="120">
        <v>165.007299994596</v>
      </c>
      <c r="D89" s="123">
        <v>52.573750261915897</v>
      </c>
    </row>
    <row r="90" spans="1:5" ht="14.65" customHeight="1" x14ac:dyDescent="0.2">
      <c r="A90" s="19">
        <v>4</v>
      </c>
      <c r="B90" s="15" t="s">
        <v>85</v>
      </c>
      <c r="C90" s="119">
        <v>167.97105810862701</v>
      </c>
      <c r="D90" s="122">
        <v>48.6405385345669</v>
      </c>
    </row>
    <row r="91" spans="1:5" ht="14.65" customHeight="1" x14ac:dyDescent="0.2">
      <c r="A91" s="20">
        <v>1</v>
      </c>
      <c r="B91" s="16" t="s">
        <v>86</v>
      </c>
      <c r="C91" s="120">
        <v>172.90080878808999</v>
      </c>
      <c r="D91" s="123">
        <v>52.624755938377099</v>
      </c>
    </row>
    <row r="92" spans="1:5" ht="14.65" customHeight="1" x14ac:dyDescent="0.2">
      <c r="A92" s="19">
        <v>5</v>
      </c>
      <c r="B92" s="15" t="s">
        <v>87</v>
      </c>
      <c r="C92" s="119">
        <v>158.911894466625</v>
      </c>
      <c r="D92" s="122">
        <v>45.917356686952999</v>
      </c>
    </row>
    <row r="93" spans="1:5" ht="14.65" customHeight="1" x14ac:dyDescent="0.2">
      <c r="A93" s="20">
        <v>5</v>
      </c>
      <c r="B93" s="16" t="s">
        <v>88</v>
      </c>
      <c r="C93" s="120">
        <v>164.931431265349</v>
      </c>
      <c r="D93" s="123">
        <v>50.100701518411398</v>
      </c>
    </row>
    <row r="94" spans="1:5" ht="14.65" customHeight="1" x14ac:dyDescent="0.2">
      <c r="A94" s="19">
        <v>7</v>
      </c>
      <c r="B94" s="15" t="s">
        <v>89</v>
      </c>
      <c r="C94" s="119">
        <v>122.96989916870599</v>
      </c>
      <c r="D94" s="122">
        <v>40.191027625100197</v>
      </c>
    </row>
    <row r="95" spans="1:5" ht="14.65" customHeight="1" x14ac:dyDescent="0.2">
      <c r="A95" s="20">
        <v>8</v>
      </c>
      <c r="B95" s="16" t="s">
        <v>90</v>
      </c>
      <c r="C95" s="120">
        <v>133.41747310148801</v>
      </c>
      <c r="D95" s="123">
        <v>42.187716379495498</v>
      </c>
    </row>
    <row r="96" spans="1:5" ht="14.65" customHeight="1" x14ac:dyDescent="0.2">
      <c r="A96" s="19">
        <v>9</v>
      </c>
      <c r="B96" s="15" t="s">
        <v>91</v>
      </c>
      <c r="C96" s="119">
        <v>123.34774706770099</v>
      </c>
      <c r="D96" s="122">
        <v>38.920186433775299</v>
      </c>
    </row>
    <row r="97" spans="1:18" ht="14.65" customHeight="1" x14ac:dyDescent="0.2">
      <c r="A97" s="20">
        <v>9</v>
      </c>
      <c r="B97" s="16" t="s">
        <v>92</v>
      </c>
      <c r="C97" s="120">
        <v>141.29443023537601</v>
      </c>
      <c r="D97" s="123">
        <v>43.312027895212701</v>
      </c>
    </row>
    <row r="98" spans="1:18" ht="14.65" customHeight="1" x14ac:dyDescent="0.2">
      <c r="A98" s="19">
        <v>8</v>
      </c>
      <c r="B98" s="15" t="s">
        <v>93</v>
      </c>
      <c r="C98" s="119">
        <v>130.892179777118</v>
      </c>
      <c r="D98" s="122">
        <v>42.864486788268898</v>
      </c>
    </row>
    <row r="99" spans="1:18" ht="14.65" customHeight="1" x14ac:dyDescent="0.2">
      <c r="A99" s="20">
        <v>9</v>
      </c>
      <c r="B99" s="16" t="s">
        <v>94</v>
      </c>
      <c r="C99" s="120">
        <v>162.05180964105401</v>
      </c>
      <c r="D99" s="123">
        <v>48.274374481180601</v>
      </c>
    </row>
    <row r="100" spans="1:18" ht="14.65" customHeight="1" x14ac:dyDescent="0.2">
      <c r="A100" s="19">
        <v>8</v>
      </c>
      <c r="B100" s="15" t="s">
        <v>95</v>
      </c>
      <c r="C100" s="119">
        <v>111.483151623438</v>
      </c>
      <c r="D100" s="122">
        <v>36.717076044922599</v>
      </c>
    </row>
    <row r="101" spans="1:18" ht="14.65" customHeight="1" x14ac:dyDescent="0.2">
      <c r="A101" s="20">
        <v>5</v>
      </c>
      <c r="B101" s="16" t="s">
        <v>96</v>
      </c>
      <c r="C101" s="120">
        <v>159.877600455155</v>
      </c>
      <c r="D101" s="123">
        <v>45.425788711381799</v>
      </c>
    </row>
    <row r="102" spans="1:18" ht="14.65" customHeight="1" x14ac:dyDescent="0.2">
      <c r="A102" s="19">
        <v>2</v>
      </c>
      <c r="B102" s="15" t="s">
        <v>97</v>
      </c>
      <c r="C102" s="119">
        <v>161.13380341141601</v>
      </c>
      <c r="D102" s="122">
        <v>45.581040493300499</v>
      </c>
    </row>
    <row r="103" spans="1:18" ht="14.65" customHeight="1" x14ac:dyDescent="0.2">
      <c r="A103" s="20">
        <v>3</v>
      </c>
      <c r="B103" s="16" t="s">
        <v>98</v>
      </c>
      <c r="C103" s="120">
        <v>159.04411719448501</v>
      </c>
      <c r="D103" s="123">
        <v>46.099139944707403</v>
      </c>
    </row>
    <row r="104" spans="1:18" ht="14.65" customHeight="1" x14ac:dyDescent="0.2">
      <c r="A104" s="19">
        <v>4</v>
      </c>
      <c r="B104" s="15" t="s">
        <v>99</v>
      </c>
      <c r="C104" s="119">
        <v>157.09780504960401</v>
      </c>
      <c r="D104" s="122">
        <v>44.729625172380203</v>
      </c>
    </row>
    <row r="105" spans="1:18" ht="14.65" customHeight="1" x14ac:dyDescent="0.2">
      <c r="A105" s="20">
        <v>2</v>
      </c>
      <c r="B105" s="16" t="s">
        <v>100</v>
      </c>
      <c r="C105" s="120">
        <v>158.58637737249501</v>
      </c>
      <c r="D105" s="123">
        <v>44.7729992053385</v>
      </c>
    </row>
    <row r="106" spans="1:18" ht="14.65" customHeight="1" thickBot="1" x14ac:dyDescent="0.25">
      <c r="A106" s="19">
        <v>2</v>
      </c>
      <c r="B106" s="15" t="s">
        <v>101</v>
      </c>
      <c r="C106" s="119">
        <v>153.742508502101</v>
      </c>
      <c r="D106" s="122">
        <v>44.192005993462303</v>
      </c>
    </row>
    <row r="107" spans="1:18" x14ac:dyDescent="0.2">
      <c r="A107" s="21"/>
      <c r="B107" s="17" t="s">
        <v>102</v>
      </c>
      <c r="C107" s="33">
        <f>AVERAGE(C7:C106)</f>
        <v>152.64423439032282</v>
      </c>
      <c r="D107" s="34">
        <f t="shared" ref="D107" si="0">AVERAGE(D7:D106)</f>
        <v>45.972555918772414</v>
      </c>
    </row>
    <row r="108" spans="1:18" x14ac:dyDescent="0.2">
      <c r="A108" s="56" t="s">
        <v>273</v>
      </c>
    </row>
    <row r="109" spans="1:18" s="35" customFormat="1" x14ac:dyDescent="0.2">
      <c r="A109" s="24" t="s">
        <v>266</v>
      </c>
      <c r="F109" s="3"/>
      <c r="Q109" s="3"/>
      <c r="R109" s="3"/>
    </row>
    <row r="110" spans="1:18" x14ac:dyDescent="0.2">
      <c r="A110" s="56"/>
      <c r="R110" s="35"/>
    </row>
    <row r="111" spans="1:18" x14ac:dyDescent="0.2">
      <c r="A111" s="25"/>
      <c r="Q111" s="35"/>
    </row>
  </sheetData>
  <sheetProtection sheet="1" sort="0" autoFilter="0"/>
  <protectedRanges>
    <protectedRange sqref="A6:D106" name="Range1"/>
  </protectedRanges>
  <mergeCells count="2">
    <mergeCell ref="G4:H4"/>
    <mergeCell ref="C5:D5"/>
  </mergeCells>
  <hyperlinks>
    <hyperlink ref="A109" r:id="rId1" display="https://www.fsa.usda.gov/programs-and-services/arcplc_program/arcplc-program-data/index" xr:uid="{00000000-0004-0000-0C00-000000000000}"/>
  </hyperlinks>
  <pageMargins left="0.7" right="0.7" top="0.75" bottom="0.75" header="0.3" footer="0.3"/>
  <pageSetup scale="62" orientation="portrait" r:id="rId2"/>
  <colBreaks count="1" manualBreakCount="1">
    <brk id="16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AL98"/>
  <sheetViews>
    <sheetView zoomScale="98" zoomScaleNormal="98" workbookViewId="0"/>
  </sheetViews>
  <sheetFormatPr defaultColWidth="8.7109375" defaultRowHeight="14.25" x14ac:dyDescent="0.2"/>
  <cols>
    <col min="1" max="1" width="35.28515625" style="244" customWidth="1"/>
    <col min="2" max="8" width="10.7109375" style="244" customWidth="1"/>
    <col min="9" max="9" width="5.5703125" style="244" customWidth="1"/>
    <col min="10" max="10" width="37.42578125" style="244" customWidth="1"/>
    <col min="11" max="17" width="11.28515625" style="244" customWidth="1"/>
    <col min="18" max="18" width="10.5703125" style="244" customWidth="1"/>
    <col min="19" max="19" width="10.5703125" style="309" customWidth="1"/>
    <col min="20" max="21" width="10.5703125" style="245" hidden="1" customWidth="1"/>
    <col min="22" max="29" width="10.42578125" style="244" customWidth="1"/>
    <col min="30" max="35" width="9.28515625" style="244" customWidth="1"/>
    <col min="36" max="37" width="10.28515625" style="244" customWidth="1"/>
    <col min="38" max="38" width="9.5703125" style="244" customWidth="1"/>
    <col min="39" max="16384" width="8.7109375" style="244"/>
  </cols>
  <sheetData>
    <row r="1" spans="1:38" s="344" customFormat="1" ht="30" customHeight="1" thickBot="1" x14ac:dyDescent="0.35">
      <c r="A1" s="343" t="s">
        <v>293</v>
      </c>
      <c r="T1" s="345"/>
      <c r="U1" s="345"/>
    </row>
    <row r="2" spans="1:38" s="242" customFormat="1" ht="15.75" thickTop="1" x14ac:dyDescent="0.25">
      <c r="A2" s="133" t="s">
        <v>103</v>
      </c>
      <c r="T2" s="152"/>
      <c r="U2" s="152"/>
    </row>
    <row r="3" spans="1:38" x14ac:dyDescent="0.2">
      <c r="A3" s="243" t="s">
        <v>132</v>
      </c>
      <c r="S3" s="244"/>
    </row>
    <row r="4" spans="1:38" ht="14.25" customHeight="1" x14ac:dyDescent="0.2">
      <c r="A4" s="371" t="s">
        <v>287</v>
      </c>
      <c r="B4" s="175"/>
      <c r="C4" s="175"/>
      <c r="D4" s="175"/>
      <c r="E4" s="175"/>
      <c r="F4" s="175"/>
      <c r="G4" s="175"/>
      <c r="H4" s="175"/>
      <c r="S4" s="244"/>
    </row>
    <row r="5" spans="1:38" ht="15" thickBot="1" x14ac:dyDescent="0.25">
      <c r="A5" s="176"/>
      <c r="B5" s="136"/>
      <c r="C5" s="136"/>
      <c r="D5" s="136"/>
      <c r="E5" s="136"/>
      <c r="F5" s="136"/>
      <c r="G5" s="136"/>
      <c r="H5" s="136"/>
      <c r="S5" s="244"/>
    </row>
    <row r="6" spans="1:38" s="247" customFormat="1" ht="16.5" thickBot="1" x14ac:dyDescent="0.25">
      <c r="A6" s="330" t="s">
        <v>125</v>
      </c>
      <c r="B6" s="335"/>
      <c r="C6" s="335"/>
      <c r="D6" s="335"/>
      <c r="E6" s="335"/>
      <c r="F6" s="335"/>
      <c r="G6" s="335"/>
      <c r="H6" s="338"/>
      <c r="I6" s="246"/>
      <c r="J6" s="245"/>
      <c r="K6" s="245"/>
      <c r="L6" s="245"/>
      <c r="N6" s="245"/>
      <c r="O6" s="51"/>
      <c r="P6" s="245"/>
      <c r="Q6" s="245"/>
      <c r="T6" s="245"/>
      <c r="U6" s="245"/>
      <c r="AB6" s="245"/>
      <c r="AC6" s="245"/>
      <c r="AD6" s="245"/>
      <c r="AE6" s="245"/>
      <c r="AF6" s="245"/>
      <c r="AG6" s="245"/>
      <c r="AH6" s="245"/>
    </row>
    <row r="7" spans="1:38" s="247" customFormat="1" ht="24.4" customHeight="1" thickBot="1" x14ac:dyDescent="0.25">
      <c r="A7" s="375" t="s">
        <v>47</v>
      </c>
      <c r="B7" s="376"/>
      <c r="C7" s="376"/>
      <c r="D7" s="377"/>
      <c r="E7" s="248"/>
      <c r="G7" s="244"/>
      <c r="M7" s="249"/>
      <c r="N7" s="249"/>
      <c r="O7" s="249"/>
      <c r="P7" s="249"/>
      <c r="Q7" s="249"/>
      <c r="R7" s="249"/>
      <c r="S7" s="141"/>
      <c r="T7" s="249"/>
      <c r="U7" s="249"/>
      <c r="V7" s="250"/>
      <c r="W7" s="250"/>
      <c r="AF7" s="245"/>
      <c r="AG7" s="245"/>
      <c r="AH7" s="245"/>
      <c r="AI7" s="245"/>
      <c r="AJ7" s="245"/>
      <c r="AK7" s="245"/>
      <c r="AL7" s="245"/>
    </row>
    <row r="8" spans="1:38" s="247" customFormat="1" ht="15.75" thickBot="1" x14ac:dyDescent="0.3">
      <c r="A8" s="251"/>
      <c r="B8" s="246"/>
      <c r="C8" s="235"/>
      <c r="D8" s="249"/>
      <c r="F8" s="249"/>
      <c r="G8" s="249"/>
      <c r="H8" s="249"/>
      <c r="I8" s="249"/>
      <c r="J8" s="249"/>
      <c r="K8" s="249"/>
      <c r="L8" s="249"/>
      <c r="M8" s="249"/>
      <c r="N8" s="249"/>
      <c r="O8" s="141"/>
      <c r="P8" s="249"/>
      <c r="Q8" s="249"/>
      <c r="R8" s="235"/>
      <c r="S8" s="235"/>
      <c r="T8" s="249"/>
      <c r="U8" s="245"/>
      <c r="AB8" s="245"/>
      <c r="AC8" s="245"/>
      <c r="AD8" s="245"/>
      <c r="AE8" s="245"/>
      <c r="AF8" s="245"/>
      <c r="AG8" s="245"/>
      <c r="AH8" s="245"/>
    </row>
    <row r="9" spans="1:38" s="247" customFormat="1" ht="16.5" thickBot="1" x14ac:dyDescent="0.25">
      <c r="A9" s="330" t="s">
        <v>342</v>
      </c>
      <c r="B9" s="335"/>
      <c r="C9" s="335"/>
      <c r="D9" s="335"/>
      <c r="E9" s="335"/>
      <c r="F9" s="335"/>
      <c r="G9" s="335"/>
      <c r="H9" s="338"/>
      <c r="I9" s="252"/>
      <c r="J9" s="51"/>
      <c r="K9" s="51"/>
      <c r="L9" s="51"/>
      <c r="M9" s="50"/>
      <c r="N9" s="51"/>
      <c r="O9" s="51"/>
      <c r="P9" s="51"/>
      <c r="Q9" s="51"/>
      <c r="R9" s="50"/>
      <c r="T9" s="245"/>
      <c r="U9" s="245"/>
      <c r="AB9" s="245"/>
      <c r="AC9" s="245"/>
      <c r="AD9" s="245"/>
      <c r="AE9" s="245"/>
      <c r="AF9" s="245"/>
      <c r="AG9" s="245"/>
      <c r="AH9" s="245"/>
    </row>
    <row r="10" spans="1:38" s="247" customFormat="1" x14ac:dyDescent="0.2">
      <c r="A10" s="253"/>
      <c r="B10" s="252"/>
      <c r="C10" s="235"/>
      <c r="D10" s="141"/>
      <c r="E10" s="50"/>
      <c r="F10" s="254" t="s">
        <v>325</v>
      </c>
      <c r="G10" s="254" t="s">
        <v>326</v>
      </c>
      <c r="H10" s="145"/>
      <c r="I10" s="141"/>
      <c r="J10" s="141"/>
      <c r="K10" s="141"/>
      <c r="L10" s="141"/>
      <c r="M10" s="141"/>
      <c r="N10" s="141"/>
      <c r="O10" s="141"/>
      <c r="P10" s="141"/>
      <c r="Q10" s="141"/>
      <c r="R10" s="235"/>
      <c r="S10" s="235"/>
      <c r="T10" s="249"/>
      <c r="U10" s="245"/>
      <c r="AB10" s="245"/>
      <c r="AC10" s="245"/>
      <c r="AD10" s="245"/>
      <c r="AE10" s="245"/>
      <c r="AF10" s="245"/>
      <c r="AG10" s="245"/>
      <c r="AH10" s="245"/>
    </row>
    <row r="11" spans="1:38" s="247" customFormat="1" x14ac:dyDescent="0.2">
      <c r="A11" s="255" t="str">
        <f>+"Projected "&amp;RIGHT($A$1,7)&amp;" Marketing Year Average (MYA) Price"</f>
        <v>Projected 2024-25 Marketing Year Average (MYA) Price</v>
      </c>
      <c r="B11" s="252"/>
      <c r="C11" s="235"/>
      <c r="D11" s="141"/>
      <c r="E11" s="50"/>
      <c r="F11" s="324">
        <v>4.4000000000000004</v>
      </c>
      <c r="G11" s="324">
        <v>11.3</v>
      </c>
      <c r="H11" s="145" t="s">
        <v>329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235"/>
      <c r="S11" s="235"/>
      <c r="T11" s="249"/>
      <c r="U11" s="245"/>
      <c r="AB11" s="245"/>
      <c r="AC11" s="245"/>
      <c r="AD11" s="245"/>
      <c r="AE11" s="245"/>
      <c r="AF11" s="245"/>
      <c r="AG11" s="245"/>
      <c r="AH11" s="245"/>
    </row>
    <row r="12" spans="1:38" s="247" customFormat="1" x14ac:dyDescent="0.2">
      <c r="A12" s="255" t="str">
        <f>+"Projected County Yield in "&amp;LEFT(RIGHT($A$1,7),4)&amp;"*"</f>
        <v>Projected County Yield in 2024*</v>
      </c>
      <c r="B12" s="252"/>
      <c r="C12" s="235"/>
      <c r="D12" s="141"/>
      <c r="E12" s="50"/>
      <c r="F12" s="325"/>
      <c r="G12" s="325"/>
      <c r="H12" s="145" t="s">
        <v>341</v>
      </c>
      <c r="I12" s="141"/>
      <c r="J12" s="141"/>
      <c r="K12" s="141"/>
      <c r="L12" s="141"/>
      <c r="M12" s="141"/>
      <c r="N12" s="141"/>
      <c r="O12" s="141"/>
      <c r="P12" s="141"/>
      <c r="Q12" s="141"/>
      <c r="R12" s="235"/>
      <c r="S12" s="235"/>
      <c r="T12" s="249"/>
      <c r="U12" s="245"/>
      <c r="AB12" s="245"/>
      <c r="AC12" s="245"/>
      <c r="AD12" s="245"/>
      <c r="AE12" s="245"/>
      <c r="AF12" s="245"/>
      <c r="AG12" s="245"/>
      <c r="AH12" s="245"/>
    </row>
    <row r="13" spans="1:38" s="247" customFormat="1" x14ac:dyDescent="0.2">
      <c r="A13" s="256" t="str">
        <f>+"Your Base Acres in each Crop in "&amp;$A$7&amp;" County "</f>
        <v xml:space="preserve">Your Base Acres in each Crop in Henry County </v>
      </c>
      <c r="B13" s="252"/>
      <c r="C13" s="235"/>
      <c r="D13" s="141"/>
      <c r="E13" s="50"/>
      <c r="F13" s="325"/>
      <c r="G13" s="325"/>
      <c r="H13" s="145" t="s">
        <v>327</v>
      </c>
      <c r="I13" s="141"/>
      <c r="J13" s="141"/>
      <c r="K13" s="141"/>
      <c r="L13" s="141"/>
      <c r="M13" s="141"/>
      <c r="N13" s="141"/>
      <c r="O13" s="141"/>
      <c r="P13" s="141"/>
      <c r="Q13" s="141"/>
      <c r="R13" s="235"/>
      <c r="S13" s="235"/>
      <c r="T13" s="249"/>
      <c r="U13" s="245"/>
      <c r="AB13" s="245"/>
      <c r="AC13" s="245"/>
      <c r="AD13" s="245"/>
      <c r="AE13" s="245"/>
      <c r="AF13" s="245"/>
      <c r="AG13" s="245"/>
      <c r="AH13" s="245"/>
    </row>
    <row r="14" spans="1:38" s="247" customFormat="1" x14ac:dyDescent="0.2">
      <c r="A14" s="256" t="str">
        <f>+"Your Farm PLC Yields in "&amp;A7&amp;" County**"</f>
        <v>Your Farm PLC Yields in Henry County**</v>
      </c>
      <c r="B14" s="252"/>
      <c r="C14" s="235"/>
      <c r="D14" s="141"/>
      <c r="E14" s="50"/>
      <c r="F14" s="325"/>
      <c r="G14" s="325"/>
      <c r="H14" s="145" t="s">
        <v>341</v>
      </c>
      <c r="I14" s="141"/>
      <c r="J14" s="141"/>
      <c r="K14" s="141"/>
      <c r="L14" s="141"/>
      <c r="M14" s="141"/>
      <c r="N14" s="141"/>
      <c r="O14" s="141"/>
      <c r="P14" s="141"/>
      <c r="Q14" s="141"/>
      <c r="R14" s="235"/>
      <c r="S14" s="235"/>
      <c r="T14" s="249"/>
      <c r="U14" s="245"/>
      <c r="AB14" s="245"/>
      <c r="AC14" s="245"/>
      <c r="AD14" s="245"/>
      <c r="AE14" s="245"/>
      <c r="AF14" s="245"/>
      <c r="AG14" s="245"/>
      <c r="AH14" s="245"/>
    </row>
    <row r="15" spans="1:38" s="247" customFormat="1" x14ac:dyDescent="0.2">
      <c r="A15" s="256"/>
      <c r="B15" s="252"/>
      <c r="C15" s="235"/>
      <c r="D15" s="141"/>
      <c r="E15" s="50"/>
      <c r="F15" s="141"/>
      <c r="G15" s="141"/>
      <c r="H15" s="145"/>
      <c r="I15" s="141"/>
      <c r="J15" s="141"/>
      <c r="K15" s="141"/>
      <c r="L15" s="141"/>
      <c r="M15" s="141"/>
      <c r="N15" s="141"/>
      <c r="O15" s="141"/>
      <c r="P15" s="141"/>
      <c r="Q15" s="141"/>
      <c r="R15" s="235"/>
      <c r="S15" s="235"/>
      <c r="T15" s="249"/>
      <c r="U15" s="245"/>
      <c r="AB15" s="245"/>
      <c r="AC15" s="245"/>
      <c r="AD15" s="245"/>
      <c r="AE15" s="245"/>
      <c r="AF15" s="245"/>
      <c r="AG15" s="245"/>
      <c r="AH15" s="245"/>
    </row>
    <row r="16" spans="1:38" s="247" customFormat="1" ht="12.75" x14ac:dyDescent="0.2">
      <c r="A16" s="257" t="str">
        <f>+"*For your information, the most recent USDA-NASS county yields in "&amp;A7&amp;" County are:"</f>
        <v>*For your information, the most recent USDA-NASS county yields in Henry County are:</v>
      </c>
      <c r="B16" s="50"/>
      <c r="C16" s="50"/>
      <c r="D16" s="141"/>
      <c r="E16" s="50"/>
      <c r="F16" s="141"/>
      <c r="G16" s="258"/>
      <c r="H16" s="146"/>
      <c r="I16" s="50"/>
      <c r="J16" s="259"/>
      <c r="K16" s="50"/>
      <c r="L16" s="50"/>
      <c r="M16" s="141"/>
      <c r="N16" s="50"/>
      <c r="O16" s="141"/>
      <c r="P16" s="260"/>
      <c r="Q16" s="261"/>
      <c r="R16" s="50"/>
      <c r="T16" s="262"/>
      <c r="U16" s="245"/>
    </row>
    <row r="17" spans="1:21" s="247" customFormat="1" ht="12.75" x14ac:dyDescent="0.2">
      <c r="A17" s="257"/>
      <c r="B17" s="254" t="s">
        <v>119</v>
      </c>
      <c r="C17" s="254" t="s">
        <v>124</v>
      </c>
      <c r="D17" s="254" t="s">
        <v>141</v>
      </c>
      <c r="E17" s="254" t="s">
        <v>282</v>
      </c>
      <c r="F17" s="254" t="s">
        <v>292</v>
      </c>
      <c r="G17" s="254" t="s">
        <v>285</v>
      </c>
      <c r="H17" s="263" t="s">
        <v>295</v>
      </c>
      <c r="I17" s="50"/>
      <c r="J17" s="264"/>
      <c r="K17" s="254"/>
      <c r="L17" s="254"/>
      <c r="M17" s="254"/>
      <c r="N17" s="254"/>
      <c r="O17" s="254"/>
      <c r="P17" s="254"/>
      <c r="Q17" s="254"/>
      <c r="R17" s="50"/>
      <c r="T17" s="262"/>
      <c r="U17" s="245"/>
    </row>
    <row r="18" spans="1:21" s="247" customFormat="1" ht="12.75" x14ac:dyDescent="0.2">
      <c r="A18" s="257" t="s">
        <v>315</v>
      </c>
      <c r="B18" s="139">
        <f>IF(INDEX('Historic Yields C'!$B$1:$CZ$31,27,'Historic Yields C'!$B$34)&gt;0,INDEX('Historic Yields C'!$B$1:$CZ$31,27,'Historic Yields C'!$B$34),"Not available")</f>
        <v>189.7</v>
      </c>
      <c r="C18" s="139">
        <f>IF(INDEX('Historic Yields C'!$B$1:$CX$31,28,'Historic Yields C'!$B$34)&gt;0,INDEX('Historic Yields C'!$B$1:$CX$31,28,'Historic Yields C'!$B$34),"Not available")</f>
        <v>164.5</v>
      </c>
      <c r="D18" s="139">
        <f>IF(INDEX('Historic Yields C'!$B$1:$CX$31,29,'Historic Yields C'!$B$34)&gt;0,INDEX('Historic Yields C'!$B$1:$CX$31,29,'Historic Yields C'!$B$34),"Not available")</f>
        <v>172</v>
      </c>
      <c r="E18" s="139">
        <f>IF(INDEX('Historic Yields C'!$B$1:$CX$31,30,'Historic Yields C'!$B$34)&gt;0,INDEX('Historic Yields C'!$B$1:$CX$31,30,'Historic Yields C'!$B$34),"Not available")</f>
        <v>167.7</v>
      </c>
      <c r="F18" s="139">
        <f>IF(INDEX('Historic Yields C'!$B$1:$CX$31,31,'Historic Yields C'!$B$34)&gt;0,INDEX('Historic Yields C'!$B$1:$CX$31,31,'Historic Yields C'!$B$34),"Not available")</f>
        <v>167.7</v>
      </c>
      <c r="G18" s="138" t="s">
        <v>261</v>
      </c>
      <c r="H18" s="233" t="s">
        <v>261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T18" s="262"/>
      <c r="U18" s="245"/>
    </row>
    <row r="19" spans="1:21" s="247" customFormat="1" ht="12.75" x14ac:dyDescent="0.2">
      <c r="A19" s="257" t="s">
        <v>316</v>
      </c>
      <c r="B19" s="139">
        <f>IF(INDEX('Historic Yields S'!$B$1:$CX$31,27,'Historic Yields S'!$B$34)&gt;0,INDEX('Historic Yields S'!$B$1:$CX$31,27,'Historic Yields S'!$B$34),"Not available")</f>
        <v>62.3</v>
      </c>
      <c r="C19" s="139">
        <f>IF(INDEX('Historic Yields S'!$B$1:$CX$31,28,'Historic Yields S'!$B$34)&gt;0,INDEX('Historic Yields S'!$B$1:$CX$31,28,'Historic Yields S'!$B$34),"Not available")</f>
        <v>56.9</v>
      </c>
      <c r="D19" s="139">
        <f>IF(INDEX('Historic Yields S'!$B$1:$CX$31,29,'Historic Yields S'!$B$34)&gt;0,INDEX('Historic Yields S'!$B$1:$CX$31,29,'Historic Yields S'!$B$34),"Not available")</f>
        <v>54.9</v>
      </c>
      <c r="E19" s="139">
        <f>IF(INDEX('Historic Yields S'!$B$1:$CX$31,30,'Historic Yields S'!$B$34)&gt;0,INDEX('Historic Yields S'!$B$1:$CX$31,30,'Historic Yields S'!$B$34),"Not available")</f>
        <v>58.3</v>
      </c>
      <c r="F19" s="139">
        <f>IF(INDEX('Historic Yields S'!$B$1:$CX$31,31,'Historic Yields S'!$B$34)&gt;0,INDEX('Historic Yields S'!$B$1:$CX$31,31,'Historic Yields S'!$B$34),"Not available")</f>
        <v>60.3</v>
      </c>
      <c r="G19" s="138" t="s">
        <v>261</v>
      </c>
      <c r="H19" s="233" t="s">
        <v>261</v>
      </c>
      <c r="I19" s="50"/>
      <c r="J19" s="259"/>
      <c r="K19" s="239"/>
      <c r="L19" s="239"/>
      <c r="M19" s="239"/>
      <c r="N19" s="239"/>
      <c r="O19" s="239"/>
      <c r="P19" s="231"/>
      <c r="Q19" s="231"/>
      <c r="R19" s="50"/>
      <c r="T19" s="262"/>
      <c r="U19" s="245"/>
    </row>
    <row r="20" spans="1:21" s="247" customFormat="1" ht="12.75" x14ac:dyDescent="0.2">
      <c r="B20" s="348" t="s">
        <v>340</v>
      </c>
      <c r="C20" s="239"/>
      <c r="D20" s="239"/>
      <c r="E20" s="239"/>
      <c r="F20" s="239"/>
      <c r="G20" s="231"/>
      <c r="H20" s="232"/>
      <c r="I20" s="50"/>
      <c r="J20" s="259"/>
      <c r="K20" s="239"/>
      <c r="L20" s="239"/>
      <c r="M20" s="239"/>
      <c r="N20" s="239"/>
      <c r="O20" s="239"/>
      <c r="P20" s="231"/>
      <c r="Q20" s="231"/>
      <c r="R20" s="50"/>
      <c r="T20" s="262"/>
      <c r="U20" s="245"/>
    </row>
    <row r="21" spans="1:21" s="51" customFormat="1" ht="12.75" x14ac:dyDescent="0.2">
      <c r="A21" s="257" t="str">
        <f>+"**For your information, the average PLC yields in "&amp;$A$7&amp;" County are:"</f>
        <v>**For your information, the average PLC yields in Henry County are:</v>
      </c>
      <c r="H21" s="265"/>
      <c r="J21" s="259"/>
      <c r="Q21" s="266"/>
    </row>
    <row r="22" spans="1:21" s="245" customFormat="1" ht="12.75" x14ac:dyDescent="0.2">
      <c r="A22" s="267" t="s">
        <v>330</v>
      </c>
      <c r="B22" s="51"/>
      <c r="C22" s="51"/>
      <c r="D22" s="268">
        <f>VLOOKUP(A7,'Avg. PLC Yields by County'!B7:D106,2,FALSE)</f>
        <v>150.897639908261</v>
      </c>
      <c r="E22" s="51" t="s">
        <v>328</v>
      </c>
      <c r="F22" s="51"/>
      <c r="G22" s="51"/>
      <c r="H22" s="238"/>
      <c r="I22" s="51"/>
      <c r="J22" s="269"/>
      <c r="K22" s="51"/>
      <c r="L22" s="51"/>
      <c r="M22" s="51"/>
      <c r="N22" s="51"/>
      <c r="O22" s="51"/>
      <c r="P22" s="51"/>
      <c r="Q22" s="51"/>
      <c r="R22" s="51"/>
    </row>
    <row r="23" spans="1:21" s="245" customFormat="1" ht="13.5" thickBot="1" x14ac:dyDescent="0.25">
      <c r="A23" s="270" t="s">
        <v>331</v>
      </c>
      <c r="B23" s="240"/>
      <c r="C23" s="271"/>
      <c r="D23" s="272">
        <f>VLOOKUP(A7,'Avg. PLC Yields by County'!B7:D106,3,FALSE)</f>
        <v>46.973641585947099</v>
      </c>
      <c r="E23" s="240" t="s">
        <v>328</v>
      </c>
      <c r="F23" s="240"/>
      <c r="G23" s="240"/>
      <c r="H23" s="241"/>
      <c r="I23" s="51"/>
      <c r="J23" s="269"/>
      <c r="K23" s="273"/>
      <c r="L23" s="51"/>
      <c r="M23" s="51"/>
      <c r="N23" s="51"/>
      <c r="O23" s="51"/>
      <c r="P23" s="51"/>
      <c r="Q23" s="51"/>
      <c r="R23" s="51"/>
    </row>
    <row r="24" spans="1:21" s="275" customFormat="1" ht="21" thickBot="1" x14ac:dyDescent="0.35">
      <c r="A24" s="330" t="s">
        <v>338</v>
      </c>
      <c r="B24" s="336"/>
      <c r="C24" s="336"/>
      <c r="D24" s="336"/>
      <c r="E24" s="336"/>
      <c r="F24" s="336"/>
      <c r="G24" s="336"/>
      <c r="H24" s="337"/>
      <c r="I24" s="274"/>
      <c r="J24" s="330" t="s">
        <v>339</v>
      </c>
      <c r="K24" s="336"/>
      <c r="L24" s="336"/>
      <c r="M24" s="336"/>
      <c r="N24" s="336"/>
      <c r="O24" s="336"/>
      <c r="P24" s="336"/>
      <c r="Q24" s="337"/>
      <c r="T24" s="245"/>
      <c r="U24" s="245"/>
    </row>
    <row r="25" spans="1:21" s="277" customFormat="1" ht="18" customHeight="1" x14ac:dyDescent="0.3">
      <c r="A25" s="278"/>
      <c r="C25" s="279" t="str">
        <f>+B35</f>
        <v>2018-19</v>
      </c>
      <c r="D25" s="279" t="str">
        <f>+C35</f>
        <v>2019-20</v>
      </c>
      <c r="E25" s="279" t="str">
        <f>+D35</f>
        <v>2020-21</v>
      </c>
      <c r="F25" s="279" t="str">
        <f>+E35</f>
        <v>2021-22</v>
      </c>
      <c r="G25" s="279" t="str">
        <f>+F35</f>
        <v>2022-23</v>
      </c>
      <c r="H25" s="280"/>
      <c r="I25" s="274"/>
      <c r="J25" s="278"/>
      <c r="K25" s="281"/>
      <c r="L25" s="279" t="str">
        <f>+C25</f>
        <v>2018-19</v>
      </c>
      <c r="M25" s="279" t="str">
        <f>+D25</f>
        <v>2019-20</v>
      </c>
      <c r="N25" s="279" t="str">
        <f>+E25</f>
        <v>2020-21</v>
      </c>
      <c r="O25" s="279" t="str">
        <f>+F25</f>
        <v>2021-22</v>
      </c>
      <c r="P25" s="279" t="str">
        <f>+G25</f>
        <v>2022-23</v>
      </c>
      <c r="Q25" s="280"/>
      <c r="T25" s="51"/>
      <c r="U25" s="51"/>
    </row>
    <row r="26" spans="1:21" s="277" customFormat="1" ht="17.25" customHeight="1" x14ac:dyDescent="0.3">
      <c r="A26" s="276" t="s">
        <v>309</v>
      </c>
      <c r="C26" s="47">
        <v>3.61</v>
      </c>
      <c r="D26" s="47">
        <v>3.56</v>
      </c>
      <c r="E26" s="47">
        <v>4.53</v>
      </c>
      <c r="F26" s="47">
        <v>6</v>
      </c>
      <c r="G26" s="361">
        <v>6.54</v>
      </c>
      <c r="H26" s="280"/>
      <c r="I26" s="274"/>
      <c r="J26" s="276" t="s">
        <v>309</v>
      </c>
      <c r="K26" s="281"/>
      <c r="L26" s="47">
        <v>8.48</v>
      </c>
      <c r="M26" s="47">
        <v>8.57</v>
      </c>
      <c r="N26" s="47">
        <v>10.8</v>
      </c>
      <c r="O26" s="47">
        <v>13.3</v>
      </c>
      <c r="P26" s="361">
        <v>14.2</v>
      </c>
      <c r="Q26" s="280"/>
      <c r="T26" s="51"/>
      <c r="U26" s="51"/>
    </row>
    <row r="27" spans="1:21" s="277" customFormat="1" ht="17.25" customHeight="1" x14ac:dyDescent="0.3">
      <c r="A27" s="276" t="s">
        <v>310</v>
      </c>
      <c r="B27" s="282">
        <f>(SUM(C26:G26)-MAX(C26:G26)-MIN(C26:G26))/3</f>
        <v>4.7133333333333329</v>
      </c>
      <c r="C27" s="283"/>
      <c r="D27" s="283"/>
      <c r="E27" s="283"/>
      <c r="F27" s="283"/>
      <c r="G27" s="283"/>
      <c r="H27" s="280"/>
      <c r="I27" s="274"/>
      <c r="J27" s="276" t="s">
        <v>310</v>
      </c>
      <c r="K27" s="282">
        <f>(SUM(L26:P26)-MAX(L26:P26)-MIN(L26:P26))/3</f>
        <v>10.89</v>
      </c>
      <c r="L27" s="283"/>
      <c r="M27" s="283"/>
      <c r="N27" s="283"/>
      <c r="O27" s="283"/>
      <c r="P27" s="283"/>
      <c r="Q27" s="280"/>
      <c r="T27" s="51"/>
      <c r="U27" s="51"/>
    </row>
    <row r="28" spans="1:21" s="277" customFormat="1" ht="17.25" customHeight="1" x14ac:dyDescent="0.3">
      <c r="A28" s="276" t="str">
        <f>+T28&amp;"% of Olympic Average"</f>
        <v>85% of Olympic Average</v>
      </c>
      <c r="B28" s="282">
        <f>+ROUND(B27*$T$28/100,2)</f>
        <v>4.01</v>
      </c>
      <c r="C28" s="326" t="str">
        <f>+IF(B28&gt;B29,"Note: Price Escalator triggered in "&amp;RIGHT($A$1,7)&amp;", since $"&amp;B28&amp;IF(RIGHT(B28*100,1)*1=0,"0","")&amp;" &gt; "&amp;"$"&amp;B29&amp;IF(RIGHT(B29*100,1)*1=0,"0","")&amp;" (SRP)","")</f>
        <v>Note: Price Escalator triggered in 2024-25, since $4.01 &gt; $3.70 (SRP)</v>
      </c>
      <c r="D28" s="283"/>
      <c r="E28" s="283"/>
      <c r="F28" s="283"/>
      <c r="G28" s="283"/>
      <c r="H28" s="280"/>
      <c r="I28" s="274"/>
      <c r="J28" s="276" t="str">
        <f>+A28</f>
        <v>85% of Olympic Average</v>
      </c>
      <c r="K28" s="282">
        <f>+ROUND(K27*$T$28/100,2)</f>
        <v>9.26</v>
      </c>
      <c r="L28" s="326" t="str">
        <f>+IF(K28&gt;K29,"Note: Price Escalator triggered in "&amp;RIGHT($A$1,7)&amp;", since $"&amp;K28&amp;IF(RIGHT(K28*100,1)*1=0,"0","")&amp;" &gt; "&amp;"$"&amp;K29&amp;IF(RIGHT(K29*100,1)*1=0,"0","")&amp;" (SRP)","")</f>
        <v>Note: Price Escalator triggered in 2024-25, since $9.26 &gt; $8.40 (SRP)</v>
      </c>
      <c r="M28" s="283"/>
      <c r="N28" s="283"/>
      <c r="O28" s="283"/>
      <c r="P28" s="283"/>
      <c r="Q28" s="280"/>
      <c r="T28" s="262">
        <v>85</v>
      </c>
      <c r="U28" s="51"/>
    </row>
    <row r="29" spans="1:21" s="277" customFormat="1" ht="17.25" customHeight="1" x14ac:dyDescent="0.3">
      <c r="A29" s="276" t="s">
        <v>308</v>
      </c>
      <c r="B29" s="282">
        <v>3.7</v>
      </c>
      <c r="C29" s="283"/>
      <c r="D29" s="283"/>
      <c r="E29" s="283"/>
      <c r="F29" s="283"/>
      <c r="G29" s="283"/>
      <c r="H29" s="280"/>
      <c r="I29" s="274"/>
      <c r="J29" s="276" t="s">
        <v>308</v>
      </c>
      <c r="K29" s="282">
        <v>8.4</v>
      </c>
      <c r="L29" s="283"/>
      <c r="M29" s="283"/>
      <c r="N29" s="283"/>
      <c r="O29" s="283"/>
      <c r="P29" s="283"/>
      <c r="Q29" s="280"/>
      <c r="T29" s="51"/>
      <c r="U29" s="51"/>
    </row>
    <row r="30" spans="1:21" s="277" customFormat="1" ht="17.25" customHeight="1" x14ac:dyDescent="0.3">
      <c r="A30" s="276" t="str">
        <f>+"Cap: "&amp;T30&amp;"% of SRP"</f>
        <v>Cap: 115% of SRP</v>
      </c>
      <c r="B30" s="282">
        <f>ROUND(+B29*$T$30/100,2)</f>
        <v>4.26</v>
      </c>
      <c r="D30" s="283"/>
      <c r="E30" s="283"/>
      <c r="F30" s="283"/>
      <c r="G30" s="283"/>
      <c r="H30" s="280"/>
      <c r="I30" s="274"/>
      <c r="J30" s="276" t="str">
        <f>+A30</f>
        <v>Cap: 115% of SRP</v>
      </c>
      <c r="K30" s="282">
        <f>ROUND(+K29*$T$30/100,2)</f>
        <v>9.66</v>
      </c>
      <c r="M30" s="283"/>
      <c r="N30" s="283"/>
      <c r="O30" s="283"/>
      <c r="P30" s="283"/>
      <c r="Q30" s="280"/>
      <c r="T30" s="262">
        <v>115</v>
      </c>
      <c r="U30" s="51"/>
    </row>
    <row r="31" spans="1:21" s="277" customFormat="1" ht="17.25" customHeight="1" x14ac:dyDescent="0.3">
      <c r="A31" s="276" t="s">
        <v>311</v>
      </c>
      <c r="B31" s="358">
        <f>+MIN(MAX(B28,B29),B30)</f>
        <v>4.01</v>
      </c>
      <c r="C31" s="326" t="str">
        <f>+IF(B28&gt;B30,"Note: Price Escalator capped in "&amp;RIGHT($A$1,7)&amp;", since $"&amp;B28&amp;IF(RIGHT(B28*100,1)*1=0,"0","")&amp;" &gt; $"&amp;B30&amp;IF(RIGHT(B30*100,1)*1=0,"0","")&amp;" (Cap)","")</f>
        <v/>
      </c>
      <c r="D31" s="283"/>
      <c r="E31" s="283"/>
      <c r="F31" s="283"/>
      <c r="G31" s="283"/>
      <c r="H31" s="280"/>
      <c r="I31" s="274"/>
      <c r="J31" s="276" t="s">
        <v>311</v>
      </c>
      <c r="K31" s="358">
        <f>+MIN(MAX(K28,K29),K30)</f>
        <v>9.26</v>
      </c>
      <c r="L31" s="326" t="str">
        <f>+IF(K28&gt;K30,"Note: Price Escalator capped in "&amp;RIGHT($A$1,7)&amp;", since $"&amp;K28&amp;IF(RIGHT(K28*100,1)*1=0,"0","")&amp;" &gt; $"&amp;K30&amp;IF(RIGHT(K30*100,1)*1=0,"0","")&amp;" (Cap)","")</f>
        <v/>
      </c>
      <c r="M31" s="283"/>
      <c r="N31" s="283"/>
      <c r="O31" s="283"/>
      <c r="P31" s="283"/>
      <c r="Q31" s="280"/>
      <c r="T31" s="51"/>
      <c r="U31" s="51"/>
    </row>
    <row r="32" spans="1:21" s="245" customFormat="1" ht="18" customHeight="1" thickBot="1" x14ac:dyDescent="0.25">
      <c r="A32" s="284"/>
      <c r="B32" s="285"/>
      <c r="C32" s="285"/>
      <c r="D32" s="285"/>
      <c r="E32" s="285"/>
      <c r="F32" s="285"/>
      <c r="G32" s="285"/>
      <c r="H32" s="286"/>
      <c r="I32" s="287"/>
      <c r="J32" s="284"/>
      <c r="K32" s="285"/>
      <c r="L32" s="285"/>
      <c r="M32" s="285"/>
      <c r="N32" s="285"/>
      <c r="O32" s="285"/>
      <c r="P32" s="285"/>
      <c r="Q32" s="286"/>
    </row>
    <row r="33" spans="1:21" s="247" customFormat="1" ht="23.85" customHeight="1" thickBot="1" x14ac:dyDescent="0.25">
      <c r="A33" s="330" t="str">
        <f>+"4a. Agricultural Risk Coverage, County Option (ARC-CO), in "&amp;A7&amp;" County for Corn "</f>
        <v xml:space="preserve">4a. Agricultural Risk Coverage, County Option (ARC-CO), in Henry County for Corn </v>
      </c>
      <c r="B33" s="331"/>
      <c r="C33" s="332"/>
      <c r="D33" s="333"/>
      <c r="E33" s="333"/>
      <c r="F33" s="333"/>
      <c r="G33" s="333"/>
      <c r="H33" s="334"/>
      <c r="I33" s="141"/>
      <c r="J33" s="330" t="str">
        <f>+"4b. Agricultural Risk Coverage, County Option (ARC-CO), in "&amp;A7&amp;" County for Soybeans"</f>
        <v>4b. Agricultural Risk Coverage, County Option (ARC-CO), in Henry County for Soybeans</v>
      </c>
      <c r="K33" s="332"/>
      <c r="L33" s="332"/>
      <c r="M33" s="333"/>
      <c r="N33" s="335"/>
      <c r="O33" s="335"/>
      <c r="P33" s="335"/>
      <c r="Q33" s="334"/>
      <c r="T33" s="245"/>
      <c r="U33" s="245"/>
    </row>
    <row r="34" spans="1:21" s="247" customFormat="1" ht="5.25" customHeight="1" x14ac:dyDescent="0.2">
      <c r="A34" s="288"/>
      <c r="B34" s="236"/>
      <c r="C34" s="289"/>
      <c r="D34" s="289"/>
      <c r="E34" s="289"/>
      <c r="F34" s="289"/>
      <c r="G34" s="236"/>
      <c r="H34" s="149"/>
      <c r="I34" s="50"/>
      <c r="J34" s="288"/>
      <c r="K34" s="236"/>
      <c r="L34" s="289"/>
      <c r="M34" s="289"/>
      <c r="N34" s="289"/>
      <c r="O34" s="289"/>
      <c r="P34" s="236"/>
      <c r="Q34" s="149"/>
      <c r="T34" s="245"/>
      <c r="U34" s="245"/>
    </row>
    <row r="35" spans="1:21" s="249" customFormat="1" ht="12.75" x14ac:dyDescent="0.2">
      <c r="A35" s="253" t="s">
        <v>320</v>
      </c>
      <c r="B35" s="279" t="s">
        <v>119</v>
      </c>
      <c r="C35" s="279" t="s">
        <v>124</v>
      </c>
      <c r="D35" s="279" t="s">
        <v>141</v>
      </c>
      <c r="E35" s="279" t="s">
        <v>282</v>
      </c>
      <c r="F35" s="279" t="s">
        <v>292</v>
      </c>
      <c r="G35" s="279" t="s">
        <v>285</v>
      </c>
      <c r="H35" s="290" t="s">
        <v>295</v>
      </c>
      <c r="I35" s="141"/>
      <c r="J35" s="253" t="str">
        <f>+A35</f>
        <v>Program Prices ($/bushel)</v>
      </c>
      <c r="K35" s="279" t="str">
        <f>+B35</f>
        <v>2018-19</v>
      </c>
      <c r="L35" s="279" t="str">
        <f t="shared" ref="L35:Q35" si="0">+C35</f>
        <v>2019-20</v>
      </c>
      <c r="M35" s="279" t="str">
        <f t="shared" si="0"/>
        <v>2020-21</v>
      </c>
      <c r="N35" s="279" t="str">
        <f t="shared" si="0"/>
        <v>2021-22</v>
      </c>
      <c r="O35" s="279" t="str">
        <f t="shared" si="0"/>
        <v>2022-23</v>
      </c>
      <c r="P35" s="279" t="str">
        <f t="shared" si="0"/>
        <v>2023-24p</v>
      </c>
      <c r="Q35" s="290" t="str">
        <f t="shared" si="0"/>
        <v>2024-25p</v>
      </c>
    </row>
    <row r="36" spans="1:21" s="249" customFormat="1" ht="12.75" x14ac:dyDescent="0.2">
      <c r="A36" s="291" t="s">
        <v>313</v>
      </c>
      <c r="B36" s="327">
        <f>+MAX(C26,$B$31)</f>
        <v>4.01</v>
      </c>
      <c r="C36" s="327">
        <f>+MAX(D26,$B$31)</f>
        <v>4.01</v>
      </c>
      <c r="D36" s="327">
        <f>+MAX(E26,$B$31)</f>
        <v>4.53</v>
      </c>
      <c r="E36" s="327">
        <f>+MAX(F26,$B$31)</f>
        <v>6</v>
      </c>
      <c r="F36" s="327">
        <f>+MAX(G26,$B$31)</f>
        <v>6.54</v>
      </c>
      <c r="G36" s="138" t="s">
        <v>260</v>
      </c>
      <c r="H36" s="66" t="s">
        <v>260</v>
      </c>
      <c r="I36" s="141"/>
      <c r="J36" s="291" t="s">
        <v>313</v>
      </c>
      <c r="K36" s="327">
        <f>+MAX(L26,$K$31)</f>
        <v>9.26</v>
      </c>
      <c r="L36" s="327">
        <f>+MAX(M26,$K$31)</f>
        <v>9.26</v>
      </c>
      <c r="M36" s="327">
        <f>+MAX(N26,$K$31)</f>
        <v>10.8</v>
      </c>
      <c r="N36" s="327">
        <f>+MAX(O26,$K$31)</f>
        <v>13.3</v>
      </c>
      <c r="O36" s="327">
        <f>+MAX(P26,$K$31)</f>
        <v>14.2</v>
      </c>
      <c r="P36" s="138" t="s">
        <v>260</v>
      </c>
      <c r="Q36" s="66" t="s">
        <v>260</v>
      </c>
    </row>
    <row r="37" spans="1:21" s="249" customFormat="1" ht="12.75" x14ac:dyDescent="0.2">
      <c r="A37" s="292"/>
      <c r="B37" s="293"/>
      <c r="C37" s="141"/>
      <c r="D37" s="294"/>
      <c r="E37" s="294"/>
      <c r="F37" s="294"/>
      <c r="G37" s="295" t="s">
        <v>312</v>
      </c>
      <c r="H37" s="339">
        <f>ROUND((SUM(B36:F36)-MAX(B36:F36)-MIN(B36:F36))/3,2)</f>
        <v>4.8499999999999996</v>
      </c>
      <c r="I37" s="141"/>
      <c r="J37" s="292"/>
      <c r="K37" s="293"/>
      <c r="L37" s="141"/>
      <c r="M37" s="294"/>
      <c r="N37" s="294"/>
      <c r="O37" s="294"/>
      <c r="P37" s="295" t="s">
        <v>312</v>
      </c>
      <c r="Q37" s="339">
        <f>ROUND((SUM(K36:O36)-MAX(K36:O36)-MIN(K36:O36))/3,2)</f>
        <v>11.12</v>
      </c>
    </row>
    <row r="38" spans="1:21" s="249" customFormat="1" ht="12.75" x14ac:dyDescent="0.2">
      <c r="A38" s="253"/>
      <c r="B38" s="141"/>
      <c r="C38" s="141"/>
      <c r="D38" s="279"/>
      <c r="E38" s="279"/>
      <c r="F38" s="141"/>
      <c r="G38" s="141"/>
      <c r="H38" s="290"/>
      <c r="I38" s="141"/>
      <c r="J38" s="253"/>
      <c r="K38" s="141"/>
      <c r="L38" s="141"/>
      <c r="M38" s="279"/>
      <c r="N38" s="279"/>
      <c r="O38" s="141"/>
      <c r="P38" s="141"/>
      <c r="Q38" s="290"/>
    </row>
    <row r="39" spans="1:21" s="249" customFormat="1" ht="12.75" x14ac:dyDescent="0.2">
      <c r="A39" s="253" t="s">
        <v>321</v>
      </c>
      <c r="B39" s="279" t="str">
        <f>+B35</f>
        <v>2018-19</v>
      </c>
      <c r="C39" s="279" t="str">
        <f t="shared" ref="C39:H39" si="1">+C35</f>
        <v>2019-20</v>
      </c>
      <c r="D39" s="279" t="str">
        <f t="shared" si="1"/>
        <v>2020-21</v>
      </c>
      <c r="E39" s="279" t="str">
        <f t="shared" si="1"/>
        <v>2021-22</v>
      </c>
      <c r="F39" s="279" t="str">
        <f t="shared" si="1"/>
        <v>2022-23</v>
      </c>
      <c r="G39" s="279" t="str">
        <f t="shared" si="1"/>
        <v>2023-24p</v>
      </c>
      <c r="H39" s="290" t="str">
        <f t="shared" si="1"/>
        <v>2024-25p</v>
      </c>
      <c r="I39" s="141"/>
      <c r="J39" s="253" t="str">
        <f>+A39</f>
        <v>Program Yields (bushels/acre)</v>
      </c>
      <c r="K39" s="279" t="str">
        <f>+B39</f>
        <v>2018-19</v>
      </c>
      <c r="L39" s="279" t="str">
        <f t="shared" ref="L39:Q39" si="2">+C39</f>
        <v>2019-20</v>
      </c>
      <c r="M39" s="279" t="str">
        <f t="shared" si="2"/>
        <v>2020-21</v>
      </c>
      <c r="N39" s="279" t="str">
        <f t="shared" si="2"/>
        <v>2021-22</v>
      </c>
      <c r="O39" s="279" t="str">
        <f t="shared" si="2"/>
        <v>2022-23</v>
      </c>
      <c r="P39" s="279" t="str">
        <f t="shared" si="2"/>
        <v>2023-24p</v>
      </c>
      <c r="Q39" s="290" t="str">
        <f t="shared" si="2"/>
        <v>2024-25p</v>
      </c>
    </row>
    <row r="40" spans="1:21" s="247" customFormat="1" ht="15" customHeight="1" x14ac:dyDescent="0.2">
      <c r="A40" s="291" t="s">
        <v>263</v>
      </c>
      <c r="B40" s="177">
        <f>VLOOKUP($A$7,'corn yields Nonirrigated'!$A$4:$I$103,5)</f>
        <v>211.89</v>
      </c>
      <c r="C40" s="177">
        <f>VLOOKUP($A$7,'corn yields Nonirrigated'!$A$4:$I$103,6)</f>
        <v>182.19</v>
      </c>
      <c r="D40" s="177">
        <f>VLOOKUP($A$7,'corn yields Nonirrigated'!$A$4:$I$103,7)</f>
        <v>194.78</v>
      </c>
      <c r="E40" s="177">
        <f>VLOOKUP($A$7,'corn yields Nonirrigated'!$A$4:$I$103,8)</f>
        <v>171.15</v>
      </c>
      <c r="F40" s="177">
        <f>VLOOKUP($A$7,'corn yields Nonirrigated'!$A$4:$I$103,9)</f>
        <v>193.32</v>
      </c>
      <c r="G40" s="138" t="s">
        <v>260</v>
      </c>
      <c r="H40" s="66" t="s">
        <v>260</v>
      </c>
      <c r="I40" s="50"/>
      <c r="J40" s="291" t="s">
        <v>263</v>
      </c>
      <c r="K40" s="177">
        <f>VLOOKUP($A$7,'soybean yields Nonirrigated'!$A$4:$I$103,5)</f>
        <v>67.070000000000007</v>
      </c>
      <c r="L40" s="177">
        <f>VLOOKUP($A$7,'soybean yields Nonirrigated'!$A$4:$I$103,6)</f>
        <v>59.589999999999996</v>
      </c>
      <c r="M40" s="177">
        <f>VLOOKUP($A$7,'soybean yields Nonirrigated'!$A$4:$I$103,7)</f>
        <v>60.47</v>
      </c>
      <c r="N40" s="177">
        <f>VLOOKUP($A$7,'soybean yields Nonirrigated'!$A$4:$I$103,8)</f>
        <v>60.74</v>
      </c>
      <c r="O40" s="177">
        <f>VLOOKUP($A$7,'soybean yields Nonirrigated'!$A$4:$I$103,9)</f>
        <v>60.59</v>
      </c>
      <c r="P40" s="138" t="s">
        <v>260</v>
      </c>
      <c r="Q40" s="66" t="s">
        <v>260</v>
      </c>
      <c r="T40" s="245"/>
      <c r="U40" s="245"/>
    </row>
    <row r="41" spans="1:21" s="247" customFormat="1" ht="12.75" x14ac:dyDescent="0.2">
      <c r="A41" s="292"/>
      <c r="B41" s="141"/>
      <c r="C41" s="50"/>
      <c r="D41" s="50"/>
      <c r="E41" s="50"/>
      <c r="F41" s="141"/>
      <c r="G41" s="295" t="s">
        <v>314</v>
      </c>
      <c r="H41" s="340">
        <f>ROUND((SUM(B40:F40)-MAX(B40:F40)-MIN(B40:F40))/3,2)</f>
        <v>190.1</v>
      </c>
      <c r="I41" s="50"/>
      <c r="J41" s="292"/>
      <c r="K41" s="50"/>
      <c r="L41" s="50"/>
      <c r="M41" s="141" t="s">
        <v>262</v>
      </c>
      <c r="N41" s="50"/>
      <c r="O41" s="141"/>
      <c r="P41" s="260"/>
      <c r="Q41" s="340">
        <f>ROUND((SUM(K40:O40)-MAX(K40:O40)-MIN(K40:O40))/3,2)</f>
        <v>60.6</v>
      </c>
      <c r="T41" s="245"/>
      <c r="U41" s="245"/>
    </row>
    <row r="42" spans="1:21" s="247" customFormat="1" ht="5.25" customHeight="1" x14ac:dyDescent="0.2">
      <c r="A42" s="178"/>
      <c r="B42" s="50"/>
      <c r="C42" s="50"/>
      <c r="D42" s="141"/>
      <c r="E42" s="50"/>
      <c r="F42" s="141"/>
      <c r="G42" s="260"/>
      <c r="H42" s="296"/>
      <c r="I42" s="50"/>
      <c r="J42" s="178"/>
      <c r="K42" s="50"/>
      <c r="L42" s="50"/>
      <c r="M42" s="141"/>
      <c r="N42" s="50"/>
      <c r="O42" s="141"/>
      <c r="P42" s="260"/>
      <c r="Q42" s="296"/>
      <c r="T42" s="245"/>
      <c r="U42" s="245"/>
    </row>
    <row r="43" spans="1:21" s="247" customFormat="1" ht="12.75" x14ac:dyDescent="0.2">
      <c r="A43" s="253" t="s">
        <v>322</v>
      </c>
      <c r="B43" s="50"/>
      <c r="C43" s="50"/>
      <c r="D43" s="141"/>
      <c r="E43" s="50"/>
      <c r="F43" s="141"/>
      <c r="G43" s="260"/>
      <c r="H43" s="296"/>
      <c r="I43" s="50"/>
      <c r="J43" s="253" t="str">
        <f>+A43</f>
        <v>ARC-CO Revenue Guarantee ($/acre)</v>
      </c>
      <c r="K43" s="50"/>
      <c r="L43" s="50"/>
      <c r="M43" s="141"/>
      <c r="N43" s="50"/>
      <c r="O43" s="141"/>
      <c r="P43" s="260"/>
      <c r="Q43" s="296"/>
      <c r="T43" s="245"/>
      <c r="U43" s="245"/>
    </row>
    <row r="44" spans="1:21" s="247" customFormat="1" ht="12.75" x14ac:dyDescent="0.2">
      <c r="A44" s="291" t="s">
        <v>344</v>
      </c>
      <c r="B44" s="50"/>
      <c r="C44" s="50"/>
      <c r="D44" s="141"/>
      <c r="E44" s="50"/>
      <c r="F44" s="50"/>
      <c r="G44" s="50"/>
      <c r="H44" s="297">
        <f>IFERROR(H41*H37,"")</f>
        <v>921.9849999999999</v>
      </c>
      <c r="I44" s="50"/>
      <c r="J44" s="291" t="s">
        <v>344</v>
      </c>
      <c r="K44" s="50"/>
      <c r="L44" s="50"/>
      <c r="M44" s="141"/>
      <c r="N44" s="50"/>
      <c r="O44" s="141"/>
      <c r="P44" s="260"/>
      <c r="Q44" s="297">
        <f>IFERROR(Q41*Q37,"")</f>
        <v>673.87199999999996</v>
      </c>
      <c r="T44" s="245"/>
      <c r="U44" s="245"/>
    </row>
    <row r="45" spans="1:21" s="247" customFormat="1" ht="12.75" x14ac:dyDescent="0.2">
      <c r="A45" s="255" t="str">
        <f>+"ARC-CO Net Revenue Guarantee ("&amp;T45&amp;"% of Benchmark Revenue)"</f>
        <v>ARC-CO Net Revenue Guarantee (86% of Benchmark Revenue)</v>
      </c>
      <c r="B45" s="50"/>
      <c r="C45" s="50"/>
      <c r="D45" s="141"/>
      <c r="E45" s="50"/>
      <c r="F45" s="50"/>
      <c r="G45" s="50"/>
      <c r="H45" s="339">
        <f>IFERROR(ROUND(H44*T45/100,2),"")</f>
        <v>792.91</v>
      </c>
      <c r="I45" s="50"/>
      <c r="J45" s="255" t="str">
        <f>+A45</f>
        <v>ARC-CO Net Revenue Guarantee (86% of Benchmark Revenue)</v>
      </c>
      <c r="K45" s="50"/>
      <c r="L45" s="50"/>
      <c r="M45" s="141"/>
      <c r="N45" s="50"/>
      <c r="O45" s="141"/>
      <c r="P45" s="260"/>
      <c r="Q45" s="339">
        <f>IFERROR(ROUND(Q44*T45/100,2),"")</f>
        <v>579.53</v>
      </c>
      <c r="T45" s="262">
        <v>86</v>
      </c>
      <c r="U45" s="245"/>
    </row>
    <row r="46" spans="1:21" s="247" customFormat="1" ht="12.75" x14ac:dyDescent="0.2">
      <c r="A46" s="291" t="str">
        <f>+"Payment Cap ("&amp;T46&amp;"% of Benchmark Revenue)"</f>
        <v>Payment Cap (10% of Benchmark Revenue)</v>
      </c>
      <c r="B46" s="50"/>
      <c r="C46" s="50"/>
      <c r="D46" s="141"/>
      <c r="E46" s="50"/>
      <c r="F46" s="142"/>
      <c r="G46" s="50"/>
      <c r="H46" s="297">
        <f>IFERROR(T46*H44/100,"")</f>
        <v>92.198499999999981</v>
      </c>
      <c r="I46" s="50"/>
      <c r="J46" s="291" t="str">
        <f>+A46</f>
        <v>Payment Cap (10% of Benchmark Revenue)</v>
      </c>
      <c r="K46" s="50"/>
      <c r="L46" s="50"/>
      <c r="M46" s="141"/>
      <c r="N46" s="50"/>
      <c r="O46" s="141"/>
      <c r="P46" s="260"/>
      <c r="Q46" s="297">
        <f>IFERROR(T46*Q44/100,"")</f>
        <v>67.387199999999993</v>
      </c>
      <c r="T46" s="262">
        <v>10</v>
      </c>
      <c r="U46" s="245"/>
    </row>
    <row r="47" spans="1:21" s="247" customFormat="1" ht="8.25" customHeight="1" x14ac:dyDescent="0.2">
      <c r="A47" s="292"/>
      <c r="B47" s="50"/>
      <c r="C47" s="50"/>
      <c r="D47" s="141"/>
      <c r="E47" s="50"/>
      <c r="F47" s="141"/>
      <c r="G47" s="260"/>
      <c r="H47" s="296"/>
      <c r="I47" s="50"/>
      <c r="J47" s="292"/>
      <c r="K47" s="50"/>
      <c r="L47" s="50"/>
      <c r="M47" s="141"/>
      <c r="N47" s="50"/>
      <c r="O47" s="141"/>
      <c r="P47" s="260"/>
      <c r="Q47" s="296"/>
      <c r="T47" s="245"/>
      <c r="U47" s="245"/>
    </row>
    <row r="48" spans="1:21" s="247" customFormat="1" ht="12.75" x14ac:dyDescent="0.2">
      <c r="A48" s="253" t="str">
        <f>+RIGHT($A$1,7)&amp;" Projected 'Actual' County Revenue (Please fill in the yellow-shaded cells)"</f>
        <v>2024-25 Projected 'Actual' County Revenue (Please fill in the yellow-shaded cells)</v>
      </c>
      <c r="B48" s="50"/>
      <c r="C48" s="50"/>
      <c r="D48" s="141"/>
      <c r="E48" s="50"/>
      <c r="F48" s="141"/>
      <c r="G48" s="260"/>
      <c r="H48" s="296"/>
      <c r="I48" s="50"/>
      <c r="J48" s="253" t="str">
        <f>+A48</f>
        <v>2024-25 Projected 'Actual' County Revenue (Please fill in the yellow-shaded cells)</v>
      </c>
      <c r="K48" s="50"/>
      <c r="L48" s="50"/>
      <c r="M48" s="141"/>
      <c r="N48" s="50"/>
      <c r="O48" s="141"/>
      <c r="P48" s="260"/>
      <c r="Q48" s="296"/>
      <c r="T48" s="262"/>
      <c r="U48" s="245"/>
    </row>
    <row r="49" spans="1:21" s="247" customFormat="1" ht="12.75" x14ac:dyDescent="0.2">
      <c r="A49" s="291" t="str">
        <f>+"Projected "&amp;RIGHT($A$1,7)&amp;" MYA Price (as entered above), $/bushel"</f>
        <v>Projected 2024-25 MYA Price (as entered above), $/bushel</v>
      </c>
      <c r="B49" s="50"/>
      <c r="C49" s="50"/>
      <c r="D49" s="141"/>
      <c r="E49" s="50"/>
      <c r="F49" s="141"/>
      <c r="G49" s="355" t="str">
        <f>+IF(F11&gt;0,"","Please fill in yellow-shaded cells")</f>
        <v/>
      </c>
      <c r="H49" s="362">
        <f>IF(F11&gt;0,F11,"n/a")</f>
        <v>4.4000000000000004</v>
      </c>
      <c r="I49" s="50"/>
      <c r="J49" s="291" t="str">
        <f>+A49</f>
        <v>Projected 2024-25 MYA Price (as entered above), $/bushel</v>
      </c>
      <c r="K49" s="50"/>
      <c r="L49" s="50"/>
      <c r="M49" s="141"/>
      <c r="N49" s="50"/>
      <c r="O49" s="141"/>
      <c r="P49" s="355" t="str">
        <f>+IF(G11&gt;0,"","Please fill in yellow-shaded cells")</f>
        <v/>
      </c>
      <c r="Q49" s="362">
        <f>IF(G11&gt;0,G11,"n/a")</f>
        <v>11.3</v>
      </c>
      <c r="T49" s="262"/>
      <c r="U49" s="245"/>
    </row>
    <row r="50" spans="1:21" s="247" customFormat="1" ht="12.75" x14ac:dyDescent="0.2">
      <c r="A50" s="291" t="str">
        <f>+"Projected County Yield in "&amp;LEFT(RIGHT($A$1,7),4)&amp;" (as entered above), bu./acre"</f>
        <v>Projected County Yield in 2024 (as entered above), bu./acre</v>
      </c>
      <c r="B50" s="50"/>
      <c r="C50" s="50"/>
      <c r="D50" s="141"/>
      <c r="E50" s="50"/>
      <c r="F50" s="141"/>
      <c r="G50" s="355" t="str">
        <f>+IF(F12&gt;0,"","Please fill in yellow-shaded cells")</f>
        <v>Please fill in yellow-shaded cells</v>
      </c>
      <c r="H50" s="363" t="str">
        <f>IF(F12&gt;0,F12,"n/a")</f>
        <v>n/a</v>
      </c>
      <c r="I50" s="50"/>
      <c r="J50" s="291" t="str">
        <f>+A50</f>
        <v>Projected County Yield in 2024 (as entered above), bu./acre</v>
      </c>
      <c r="K50" s="50"/>
      <c r="L50" s="50"/>
      <c r="M50" s="141"/>
      <c r="N50" s="50"/>
      <c r="O50" s="141"/>
      <c r="P50" s="355" t="str">
        <f>+IF(G12&gt;0,"","Please fill in yellow-shaded cells")</f>
        <v>Please fill in yellow-shaded cells</v>
      </c>
      <c r="Q50" s="363" t="str">
        <f>IF(G12&gt;0,G12,"n/a")</f>
        <v>n/a</v>
      </c>
      <c r="T50" s="262"/>
      <c r="U50" s="245"/>
    </row>
    <row r="51" spans="1:21" s="247" customFormat="1" ht="12.75" x14ac:dyDescent="0.2">
      <c r="A51" s="255" t="str">
        <f>+"Projected 'Actual' County Revenue ($/acre)"</f>
        <v>Projected 'Actual' County Revenue ($/acre)</v>
      </c>
      <c r="B51" s="50"/>
      <c r="C51" s="50"/>
      <c r="D51" s="141"/>
      <c r="E51" s="50"/>
      <c r="F51" s="141"/>
      <c r="H51" s="339" t="str">
        <f>IF(F12*F11=0,"n/a",H49*H50)</f>
        <v>n/a</v>
      </c>
      <c r="I51" s="50"/>
      <c r="J51" s="255" t="str">
        <f>+A51</f>
        <v>Projected 'Actual' County Revenue ($/acre)</v>
      </c>
      <c r="K51" s="50"/>
      <c r="L51" s="50"/>
      <c r="M51" s="141"/>
      <c r="N51" s="50"/>
      <c r="O51" s="141"/>
      <c r="Q51" s="339" t="str">
        <f>IF(G11*G12=0,"n/a",Q49*Q50)</f>
        <v>n/a</v>
      </c>
      <c r="T51" s="262"/>
      <c r="U51" s="245"/>
    </row>
    <row r="52" spans="1:21" s="249" customFormat="1" ht="12.75" x14ac:dyDescent="0.2">
      <c r="A52" s="209" t="s">
        <v>353</v>
      </c>
      <c r="B52" s="210"/>
      <c r="C52" s="210"/>
      <c r="D52" s="210"/>
      <c r="E52" s="210"/>
      <c r="F52" s="141"/>
      <c r="G52" s="141"/>
      <c r="H52" s="359">
        <f>IF(F11&gt;0,MAX(0,ROUND(H45/H49,1)),"n/a")</f>
        <v>180.2</v>
      </c>
      <c r="I52" s="141"/>
      <c r="J52" s="209" t="s">
        <v>354</v>
      </c>
      <c r="K52" s="210"/>
      <c r="L52" s="210"/>
      <c r="M52" s="210"/>
      <c r="N52" s="210"/>
      <c r="O52" s="141"/>
      <c r="P52" s="141"/>
      <c r="Q52" s="359">
        <f>IF(G11&gt;0,MAX(0,ROUND(Q45/Q49,1)),"n/a")</f>
        <v>51.3</v>
      </c>
    </row>
    <row r="53" spans="1:21" s="247" customFormat="1" ht="9.75" customHeight="1" x14ac:dyDescent="0.2">
      <c r="A53" s="291"/>
      <c r="B53" s="231"/>
      <c r="C53" s="231"/>
      <c r="D53" s="231"/>
      <c r="E53" s="231"/>
      <c r="F53" s="231"/>
      <c r="G53" s="231"/>
      <c r="H53" s="150"/>
      <c r="I53" s="50"/>
      <c r="J53" s="291"/>
      <c r="K53" s="231"/>
      <c r="L53" s="231"/>
      <c r="M53" s="231"/>
      <c r="N53" s="231"/>
      <c r="O53" s="231"/>
      <c r="P53" s="231"/>
      <c r="Q53" s="150"/>
      <c r="T53" s="245"/>
      <c r="U53" s="245"/>
    </row>
    <row r="54" spans="1:21" s="247" customFormat="1" ht="15" customHeight="1" x14ac:dyDescent="0.25">
      <c r="A54" s="351" t="str">
        <f>+RIGHT($A$1,7)&amp;" ARC-CO Payment"</f>
        <v>2024-25 ARC-CO Payment</v>
      </c>
      <c r="B54" s="50"/>
      <c r="C54" s="50"/>
      <c r="D54" s="50"/>
      <c r="E54" s="50"/>
      <c r="F54" s="50"/>
      <c r="G54" s="50"/>
      <c r="H54" s="150"/>
      <c r="I54" s="50"/>
      <c r="J54" s="351" t="str">
        <f>+RIGHT($A$1,7)&amp;" ARC-CO Payment"</f>
        <v>2024-25 ARC-CO Payment</v>
      </c>
      <c r="K54" s="50"/>
      <c r="L54" s="50"/>
      <c r="M54" s="50"/>
      <c r="N54" s="50"/>
      <c r="O54" s="50"/>
      <c r="P54" s="50"/>
      <c r="Q54" s="150"/>
      <c r="T54" s="245"/>
      <c r="U54" s="245"/>
    </row>
    <row r="55" spans="1:21" s="247" customFormat="1" ht="25.5" customHeight="1" x14ac:dyDescent="0.2">
      <c r="A55" s="298" t="str">
        <f>+"'Actual' County Revenue - ARC-CO Revenue Guarantee, $/acre"</f>
        <v>'Actual' County Revenue - ARC-CO Revenue Guarantee, $/acre</v>
      </c>
      <c r="B55" s="50"/>
      <c r="C55" s="50"/>
      <c r="D55" s="50"/>
      <c r="E55" s="141"/>
      <c r="F55" s="141"/>
      <c r="G55" s="329" t="str">
        <f>+IFERROR(IF(-H55&gt;H46,"(Payment cap reached with entered projections)",""),"")</f>
        <v/>
      </c>
      <c r="H55" s="341" t="str">
        <f>IFERROR(H51-H45,"n/a")</f>
        <v>n/a</v>
      </c>
      <c r="I55" s="51"/>
      <c r="J55" s="298" t="str">
        <f>+A55</f>
        <v>'Actual' County Revenue - ARC-CO Revenue Guarantee, $/acre</v>
      </c>
      <c r="K55" s="50"/>
      <c r="L55" s="50"/>
      <c r="M55" s="50"/>
      <c r="N55" s="141"/>
      <c r="O55" s="141"/>
      <c r="P55" s="329" t="str">
        <f>+IFERROR(IF(-Q55&gt;Q46,"(Payment cap reached with entered projections)",""),"")</f>
        <v/>
      </c>
      <c r="Q55" s="341" t="str">
        <f>IFERROR(Q51-Q45,"n/a")</f>
        <v>n/a</v>
      </c>
      <c r="T55" s="245"/>
      <c r="U55" s="245"/>
    </row>
    <row r="56" spans="1:21" s="247" customFormat="1" ht="25.5" customHeight="1" x14ac:dyDescent="0.2">
      <c r="A56" s="299" t="str">
        <f>+"ARC-CO Payment, in $/base acre (adjusted for payments on "&amp;$T$56&amp;"% of base acres and "&amp;$U$56&amp;"% sequestration)"</f>
        <v>ARC-CO Payment, in $/base acre (adjusted for payments on 85% of base acres and 5.7% sequestration)</v>
      </c>
      <c r="B56" s="50"/>
      <c r="C56" s="50"/>
      <c r="D56" s="50"/>
      <c r="E56" s="50"/>
      <c r="F56" s="50"/>
      <c r="G56" s="142"/>
      <c r="H56" s="353" t="str">
        <f>IF(H55="n/a",H55,IF(H55&lt;0,IF(-H55&lt;H46,-H55*$T$56/100,H46*$T$56/100)*(1-$U$56/100),"No ARC payment"))</f>
        <v>n/a</v>
      </c>
      <c r="I56" s="301"/>
      <c r="J56" s="299" t="str">
        <f>+A56</f>
        <v>ARC-CO Payment, in $/base acre (adjusted for payments on 85% of base acres and 5.7% sequestration)</v>
      </c>
      <c r="K56" s="50"/>
      <c r="L56" s="50"/>
      <c r="M56" s="50"/>
      <c r="N56" s="50"/>
      <c r="O56" s="50"/>
      <c r="P56" s="142"/>
      <c r="Q56" s="300" t="str">
        <f>IF(Q55="n/a",Q55,IF(Q55&lt;0,IF(-Q55&lt;Q46,-Q55*$T$56/100,Q46*$T$56/100)*(1-$U$56/100),"No ARC payment"))</f>
        <v>n/a</v>
      </c>
      <c r="T56" s="262">
        <v>85</v>
      </c>
      <c r="U56" s="302">
        <v>5.7</v>
      </c>
    </row>
    <row r="57" spans="1:21" s="247" customFormat="1" ht="25.5" customHeight="1" x14ac:dyDescent="0.2">
      <c r="A57" s="298" t="str">
        <f>+"Your Corn Base Acres in "&amp;$A$7&amp;" County"</f>
        <v>Your Corn Base Acres in Henry County</v>
      </c>
      <c r="B57" s="50"/>
      <c r="C57" s="50"/>
      <c r="D57" s="50"/>
      <c r="E57" s="50"/>
      <c r="F57" s="50"/>
      <c r="G57" s="328" t="str">
        <f>+IF(F13&gt;0,"","Please fill in yellow-shaded cells")</f>
        <v>Please fill in yellow-shaded cells</v>
      </c>
      <c r="H57" s="364" t="str">
        <f>IF(F13&gt;0,F13,"n/a")</f>
        <v>n/a</v>
      </c>
      <c r="I57" s="301"/>
      <c r="J57" s="298" t="str">
        <f>+"Your Soybean Base Acres in "&amp;$A$7&amp;" County"</f>
        <v>Your Soybean Base Acres in Henry County</v>
      </c>
      <c r="K57" s="50"/>
      <c r="L57" s="50"/>
      <c r="M57" s="50"/>
      <c r="N57" s="50"/>
      <c r="O57" s="50"/>
      <c r="P57" s="328" t="str">
        <f>+IF(G13&gt;0,"","Please fill in yellow-shaded cells")</f>
        <v>Please fill in yellow-shaded cells</v>
      </c>
      <c r="Q57" s="364" t="str">
        <f>IF(G13&gt;0,G13,"n/a")</f>
        <v>n/a</v>
      </c>
      <c r="T57" s="245"/>
      <c r="U57" s="245"/>
    </row>
    <row r="58" spans="1:21" s="247" customFormat="1" ht="25.5" customHeight="1" x14ac:dyDescent="0.2">
      <c r="A58" s="299" t="str">
        <f>+"Total projected ARC-CO Payments (adjusted for base acres and sequestration)^^"</f>
        <v>Total projected ARC-CO Payments (adjusted for base acres and sequestration)^^</v>
      </c>
      <c r="B58" s="50"/>
      <c r="C58" s="50"/>
      <c r="D58" s="50"/>
      <c r="E58" s="50"/>
      <c r="F58" s="50"/>
      <c r="G58" s="142"/>
      <c r="H58" s="303" t="str">
        <f>IFERROR(IF(H56="No ARC payment",H56,IF(H57=0,"n/a",(H57*H56))),"n/a")</f>
        <v>n/a</v>
      </c>
      <c r="I58" s="301"/>
      <c r="J58" s="299" t="str">
        <f>+A58</f>
        <v>Total projected ARC-CO Payments (adjusted for base acres and sequestration)^^</v>
      </c>
      <c r="K58" s="50"/>
      <c r="L58" s="50"/>
      <c r="M58" s="50"/>
      <c r="N58" s="50"/>
      <c r="O58" s="50"/>
      <c r="P58" s="142"/>
      <c r="Q58" s="303" t="str">
        <f>IFERROR(IF(Q56="No ARC payment",Q56,IF(Q57=0,"n/a",(Q57*Q56))),"n/a")</f>
        <v>n/a</v>
      </c>
      <c r="T58" s="245"/>
      <c r="U58" s="245"/>
    </row>
    <row r="59" spans="1:21" s="141" customFormat="1" ht="6.75" customHeight="1" thickBot="1" x14ac:dyDescent="0.3">
      <c r="A59" s="257"/>
      <c r="B59" s="143"/>
      <c r="C59" s="143"/>
      <c r="D59" s="143"/>
      <c r="E59" s="143"/>
      <c r="F59" s="143"/>
      <c r="G59" s="144"/>
      <c r="H59" s="265"/>
      <c r="I59" s="214"/>
      <c r="J59" s="257"/>
      <c r="K59" s="143"/>
      <c r="L59" s="143"/>
      <c r="M59" s="143"/>
      <c r="N59" s="143"/>
      <c r="O59" s="143"/>
      <c r="P59" s="144"/>
      <c r="Q59" s="265"/>
      <c r="R59" s="304"/>
    </row>
    <row r="60" spans="1:21" s="247" customFormat="1" ht="23.85" customHeight="1" thickBot="1" x14ac:dyDescent="0.25">
      <c r="A60" s="330" t="str">
        <f>+"5a. Price Loss Coverage (PLC) in "&amp;A7&amp;" County for Corn"</f>
        <v>5a. Price Loss Coverage (PLC) in Henry County for Corn</v>
      </c>
      <c r="B60" s="333"/>
      <c r="C60" s="333"/>
      <c r="D60" s="333"/>
      <c r="E60" s="333"/>
      <c r="F60" s="333"/>
      <c r="G60" s="333"/>
      <c r="H60" s="334"/>
      <c r="I60" s="141"/>
      <c r="J60" s="330" t="str">
        <f>+"5b. Price Loss Coverage (PLC) in "&amp;A7&amp;" County for Soybeans"</f>
        <v>5b. Price Loss Coverage (PLC) in Henry County for Soybeans</v>
      </c>
      <c r="K60" s="333"/>
      <c r="L60" s="332"/>
      <c r="M60" s="333"/>
      <c r="N60" s="335"/>
      <c r="O60" s="335"/>
      <c r="P60" s="335"/>
      <c r="Q60" s="334"/>
      <c r="T60" s="245"/>
      <c r="U60" s="245"/>
    </row>
    <row r="61" spans="1:21" s="50" customFormat="1" ht="12.75" x14ac:dyDescent="0.2">
      <c r="A61" s="305" t="s">
        <v>323</v>
      </c>
      <c r="B61" s="306"/>
      <c r="C61" s="306"/>
      <c r="D61" s="306"/>
      <c r="E61" s="306"/>
      <c r="F61" s="306"/>
      <c r="G61" s="306"/>
      <c r="H61" s="237"/>
      <c r="I61" s="141"/>
      <c r="J61" s="305" t="s">
        <v>323</v>
      </c>
      <c r="K61" s="141"/>
      <c r="L61" s="235"/>
      <c r="M61" s="141"/>
      <c r="P61" s="236"/>
      <c r="Q61" s="237"/>
      <c r="T61" s="51"/>
      <c r="U61" s="51"/>
    </row>
    <row r="62" spans="1:21" s="50" customFormat="1" ht="12.75" x14ac:dyDescent="0.2">
      <c r="A62" s="298" t="str">
        <f>+A31</f>
        <v>Effective Reference Price (ERP)</v>
      </c>
      <c r="C62" s="141"/>
      <c r="D62" s="141"/>
      <c r="E62" s="141"/>
      <c r="F62" s="141"/>
      <c r="G62" s="141"/>
      <c r="H62" s="342">
        <f>+B31</f>
        <v>4.01</v>
      </c>
      <c r="I62" s="141"/>
      <c r="J62" s="298" t="str">
        <f>+J31</f>
        <v>Effective Reference Price (ERP)</v>
      </c>
      <c r="K62" s="141"/>
      <c r="L62" s="235"/>
      <c r="M62" s="141"/>
      <c r="Q62" s="339">
        <f>+K31</f>
        <v>9.26</v>
      </c>
      <c r="T62" s="51"/>
      <c r="U62" s="51"/>
    </row>
    <row r="63" spans="1:21" s="50" customFormat="1" ht="12.75" x14ac:dyDescent="0.2">
      <c r="A63" s="298" t="s">
        <v>127</v>
      </c>
      <c r="C63" s="141"/>
      <c r="D63" s="141"/>
      <c r="E63" s="141"/>
      <c r="F63" s="141"/>
      <c r="G63" s="141"/>
      <c r="H63" s="307">
        <v>2.2000000000000002</v>
      </c>
      <c r="I63" s="141"/>
      <c r="J63" s="298" t="s">
        <v>127</v>
      </c>
      <c r="K63" s="141"/>
      <c r="L63" s="235"/>
      <c r="M63" s="141"/>
      <c r="Q63" s="307">
        <v>6.2</v>
      </c>
      <c r="T63" s="51"/>
      <c r="U63" s="51"/>
    </row>
    <row r="64" spans="1:21" s="50" customFormat="1" ht="12.75" x14ac:dyDescent="0.2">
      <c r="A64" s="298" t="s">
        <v>318</v>
      </c>
      <c r="C64" s="141"/>
      <c r="D64" s="141"/>
      <c r="E64" s="141"/>
      <c r="F64" s="141"/>
      <c r="G64" s="141"/>
      <c r="H64" s="307">
        <f>MAX(0,+H62-H63)</f>
        <v>1.8099999999999996</v>
      </c>
      <c r="I64" s="141"/>
      <c r="J64" s="298" t="s">
        <v>318</v>
      </c>
      <c r="K64" s="141"/>
      <c r="L64" s="235"/>
      <c r="M64" s="141"/>
      <c r="Q64" s="307">
        <f>MAX(0,+Q62-Q63)</f>
        <v>3.0599999999999996</v>
      </c>
      <c r="T64" s="51"/>
      <c r="U64" s="51"/>
    </row>
    <row r="65" spans="1:31" s="50" customFormat="1" ht="15.75" x14ac:dyDescent="0.2">
      <c r="A65" s="308"/>
      <c r="B65" s="141"/>
      <c r="C65" s="141"/>
      <c r="D65" s="141"/>
      <c r="E65" s="141"/>
      <c r="F65" s="141"/>
      <c r="G65" s="141"/>
      <c r="H65" s="145"/>
      <c r="I65" s="141"/>
      <c r="J65" s="308"/>
      <c r="K65" s="141"/>
      <c r="L65" s="235"/>
      <c r="M65" s="141"/>
      <c r="Q65" s="145"/>
      <c r="T65" s="51"/>
      <c r="U65" s="51"/>
    </row>
    <row r="66" spans="1:31" s="50" customFormat="1" ht="12.75" x14ac:dyDescent="0.2">
      <c r="A66" s="253" t="s">
        <v>324</v>
      </c>
      <c r="B66" s="141"/>
      <c r="C66" s="141"/>
      <c r="D66" s="141"/>
      <c r="E66" s="141"/>
      <c r="F66" s="141"/>
      <c r="G66" s="141"/>
      <c r="H66" s="145"/>
      <c r="I66" s="141"/>
      <c r="J66" s="253" t="s">
        <v>324</v>
      </c>
      <c r="K66" s="141"/>
      <c r="L66" s="235"/>
      <c r="M66" s="141"/>
      <c r="Q66" s="145"/>
      <c r="T66" s="51"/>
      <c r="U66" s="51"/>
    </row>
    <row r="67" spans="1:31" s="247" customFormat="1" ht="12.75" x14ac:dyDescent="0.2">
      <c r="A67" s="298" t="s">
        <v>319</v>
      </c>
      <c r="B67" s="50"/>
      <c r="C67" s="51"/>
      <c r="D67" s="50"/>
      <c r="E67" s="50"/>
      <c r="F67" s="50"/>
      <c r="G67" s="328" t="str">
        <f>+IF(F14&gt;0,"","Please fill in yellow-shaded cells")</f>
        <v>Please fill in yellow-shaded cells</v>
      </c>
      <c r="H67" s="365" t="str">
        <f>IF(F14&gt;0,F14,"n/a")</f>
        <v>n/a</v>
      </c>
      <c r="I67" s="51"/>
      <c r="J67" s="298" t="s">
        <v>319</v>
      </c>
      <c r="K67" s="50"/>
      <c r="L67" s="51"/>
      <c r="M67" s="50"/>
      <c r="N67" s="50"/>
      <c r="O67" s="50"/>
      <c r="P67" s="328" t="str">
        <f>+IF(G14&gt;0,"","Please fill in yellow-shaded cells")</f>
        <v>Please fill in yellow-shaded cells</v>
      </c>
      <c r="Q67" s="365" t="str">
        <f>IF(G14&gt;0,G14,"n/a")</f>
        <v>n/a</v>
      </c>
      <c r="T67" s="245"/>
      <c r="U67" s="245"/>
    </row>
    <row r="68" spans="1:31" s="247" customFormat="1" ht="12.75" x14ac:dyDescent="0.2">
      <c r="A68" s="256"/>
      <c r="B68" s="50"/>
      <c r="C68" s="51"/>
      <c r="D68" s="50"/>
      <c r="E68" s="50"/>
      <c r="F68" s="50"/>
      <c r="G68" s="148"/>
      <c r="H68" s="150"/>
      <c r="I68" s="51"/>
      <c r="J68" s="256"/>
      <c r="K68" s="50"/>
      <c r="L68" s="51"/>
      <c r="M68" s="50"/>
      <c r="N68" s="50"/>
      <c r="O68" s="50"/>
      <c r="P68" s="148"/>
      <c r="Q68" s="150"/>
      <c r="T68" s="245"/>
      <c r="U68" s="245"/>
    </row>
    <row r="69" spans="1:31" s="247" customFormat="1" ht="15" x14ac:dyDescent="0.25">
      <c r="A69" s="351" t="str">
        <f>+RIGHT($A$1,7)&amp;" PLC Payment"</f>
        <v>2024-25 PLC Payment</v>
      </c>
      <c r="B69" s="50"/>
      <c r="C69" s="51"/>
      <c r="D69" s="50"/>
      <c r="E69" s="50"/>
      <c r="F69" s="50"/>
      <c r="G69" s="148"/>
      <c r="H69" s="150"/>
      <c r="I69" s="51"/>
      <c r="J69" s="351" t="str">
        <f>+RIGHT($A$1,7)&amp;" PLC Payment"</f>
        <v>2024-25 PLC Payment</v>
      </c>
      <c r="K69" s="50"/>
      <c r="L69" s="51"/>
      <c r="M69" s="50"/>
      <c r="N69" s="50"/>
      <c r="O69" s="50"/>
      <c r="P69" s="148"/>
      <c r="Q69" s="150"/>
      <c r="T69" s="245"/>
      <c r="U69" s="245"/>
    </row>
    <row r="70" spans="1:31" s="247" customFormat="1" ht="26.25" customHeight="1" x14ac:dyDescent="0.2">
      <c r="A70" s="357" t="str">
        <f>+A49</f>
        <v>Projected 2024-25 MYA Price (as entered above), $/bushel</v>
      </c>
      <c r="B70" s="50"/>
      <c r="C70" s="51"/>
      <c r="D70" s="50"/>
      <c r="E70" s="50"/>
      <c r="F70" s="50"/>
      <c r="G70" s="328" t="str">
        <f>+IF(F11&gt;0,IF(-H70+H62&gt;=H64,"(Payment cap reached at this price)",""),"Please fill in yellow-shaded cells")</f>
        <v/>
      </c>
      <c r="H70" s="366">
        <f>IF(F11&gt;0,F11,"n/a")</f>
        <v>4.4000000000000004</v>
      </c>
      <c r="I70" s="51"/>
      <c r="J70" s="357" t="str">
        <f>+J49</f>
        <v>Projected 2024-25 MYA Price (as entered above), $/bushel</v>
      </c>
      <c r="K70" s="50"/>
      <c r="L70" s="51"/>
      <c r="M70" s="50"/>
      <c r="N70" s="50"/>
      <c r="O70" s="50"/>
      <c r="P70" s="328" t="str">
        <f>+IF(G11&gt;0,IF(-Q70+Q62&gt;=Q64,"(Payment cap reached at this price)",""),"Please fill in yellow-shaded cells")</f>
        <v/>
      </c>
      <c r="Q70" s="366">
        <f>IF(G11&gt;0,G11,"n/a")</f>
        <v>11.3</v>
      </c>
      <c r="T70" s="245"/>
      <c r="U70" s="245"/>
    </row>
    <row r="71" spans="1:31" ht="26.25" customHeight="1" x14ac:dyDescent="0.2">
      <c r="A71" s="299" t="str">
        <f>+"PLC Payment per base acre (adjusted for payments on "&amp;$T$56&amp;"% of base acres and "&amp;$U$56&amp;"% sequestration)"</f>
        <v>PLC Payment per base acre (adjusted for payments on 85% of base acres and 5.7% sequestration)</v>
      </c>
      <c r="B71" s="309"/>
      <c r="C71" s="309"/>
      <c r="D71" s="309"/>
      <c r="E71" s="309"/>
      <c r="F71" s="309"/>
      <c r="G71" s="309"/>
      <c r="H71" s="300" t="str">
        <f>IF(AND(F11&gt;0,F14&gt;0),IF(AND(F11&lt;H62),MIN(H64,H$62-H70)*H67*$T$56/100*(1-$U$56/100),"No PLC payment"),"n/a")</f>
        <v>n/a</v>
      </c>
      <c r="J71" s="299" t="str">
        <f>+"PLC Payment per base acre (adjusted for payments on "&amp;$T$56&amp;"% of base acres and "&amp;$U$56&amp;"% sequestration)"</f>
        <v>PLC Payment per base acre (adjusted for payments on 85% of base acres and 5.7% sequestration)</v>
      </c>
      <c r="K71" s="309"/>
      <c r="L71" s="309"/>
      <c r="M71" s="309"/>
      <c r="N71" s="309"/>
      <c r="O71" s="309"/>
      <c r="P71" s="309"/>
      <c r="Q71" s="300" t="str">
        <f>IF(AND(G11&gt;0,G14&gt;0),IF(AND(G11&lt;Q62),MIN(Q64,Q$62-Q70)*Q67*$T$56/100*(1-$U$56/100),"No PLC payment"),"n/a")</f>
        <v>n/a</v>
      </c>
    </row>
    <row r="72" spans="1:31" ht="26.25" customHeight="1" x14ac:dyDescent="0.2">
      <c r="A72" s="298" t="str">
        <f>+"Your Corn Base Acres in "&amp;$A$7&amp;" County"</f>
        <v>Your Corn Base Acres in Henry County</v>
      </c>
      <c r="B72" s="50"/>
      <c r="C72" s="50"/>
      <c r="D72" s="50"/>
      <c r="E72" s="50"/>
      <c r="F72" s="50"/>
      <c r="G72" s="328" t="str">
        <f>+IF(F13&gt;0,"","Please fill in yellow-shaded cells")</f>
        <v>Please fill in yellow-shaded cells</v>
      </c>
      <c r="H72" s="367" t="str">
        <f>IF(F13&gt;0,F13,"n/a")</f>
        <v>n/a</v>
      </c>
      <c r="J72" s="298" t="str">
        <f>+"Your Soybean Base Acres in "&amp;$A$7&amp;" County"</f>
        <v>Your Soybean Base Acres in Henry County</v>
      </c>
      <c r="K72" s="309"/>
      <c r="L72" s="309"/>
      <c r="M72" s="309"/>
      <c r="N72" s="309"/>
      <c r="O72" s="309"/>
      <c r="P72" s="328" t="str">
        <f>+IF(G13&gt;0,"","Please fill in yellow-shaded cells")</f>
        <v>Please fill in yellow-shaded cells</v>
      </c>
      <c r="Q72" s="368" t="str">
        <f>IF(G13&gt;0,G13,"n/a")</f>
        <v>n/a</v>
      </c>
    </row>
    <row r="73" spans="1:31" ht="26.25" customHeight="1" thickBot="1" x14ac:dyDescent="0.25">
      <c r="A73" s="310" t="str">
        <f>+"Total projected PLC Payments (adjusted for base acres and sequestration)^^^"</f>
        <v>Total projected PLC Payments (adjusted for base acres and sequestration)^^^</v>
      </c>
      <c r="B73" s="234"/>
      <c r="C73" s="234"/>
      <c r="D73" s="234"/>
      <c r="E73" s="234"/>
      <c r="F73" s="234"/>
      <c r="G73" s="311"/>
      <c r="H73" s="312" t="str">
        <f>IFERROR(IF(H71="No PLC payment",H71,IF(H72=0,"n/a",(H72*H71))),"n/a")</f>
        <v>n/a</v>
      </c>
      <c r="J73" s="310" t="str">
        <f>+"Total projected PLC Payments (adjusted for base acres and sequestration)^^^"</f>
        <v>Total projected PLC Payments (adjusted for base acres and sequestration)^^^</v>
      </c>
      <c r="K73" s="313"/>
      <c r="L73" s="313"/>
      <c r="M73" s="313"/>
      <c r="N73" s="313"/>
      <c r="O73" s="313"/>
      <c r="P73" s="313"/>
      <c r="Q73" s="312" t="str">
        <f>IFERROR(IF(Q71="No PLC payment",Q71,IF(Q72=0,"n/a",(Q72*Q71))),"n/a")</f>
        <v>n/a</v>
      </c>
    </row>
    <row r="74" spans="1:31" x14ac:dyDescent="0.2">
      <c r="A74" s="257" t="s">
        <v>317</v>
      </c>
      <c r="J74" s="309"/>
      <c r="K74" s="309"/>
      <c r="L74" s="309"/>
      <c r="M74" s="309"/>
      <c r="N74" s="309"/>
      <c r="O74" s="309"/>
      <c r="P74" s="309"/>
      <c r="Q74" s="309"/>
    </row>
    <row r="75" spans="1:31" s="141" customFormat="1" ht="15" x14ac:dyDescent="0.25">
      <c r="A75" s="259" t="s">
        <v>284</v>
      </c>
      <c r="B75" s="143"/>
      <c r="C75" s="143"/>
      <c r="D75" s="143"/>
      <c r="E75" s="143"/>
      <c r="F75" s="143"/>
      <c r="G75" s="144"/>
      <c r="H75" s="266"/>
      <c r="I75" s="214"/>
      <c r="J75" s="259"/>
      <c r="K75" s="143"/>
      <c r="L75" s="143"/>
      <c r="M75" s="143"/>
      <c r="N75" s="143"/>
      <c r="O75" s="143"/>
      <c r="P75" s="144"/>
      <c r="Q75" s="266"/>
      <c r="R75" s="304"/>
    </row>
    <row r="76" spans="1:31" s="50" customFormat="1" ht="12.75" x14ac:dyDescent="0.2">
      <c r="A76" s="259" t="s">
        <v>355</v>
      </c>
      <c r="I76" s="51"/>
      <c r="J76" s="259"/>
      <c r="K76" s="51"/>
      <c r="P76" s="147"/>
      <c r="R76" s="147"/>
      <c r="T76" s="51"/>
      <c r="U76" s="51"/>
    </row>
    <row r="77" spans="1:31" s="247" customFormat="1" ht="12.75" x14ac:dyDescent="0.2">
      <c r="A77" s="259" t="str">
        <f>+"^^ARC-CO Payments (if any) will be issued in October 202"&amp;RIGHT($A$1,1)</f>
        <v>^^ARC-CO Payments (if any) will be issued in October 2025</v>
      </c>
      <c r="B77" s="50"/>
      <c r="C77" s="50"/>
      <c r="D77" s="50"/>
      <c r="E77" s="50"/>
      <c r="F77" s="50"/>
      <c r="G77" s="50"/>
      <c r="H77" s="50"/>
      <c r="I77" s="51"/>
      <c r="J77" s="259"/>
      <c r="K77" s="51"/>
      <c r="L77" s="50"/>
      <c r="M77" s="50"/>
      <c r="N77" s="50"/>
      <c r="O77" s="50"/>
      <c r="P77" s="147"/>
      <c r="Q77" s="50"/>
      <c r="R77" s="147"/>
      <c r="T77" s="245"/>
      <c r="U77" s="245"/>
    </row>
    <row r="78" spans="1:31" x14ac:dyDescent="0.2">
      <c r="A78" s="259" t="str">
        <f>+"^^^ PLC Payments (if any) will be issued in October 202"&amp;RIGHT($A$1,1)</f>
        <v>^^^ PLC Payments (if any) will be issued in October 2025</v>
      </c>
      <c r="B78" s="309"/>
      <c r="C78" s="309"/>
      <c r="D78" s="309"/>
      <c r="E78" s="309"/>
      <c r="F78" s="309"/>
      <c r="G78" s="309"/>
      <c r="H78" s="309"/>
      <c r="J78" s="309"/>
      <c r="K78" s="309"/>
      <c r="L78" s="309"/>
      <c r="M78" s="309"/>
      <c r="N78" s="309"/>
      <c r="O78" s="309"/>
      <c r="P78" s="309"/>
      <c r="Q78" s="309"/>
    </row>
    <row r="79" spans="1:31" s="247" customFormat="1" ht="12.75" x14ac:dyDescent="0.2">
      <c r="K79" s="245"/>
      <c r="L79" s="51"/>
      <c r="M79" s="245"/>
      <c r="N79" s="245"/>
      <c r="T79" s="245"/>
      <c r="U79" s="245"/>
      <c r="X79" s="245"/>
      <c r="Y79" s="245"/>
    </row>
    <row r="80" spans="1:31" s="247" customFormat="1" ht="15" x14ac:dyDescent="0.2">
      <c r="A80" s="314" t="s">
        <v>117</v>
      </c>
      <c r="B80" s="315"/>
      <c r="C80" s="315"/>
      <c r="D80" s="315"/>
      <c r="E80" s="315"/>
      <c r="F80" s="315"/>
      <c r="G80" s="315"/>
      <c r="H80" s="315"/>
      <c r="I80" s="315"/>
      <c r="J80" s="316" t="s">
        <v>123</v>
      </c>
      <c r="K80" s="315"/>
      <c r="L80" s="317"/>
      <c r="M80" s="245"/>
      <c r="N80" s="245"/>
      <c r="O80" s="245"/>
      <c r="Q80" s="245"/>
      <c r="T80" s="245"/>
      <c r="U80" s="245"/>
      <c r="Z80" s="245"/>
      <c r="AA80" s="245"/>
      <c r="AB80" s="245"/>
      <c r="AC80" s="245"/>
      <c r="AD80" s="245"/>
      <c r="AE80" s="245"/>
    </row>
    <row r="81" spans="1:38" s="247" customFormat="1" ht="15" x14ac:dyDescent="0.2">
      <c r="A81" s="395">
        <v>45341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7"/>
      <c r="L81" s="317"/>
      <c r="M81" s="245"/>
      <c r="N81" s="245"/>
      <c r="O81" s="245"/>
      <c r="Q81" s="245"/>
      <c r="T81" s="245"/>
      <c r="U81" s="245"/>
      <c r="Y81" s="245"/>
      <c r="Z81" s="245"/>
      <c r="AA81" s="245"/>
      <c r="AB81" s="245"/>
      <c r="AC81" s="245"/>
      <c r="AD81" s="245"/>
      <c r="AE81" s="245"/>
    </row>
    <row r="82" spans="1:38" s="247" customFormat="1" ht="12.75" x14ac:dyDescent="0.2">
      <c r="A82" s="315"/>
      <c r="B82" s="315"/>
      <c r="C82" s="315"/>
      <c r="D82" s="315"/>
      <c r="E82" s="315"/>
      <c r="F82" s="315"/>
      <c r="G82" s="315"/>
      <c r="H82" s="315"/>
      <c r="I82" s="315"/>
      <c r="J82" s="318" t="s">
        <v>334</v>
      </c>
      <c r="K82" s="315"/>
      <c r="L82" s="317"/>
      <c r="M82" s="245"/>
      <c r="N82" s="245"/>
      <c r="O82" s="245"/>
      <c r="T82" s="245"/>
      <c r="U82" s="245"/>
      <c r="Z82" s="245"/>
      <c r="AA82" s="245"/>
      <c r="AB82" s="245"/>
      <c r="AC82" s="245"/>
      <c r="AD82" s="245"/>
      <c r="AE82" s="245"/>
      <c r="AF82" s="245"/>
    </row>
    <row r="83" spans="1:38" s="247" customFormat="1" ht="12.75" x14ac:dyDescent="0.2">
      <c r="A83" s="151" t="s">
        <v>290</v>
      </c>
      <c r="B83" s="153"/>
      <c r="C83" s="179"/>
      <c r="D83" s="151"/>
      <c r="E83" s="151"/>
      <c r="F83" s="151"/>
      <c r="G83" s="151"/>
      <c r="H83" s="180"/>
      <c r="I83" s="180"/>
      <c r="K83" s="317" t="s">
        <v>335</v>
      </c>
      <c r="L83" s="315"/>
      <c r="N83" s="245"/>
      <c r="O83" s="245"/>
      <c r="T83" s="245"/>
      <c r="U83" s="245"/>
      <c r="Z83" s="245"/>
      <c r="AA83" s="245"/>
      <c r="AB83" s="245"/>
      <c r="AC83" s="245"/>
      <c r="AD83" s="245"/>
      <c r="AE83" s="245"/>
      <c r="AF83" s="245"/>
    </row>
    <row r="84" spans="1:38" s="247" customFormat="1" ht="12.75" x14ac:dyDescent="0.2">
      <c r="A84" s="378" t="s">
        <v>118</v>
      </c>
      <c r="B84" s="378"/>
      <c r="C84" s="378"/>
      <c r="D84" s="180"/>
      <c r="E84" s="180"/>
      <c r="F84" s="180"/>
      <c r="G84" s="180"/>
      <c r="H84" s="180"/>
      <c r="I84" s="180"/>
      <c r="J84" s="318" t="s">
        <v>300</v>
      </c>
      <c r="K84" s="315"/>
      <c r="L84" s="315"/>
      <c r="N84" s="245"/>
      <c r="O84" s="245"/>
      <c r="T84" s="245"/>
      <c r="U84" s="245"/>
      <c r="Z84" s="245"/>
      <c r="AA84" s="245"/>
      <c r="AB84" s="245"/>
      <c r="AC84" s="245"/>
      <c r="AD84" s="245"/>
      <c r="AE84" s="245"/>
      <c r="AF84" s="245"/>
    </row>
    <row r="85" spans="1:38" s="247" customFormat="1" x14ac:dyDescent="0.2">
      <c r="A85" s="371" t="s">
        <v>115</v>
      </c>
      <c r="B85" s="371"/>
      <c r="C85" s="371"/>
      <c r="D85" s="180"/>
      <c r="E85" s="180"/>
      <c r="F85" s="180"/>
      <c r="G85" s="180"/>
      <c r="H85" s="180"/>
      <c r="I85" s="180"/>
      <c r="J85" s="319" t="s">
        <v>122</v>
      </c>
      <c r="K85" s="315"/>
      <c r="L85" s="315"/>
      <c r="N85" s="245"/>
      <c r="O85" s="245"/>
      <c r="Q85" s="244"/>
      <c r="R85" s="244"/>
      <c r="S85" s="244"/>
      <c r="T85" s="245"/>
      <c r="U85" s="245"/>
      <c r="Z85" s="245"/>
      <c r="AA85" s="245"/>
      <c r="AB85" s="245"/>
      <c r="AC85" s="245"/>
      <c r="AD85" s="245"/>
      <c r="AE85" s="245"/>
      <c r="AF85" s="245"/>
    </row>
    <row r="86" spans="1:38" s="247" customFormat="1" ht="12.75" x14ac:dyDescent="0.2">
      <c r="A86" s="135" t="s">
        <v>104</v>
      </c>
      <c r="B86" s="180"/>
      <c r="C86" s="180"/>
      <c r="D86" s="180"/>
      <c r="E86" s="180"/>
      <c r="F86" s="180"/>
      <c r="G86" s="180"/>
      <c r="H86" s="180"/>
      <c r="I86" s="180"/>
      <c r="J86" s="319" t="s">
        <v>121</v>
      </c>
      <c r="K86" s="315"/>
      <c r="L86" s="315"/>
      <c r="N86" s="245"/>
      <c r="O86" s="245"/>
      <c r="T86" s="245"/>
      <c r="U86" s="245"/>
      <c r="Z86" s="245"/>
      <c r="AA86" s="245"/>
      <c r="AB86" s="245"/>
      <c r="AC86" s="245"/>
      <c r="AD86" s="245"/>
      <c r="AE86" s="245"/>
      <c r="AF86" s="245"/>
    </row>
    <row r="87" spans="1:38" s="247" customFormat="1" ht="12.75" x14ac:dyDescent="0.2">
      <c r="A87" s="153">
        <f ca="1">TODAY()</f>
        <v>45341</v>
      </c>
      <c r="B87" s="180"/>
      <c r="C87" s="180"/>
      <c r="D87" s="180"/>
      <c r="E87" s="180"/>
      <c r="F87" s="320"/>
      <c r="G87" s="180"/>
      <c r="H87" s="180"/>
      <c r="I87" s="180"/>
      <c r="J87" s="317" t="s">
        <v>131</v>
      </c>
      <c r="K87" s="315"/>
      <c r="L87" s="315"/>
      <c r="N87" s="245"/>
      <c r="O87" s="245"/>
      <c r="T87" s="245"/>
      <c r="U87" s="245"/>
      <c r="Z87" s="245"/>
      <c r="AA87" s="245"/>
      <c r="AB87" s="245"/>
      <c r="AC87" s="245"/>
      <c r="AD87" s="245"/>
      <c r="AE87" s="245"/>
      <c r="AF87" s="245"/>
    </row>
    <row r="88" spans="1:38" s="247" customFormat="1" ht="12.75" x14ac:dyDescent="0.2">
      <c r="A88" s="153"/>
      <c r="B88" s="180"/>
      <c r="C88" s="180"/>
      <c r="D88" s="180"/>
      <c r="E88" s="180"/>
      <c r="F88" s="320"/>
      <c r="G88" s="180"/>
      <c r="H88" s="180"/>
      <c r="I88" s="180"/>
      <c r="J88" s="317" t="s">
        <v>291</v>
      </c>
      <c r="K88" s="315"/>
      <c r="L88" s="315"/>
      <c r="N88" s="245"/>
      <c r="O88" s="245"/>
      <c r="T88" s="245"/>
      <c r="U88" s="245"/>
      <c r="Z88" s="245"/>
      <c r="AA88" s="245"/>
      <c r="AB88" s="245"/>
      <c r="AC88" s="245"/>
      <c r="AD88" s="245"/>
      <c r="AE88" s="245"/>
      <c r="AF88" s="245"/>
    </row>
    <row r="89" spans="1:38" s="247" customFormat="1" ht="12.75" x14ac:dyDescent="0.2">
      <c r="A89" s="180" t="s">
        <v>105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315"/>
      <c r="L89" s="315"/>
      <c r="N89" s="245"/>
      <c r="O89" s="245"/>
      <c r="T89" s="245"/>
      <c r="U89" s="245"/>
      <c r="Z89" s="245"/>
      <c r="AA89" s="245"/>
      <c r="AB89" s="245"/>
      <c r="AC89" s="245"/>
      <c r="AD89" s="245"/>
      <c r="AE89" s="245"/>
      <c r="AF89" s="245"/>
    </row>
    <row r="90" spans="1:38" s="247" customFormat="1" ht="12.75" customHeight="1" x14ac:dyDescent="0.2">
      <c r="A90" s="135" t="s">
        <v>134</v>
      </c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2" t="s">
        <v>106</v>
      </c>
      <c r="N90" s="245"/>
      <c r="O90" s="245"/>
      <c r="T90" s="245"/>
      <c r="U90" s="245"/>
      <c r="Z90" s="245"/>
      <c r="AA90" s="245"/>
      <c r="AB90" s="245"/>
      <c r="AC90" s="245"/>
      <c r="AD90" s="245"/>
      <c r="AE90" s="245"/>
      <c r="AF90" s="245"/>
    </row>
    <row r="91" spans="1:38" s="247" customFormat="1" ht="27" customHeight="1" x14ac:dyDescent="0.2">
      <c r="A91" s="374" t="s">
        <v>135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137" t="s">
        <v>116</v>
      </c>
      <c r="N91" s="245"/>
      <c r="O91" s="245"/>
      <c r="T91" s="245"/>
      <c r="U91" s="245"/>
      <c r="Z91" s="245"/>
      <c r="AA91" s="245"/>
      <c r="AB91" s="245"/>
      <c r="AC91" s="245"/>
      <c r="AD91" s="245"/>
      <c r="AE91" s="245"/>
      <c r="AF91" s="245"/>
    </row>
    <row r="92" spans="1:38" s="247" customFormat="1" ht="12.75" x14ac:dyDescent="0.2">
      <c r="L92" s="245"/>
      <c r="M92" s="137" t="s">
        <v>289</v>
      </c>
      <c r="N92" s="245"/>
      <c r="O92" s="245"/>
      <c r="T92" s="245"/>
      <c r="U92" s="245"/>
      <c r="Z92" s="245"/>
      <c r="AA92" s="245"/>
      <c r="AB92" s="245"/>
      <c r="AC92" s="245"/>
      <c r="AD92" s="245"/>
      <c r="AE92" s="245"/>
      <c r="AF92" s="245"/>
    </row>
    <row r="93" spans="1:38" s="247" customFormat="1" ht="14.25" customHeight="1" x14ac:dyDescent="0.2">
      <c r="L93" s="245"/>
      <c r="M93" s="137" t="s">
        <v>288</v>
      </c>
      <c r="N93" s="245"/>
      <c r="O93" s="245"/>
      <c r="T93" s="245"/>
      <c r="U93" s="245"/>
      <c r="Z93" s="245"/>
      <c r="AA93" s="245"/>
      <c r="AB93" s="245"/>
      <c r="AC93" s="245"/>
      <c r="AD93" s="245"/>
      <c r="AE93" s="245"/>
      <c r="AF93" s="245"/>
    </row>
    <row r="94" spans="1:38" s="247" customFormat="1" ht="14.25" customHeight="1" x14ac:dyDescent="0.2">
      <c r="L94" s="245"/>
      <c r="M94" s="137" t="s">
        <v>301</v>
      </c>
      <c r="N94" s="245"/>
      <c r="O94" s="245"/>
      <c r="T94" s="245"/>
      <c r="U94" s="245"/>
      <c r="Z94" s="245"/>
      <c r="AA94" s="245"/>
      <c r="AB94" s="245"/>
      <c r="AC94" s="245"/>
      <c r="AD94" s="245"/>
      <c r="AE94" s="245"/>
      <c r="AF94" s="245"/>
    </row>
    <row r="95" spans="1:38" s="247" customFormat="1" x14ac:dyDescent="0.2">
      <c r="L95" s="245"/>
      <c r="M95" s="137" t="s">
        <v>302</v>
      </c>
      <c r="N95" s="245"/>
      <c r="O95" s="245"/>
      <c r="P95" s="244"/>
      <c r="T95" s="245"/>
      <c r="U95" s="245"/>
      <c r="Z95" s="245"/>
      <c r="AA95" s="245"/>
      <c r="AB95" s="245"/>
      <c r="AC95" s="245"/>
      <c r="AD95" s="245"/>
      <c r="AE95" s="245"/>
      <c r="AF95" s="245"/>
    </row>
    <row r="96" spans="1:38" s="247" customFormat="1" ht="12.75" x14ac:dyDescent="0.2">
      <c r="L96" s="245"/>
      <c r="M96" s="245"/>
      <c r="N96" s="245"/>
      <c r="O96" s="245"/>
      <c r="P96" s="245"/>
      <c r="R96" s="245"/>
      <c r="S96" s="51"/>
      <c r="T96" s="245"/>
      <c r="U96" s="245"/>
      <c r="AF96" s="245"/>
      <c r="AG96" s="245"/>
      <c r="AH96" s="245"/>
      <c r="AI96" s="245"/>
      <c r="AJ96" s="245"/>
      <c r="AK96" s="245"/>
      <c r="AL96" s="245"/>
    </row>
    <row r="97" spans="4:38" s="247" customFormat="1" ht="12.75" x14ac:dyDescent="0.2">
      <c r="L97" s="245"/>
      <c r="M97" s="245"/>
      <c r="N97" s="245"/>
      <c r="O97" s="245"/>
      <c r="P97" s="245"/>
      <c r="R97" s="245"/>
      <c r="S97" s="51"/>
      <c r="T97" s="245"/>
      <c r="U97" s="245"/>
      <c r="AF97" s="245"/>
      <c r="AG97" s="245"/>
      <c r="AH97" s="245"/>
      <c r="AI97" s="245"/>
      <c r="AJ97" s="245"/>
      <c r="AK97" s="245"/>
      <c r="AL97" s="245"/>
    </row>
    <row r="98" spans="4:38" s="247" customFormat="1" ht="12.75" x14ac:dyDescent="0.2"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Q98" s="323"/>
      <c r="R98" s="245"/>
      <c r="S98" s="51"/>
      <c r="T98" s="245"/>
      <c r="U98" s="245"/>
      <c r="AF98" s="245"/>
      <c r="AG98" s="245"/>
      <c r="AH98" s="245"/>
      <c r="AI98" s="245"/>
      <c r="AJ98" s="245"/>
      <c r="AK98" s="245"/>
      <c r="AL98" s="245"/>
    </row>
  </sheetData>
  <sheetProtection algorithmName="SHA-512" hashValue="Z0gX8BEC7JukYPHDxqkrfEsGmG1wb0uE46XF+4OMrR73zox/92X86bPrhuY/0mcxZRX3W6vsTw0293nXqz/tMQ==" saltValue="oGjKnUuv3RCnYu0pm76VuA==" spinCount="100000" sheet="1" objects="1" scenarios="1"/>
  <mergeCells count="3">
    <mergeCell ref="A91:L91"/>
    <mergeCell ref="A7:D7"/>
    <mergeCell ref="A84:C84"/>
  </mergeCells>
  <hyperlinks>
    <hyperlink ref="M91" r:id="rId1" display="FSA ARC/PLC Data" xr:uid="{00000000-0004-0000-0100-000000000000}"/>
    <hyperlink ref="A84" r:id="rId2" display="Author: William Edwards" xr:uid="{00000000-0004-0000-0100-000001000000}"/>
    <hyperlink ref="A84:B84" r:id="rId3" display="Author: Alejandro Plastina" xr:uid="{00000000-0004-0000-0100-000002000000}"/>
    <hyperlink ref="A85" r:id="rId4" xr:uid="{00000000-0004-0000-0100-000003000000}"/>
    <hyperlink ref="A84:C84" r:id="rId5" display="Authors: Alejandro Plastina" xr:uid="{00000000-0004-0000-0100-000004000000}"/>
    <hyperlink ref="A90:A91" r:id="rId6" display="This institution is an equal opportunity provider. For the full non-discrimination statement or accommodation inquiries, go to www.extension.iastate.edu/diversity/ext." xr:uid="{00000000-0004-0000-0100-000005000000}"/>
    <hyperlink ref="A52" location="'Sensitivity Analysis'!A1" display="Trigger Yield^ under Your Price Assumptions (See Sensitivity Analysis tab)" xr:uid="{00000000-0004-0000-0100-000006000000}"/>
    <hyperlink ref="M92" r:id="rId7" display="FSA Projected MYA Price" xr:uid="{00000000-0004-0000-0100-000008000000}"/>
    <hyperlink ref="A4" r:id="rId8" display="See File A1-33, 2014 Farm Bill Analyzer: Data and Methods, for more information." xr:uid="{00000000-0004-0000-0100-000009000000}"/>
    <hyperlink ref="M95" r:id="rId9" display="2022-23 USDA Projected MYA Price" xr:uid="{00000000-0004-0000-0100-00000A000000}"/>
    <hyperlink ref="M93" r:id="rId10" xr:uid="{00000000-0004-0000-0100-00000B000000}"/>
    <hyperlink ref="M94" r:id="rId11" xr:uid="{31B48C04-4A7C-43A9-AF26-54BD23B9FEAD}"/>
    <hyperlink ref="J52" location="'Sensitivity Analysis'!A1" display="Trigger Yield^ under Your Price Assumptions (See Sensitivity Analysis tab)" xr:uid="{BB4B16FD-E093-42A9-BF2F-AA761B685D37}"/>
  </hyperlinks>
  <printOptions horizontalCentered="1"/>
  <pageMargins left="0.25" right="0.25" top="0.5" bottom="0.5" header="0.05" footer="0.05"/>
  <pageSetup scale="55" fitToHeight="2" orientation="landscape" horizontalDpi="1200" verticalDpi="1200" r:id="rId12"/>
  <rowBreaks count="1" manualBreakCount="1">
    <brk id="59" max="16" man="1"/>
  </rowBreaks>
  <drawing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'corn yields Nonirrigated'!$A$4:$A$103</xm:f>
          </x14:formula1>
          <xm:sqref>A7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6"/>
    <pageSetUpPr fitToPage="1"/>
  </sheetPr>
  <dimension ref="A1:J33"/>
  <sheetViews>
    <sheetView showGridLines="0" zoomScaleNormal="100" workbookViewId="0">
      <selection activeCell="B22" sqref="B22:J22"/>
    </sheetView>
  </sheetViews>
  <sheetFormatPr defaultColWidth="9.28515625" defaultRowHeight="14.25" x14ac:dyDescent="0.2"/>
  <cols>
    <col min="1" max="1" width="34.42578125" style="198" customWidth="1"/>
    <col min="2" max="5" width="9.28515625" style="197"/>
    <col min="6" max="6" width="12.7109375" style="197" customWidth="1"/>
    <col min="7" max="16384" width="9.28515625" style="197"/>
  </cols>
  <sheetData>
    <row r="1" spans="1:10" s="350" customFormat="1" ht="30.4" customHeight="1" thickBot="1" x14ac:dyDescent="0.35">
      <c r="A1" s="349" t="s">
        <v>293</v>
      </c>
    </row>
    <row r="2" spans="1:10" s="107" customFormat="1" ht="15.75" thickTop="1" x14ac:dyDescent="0.25">
      <c r="A2" s="133" t="s">
        <v>103</v>
      </c>
    </row>
    <row r="3" spans="1:10" x14ac:dyDescent="0.2">
      <c r="A3" s="134" t="s">
        <v>132</v>
      </c>
    </row>
    <row r="4" spans="1:10" ht="14.25" customHeight="1" x14ac:dyDescent="0.2">
      <c r="A4" s="165" t="s">
        <v>287</v>
      </c>
      <c r="B4" s="108"/>
      <c r="C4" s="108"/>
      <c r="D4" s="108"/>
      <c r="E4" s="108"/>
      <c r="F4" s="108"/>
      <c r="G4" s="108"/>
      <c r="H4" s="108"/>
    </row>
    <row r="5" spans="1:10" x14ac:dyDescent="0.2">
      <c r="B5" s="199"/>
      <c r="C5" s="199"/>
      <c r="D5" s="199"/>
      <c r="E5" s="199"/>
      <c r="F5" s="199"/>
      <c r="G5" s="199"/>
      <c r="H5" s="199"/>
    </row>
    <row r="6" spans="1:10" x14ac:dyDescent="0.2">
      <c r="A6" s="198" t="s">
        <v>306</v>
      </c>
      <c r="B6" s="199"/>
      <c r="C6" s="199"/>
      <c r="D6" s="199"/>
      <c r="E6" s="199"/>
      <c r="F6" s="199"/>
      <c r="G6" s="199"/>
      <c r="H6" s="199"/>
    </row>
    <row r="7" spans="1:10" x14ac:dyDescent="0.2">
      <c r="A7" s="198" t="s">
        <v>146</v>
      </c>
      <c r="B7" s="199" t="str">
        <f>'Payment by County - Non Irr.'!A7</f>
        <v>Henry</v>
      </c>
      <c r="C7" s="199"/>
      <c r="D7" s="199"/>
      <c r="E7" s="199"/>
      <c r="F7" s="199"/>
      <c r="G7" s="199"/>
      <c r="H7" s="199"/>
    </row>
    <row r="8" spans="1:10" x14ac:dyDescent="0.2">
      <c r="A8" s="198" t="str">
        <f>RIGHT($A$1,7)&amp;" Projected Corn Price:"</f>
        <v>2024-25 Projected Corn Price:</v>
      </c>
      <c r="B8" s="200">
        <f>IF('Payment by County - Non Irr.'!$H$49&gt;0,'Payment by County - Non Irr.'!$H$49,"Enter a price in 'Payment by Country Non-irr.' tab")</f>
        <v>4.4000000000000004</v>
      </c>
      <c r="C8" s="199"/>
      <c r="D8" s="199"/>
      <c r="E8" s="199"/>
      <c r="F8" s="199"/>
      <c r="G8" s="199"/>
      <c r="H8" s="199"/>
    </row>
    <row r="9" spans="1:10" x14ac:dyDescent="0.2">
      <c r="A9" s="198" t="str">
        <f>RIGHT($A$1,7)&amp;" Projected Soybean Price:"</f>
        <v>2024-25 Projected Soybean Price:</v>
      </c>
      <c r="B9" s="200">
        <f>IF('Payment by County - Non Irr.'!$Q$49&gt;0,'Payment by County - Non Irr.'!$Q$49,"Enter a price in 'Payment by Country Non-irr.' tab")</f>
        <v>11.3</v>
      </c>
    </row>
    <row r="10" spans="1:10" ht="15" thickBot="1" x14ac:dyDescent="0.25"/>
    <row r="11" spans="1:10" ht="15.75" thickBot="1" x14ac:dyDescent="0.3">
      <c r="A11" s="201" t="s">
        <v>258</v>
      </c>
      <c r="B11" s="379" t="str">
        <f>"What if prices in "&amp;RIGHT($A$1,7)&amp;" average…"</f>
        <v>What if prices in 2024-25 average…</v>
      </c>
      <c r="C11" s="379"/>
      <c r="D11" s="379"/>
      <c r="E11" s="379"/>
      <c r="F11" s="379"/>
      <c r="G11" s="379"/>
      <c r="H11" s="379"/>
      <c r="I11" s="379"/>
      <c r="J11" s="380"/>
    </row>
    <row r="12" spans="1:10" ht="15" x14ac:dyDescent="0.25">
      <c r="A12" s="202" t="s">
        <v>257</v>
      </c>
      <c r="B12" s="222">
        <f>IFERROR(ROUND($F$12*(1-20%),2),"")</f>
        <v>3.52</v>
      </c>
      <c r="C12" s="222">
        <f>IFERROR(ROUND($F$12*(1-15%),2),"")</f>
        <v>3.74</v>
      </c>
      <c r="D12" s="222">
        <f>IFERROR(ROUND($F$12*(1-10%),2),"")</f>
        <v>3.96</v>
      </c>
      <c r="E12" s="222">
        <f>IFERROR(ROUND($F$12*(1-5%),2),"")</f>
        <v>4.18</v>
      </c>
      <c r="F12" s="223">
        <f>IFERROR(B8*1,"")</f>
        <v>4.4000000000000004</v>
      </c>
      <c r="G12" s="222">
        <f>IFERROR(ROUND($F$12*(1+5%),2),"")</f>
        <v>4.62</v>
      </c>
      <c r="H12" s="222">
        <f>IFERROR(ROUND($F$12*(1+10%),2),"")</f>
        <v>4.84</v>
      </c>
      <c r="I12" s="222">
        <f>IFERROR(ROUND($F$12*(1+15%),2),"")</f>
        <v>5.0599999999999996</v>
      </c>
      <c r="J12" s="224">
        <f>IFERROR(ROUND($F$12*(1+20%),2),"")</f>
        <v>5.28</v>
      </c>
    </row>
    <row r="13" spans="1:10" ht="15.75" thickBot="1" x14ac:dyDescent="0.3">
      <c r="A13" s="202" t="s">
        <v>147</v>
      </c>
      <c r="B13" s="226">
        <f>IFERROR(ROUND('Payment by County - Non Irr.'!$H$45/'Sensitivity Analysis'!B12,1),"n/a")</f>
        <v>225.3</v>
      </c>
      <c r="C13" s="226">
        <f>IFERROR(ROUND('Payment by County - Non Irr.'!$H$45/'Sensitivity Analysis'!C12,1),"n/a")</f>
        <v>212</v>
      </c>
      <c r="D13" s="226">
        <f>IFERROR(ROUND('Payment by County - Non Irr.'!$H$45/'Sensitivity Analysis'!D12,1),"n/a")</f>
        <v>200.2</v>
      </c>
      <c r="E13" s="226">
        <f>IFERROR(ROUND('Payment by County - Non Irr.'!$H$45/'Sensitivity Analysis'!E12,1),"n/a")</f>
        <v>189.7</v>
      </c>
      <c r="F13" s="225">
        <f>IFERROR(ROUND('Payment by County - Non Irr.'!$H$45/'Sensitivity Analysis'!F12,1),"n/a")</f>
        <v>180.2</v>
      </c>
      <c r="G13" s="226">
        <f>IFERROR(ROUND('Payment by County - Non Irr.'!$H$45/'Sensitivity Analysis'!G12,1),"n/a")</f>
        <v>171.6</v>
      </c>
      <c r="H13" s="226">
        <f>IFERROR(ROUND('Payment by County - Non Irr.'!$H$45/'Sensitivity Analysis'!H12,1),"n/a")</f>
        <v>163.80000000000001</v>
      </c>
      <c r="I13" s="226">
        <f>IFERROR(ROUND('Payment by County - Non Irr.'!$H$45/'Sensitivity Analysis'!I12,1),"n/a")</f>
        <v>156.69999999999999</v>
      </c>
      <c r="J13" s="227">
        <f>IFERROR(ROUND('Payment by County - Non Irr.'!$H$45/'Sensitivity Analysis'!J12,1),"n/a")</f>
        <v>150.19999999999999</v>
      </c>
    </row>
    <row r="14" spans="1:10" ht="15" x14ac:dyDescent="0.25">
      <c r="A14" s="202"/>
      <c r="B14" s="203"/>
      <c r="C14" s="203"/>
      <c r="D14" s="203"/>
      <c r="E14" s="203"/>
      <c r="F14" s="140"/>
      <c r="G14" s="203"/>
      <c r="H14" s="203"/>
      <c r="I14" s="203"/>
      <c r="J14" s="204"/>
    </row>
    <row r="15" spans="1:10" ht="15.75" thickBot="1" x14ac:dyDescent="0.3">
      <c r="A15" s="202"/>
      <c r="B15" s="381" t="s">
        <v>264</v>
      </c>
      <c r="C15" s="381"/>
      <c r="D15" s="381"/>
      <c r="E15" s="381"/>
      <c r="F15" s="381"/>
      <c r="G15" s="381"/>
      <c r="H15" s="381"/>
      <c r="I15" s="381"/>
      <c r="J15" s="382"/>
    </row>
    <row r="16" spans="1:10" ht="15" x14ac:dyDescent="0.25">
      <c r="A16" s="205" t="s">
        <v>148</v>
      </c>
      <c r="B16" s="215">
        <f>IFERROR(ROUND('Historic Yields C'!B67,3),"N/A")</f>
        <v>1</v>
      </c>
      <c r="C16" s="215">
        <f>IFERROR(ROUND('Historic Yields C'!C67,3),"N/A")</f>
        <v>1</v>
      </c>
      <c r="D16" s="215">
        <f>IFERROR(ROUND('Historic Yields C'!D67,3),"N/A")</f>
        <v>1</v>
      </c>
      <c r="E16" s="215">
        <f>IFERROR(ROUND('Historic Yields C'!E67,3),"N/A")</f>
        <v>0.6</v>
      </c>
      <c r="F16" s="228">
        <f>IFERROR(ROUND('Historic Yields C'!F67,3),"N/A")</f>
        <v>0.6</v>
      </c>
      <c r="G16" s="215">
        <f>IFERROR(ROUND('Historic Yields C'!G67,3),"N/A")</f>
        <v>0.4</v>
      </c>
      <c r="H16" s="215">
        <f>IFERROR(ROUND('Historic Yields C'!H67,3),"N/A")</f>
        <v>0.1</v>
      </c>
      <c r="I16" s="215">
        <f>IFERROR(ROUND('Historic Yields C'!I67,3),"N/A")</f>
        <v>0</v>
      </c>
      <c r="J16" s="217">
        <f>IFERROR(ROUND('Historic Yields C'!J67,3),"N/A")</f>
        <v>0</v>
      </c>
    </row>
    <row r="17" spans="1:10" ht="15" x14ac:dyDescent="0.25">
      <c r="A17" s="205" t="s">
        <v>149</v>
      </c>
      <c r="B17" s="215">
        <f>IFERROR(ROUND('Historic Yields C'!B68,3),"N/A")</f>
        <v>1</v>
      </c>
      <c r="C17" s="215">
        <f>IFERROR(ROUND('Historic Yields C'!C68,3),"N/A")</f>
        <v>1</v>
      </c>
      <c r="D17" s="215">
        <f>IFERROR(ROUND('Historic Yields C'!D68,3),"N/A")</f>
        <v>1</v>
      </c>
      <c r="E17" s="215">
        <f>IFERROR(ROUND('Historic Yields C'!E68,3),"N/A")</f>
        <v>0.8</v>
      </c>
      <c r="F17" s="229">
        <f>IFERROR(ROUND('Historic Yields C'!F68,3),"N/A")</f>
        <v>0.7</v>
      </c>
      <c r="G17" s="215">
        <f>IFERROR(ROUND('Historic Yields C'!G68,3),"N/A")</f>
        <v>0.55000000000000004</v>
      </c>
      <c r="H17" s="215">
        <f>IFERROR(ROUND('Historic Yields C'!H68,3),"N/A")</f>
        <v>0.35</v>
      </c>
      <c r="I17" s="215">
        <f>IFERROR(ROUND('Historic Yields C'!I68,3),"N/A")</f>
        <v>0.25</v>
      </c>
      <c r="J17" s="217">
        <f>IFERROR(ROUND('Historic Yields C'!J68,3),"N/A")</f>
        <v>0.15</v>
      </c>
    </row>
    <row r="18" spans="1:10" ht="15.75" thickBot="1" x14ac:dyDescent="0.3">
      <c r="A18" s="206" t="s">
        <v>150</v>
      </c>
      <c r="B18" s="219">
        <f>IFERROR(ROUND('Historic Yields C'!B69,3),"N/A")</f>
        <v>1</v>
      </c>
      <c r="C18" s="219">
        <f>IFERROR(ROUND('Historic Yields C'!C69,3),"N/A")</f>
        <v>1</v>
      </c>
      <c r="D18" s="219">
        <f>IFERROR(ROUND('Historic Yields C'!D69,3),"N/A")</f>
        <v>1</v>
      </c>
      <c r="E18" s="219">
        <f>IFERROR(ROUND('Historic Yields C'!E69,3),"N/A")</f>
        <v>0.86699999999999999</v>
      </c>
      <c r="F18" s="230">
        <f>IFERROR(ROUND('Historic Yields C'!F69,3),"N/A")</f>
        <v>0.8</v>
      </c>
      <c r="G18" s="219">
        <f>IFERROR(ROUND('Historic Yields C'!G69,3),"N/A")</f>
        <v>0.7</v>
      </c>
      <c r="H18" s="219">
        <f>IFERROR(ROUND('Historic Yields C'!H69,3),"N/A")</f>
        <v>0.56699999999999995</v>
      </c>
      <c r="I18" s="219">
        <f>IFERROR(ROUND('Historic Yields C'!I69,3),"N/A")</f>
        <v>0.433</v>
      </c>
      <c r="J18" s="221">
        <f>IFERROR(ROUND('Historic Yields C'!J69,3),"N/A")</f>
        <v>0.36699999999999999</v>
      </c>
    </row>
    <row r="19" spans="1:10" x14ac:dyDescent="0.2">
      <c r="A19" s="207" t="s">
        <v>272</v>
      </c>
    </row>
    <row r="21" spans="1:10" ht="15" thickBot="1" x14ac:dyDescent="0.25"/>
    <row r="22" spans="1:10" ht="15.75" thickBot="1" x14ac:dyDescent="0.3">
      <c r="A22" s="201" t="s">
        <v>259</v>
      </c>
      <c r="B22" s="379" t="str">
        <f>+B11</f>
        <v>What if prices in 2024-25 average…</v>
      </c>
      <c r="C22" s="379"/>
      <c r="D22" s="379"/>
      <c r="E22" s="379"/>
      <c r="F22" s="379"/>
      <c r="G22" s="379"/>
      <c r="H22" s="379"/>
      <c r="I22" s="379"/>
      <c r="J22" s="380"/>
    </row>
    <row r="23" spans="1:10" ht="15" x14ac:dyDescent="0.25">
      <c r="A23" s="202" t="s">
        <v>265</v>
      </c>
      <c r="B23" s="222">
        <f>IFERROR(ROUND($F$23*(1-20%),2),"")</f>
        <v>9.0399999999999991</v>
      </c>
      <c r="C23" s="222">
        <f>IFERROR(ROUND($F$23*(1-15%),2),"")</f>
        <v>9.61</v>
      </c>
      <c r="D23" s="222">
        <f>IFERROR(ROUND($F$23*(1-10%),2),"")</f>
        <v>10.17</v>
      </c>
      <c r="E23" s="222">
        <f>IFERROR(ROUND($F$23*(1-5%),2),"")</f>
        <v>10.74</v>
      </c>
      <c r="F23" s="223">
        <f>IFERROR(B9*1,"")</f>
        <v>11.3</v>
      </c>
      <c r="G23" s="222">
        <f>IFERROR(ROUND($F$23*(1+5%),2),"")</f>
        <v>11.87</v>
      </c>
      <c r="H23" s="222">
        <f>IFERROR(ROUND($F$23*(1+10%),2),"")</f>
        <v>12.43</v>
      </c>
      <c r="I23" s="222">
        <f>IFERROR(ROUND($F$23*(1+15%),2),"")</f>
        <v>13</v>
      </c>
      <c r="J23" s="224">
        <f>IFERROR(ROUND($F$23*(1+20%),2),"")</f>
        <v>13.56</v>
      </c>
    </row>
    <row r="24" spans="1:10" ht="15.75" thickBot="1" x14ac:dyDescent="0.3">
      <c r="A24" s="202" t="s">
        <v>147</v>
      </c>
      <c r="B24" s="211">
        <f>IFERROR(ROUND('Payment by County - Non Irr.'!$Q$45/'Sensitivity Analysis'!B23,1),"n/a")</f>
        <v>64.099999999999994</v>
      </c>
      <c r="C24" s="211">
        <f>IFERROR(ROUND('Payment by County - Non Irr.'!$Q$45/'Sensitivity Analysis'!C23,1),"n/a")</f>
        <v>60.3</v>
      </c>
      <c r="D24" s="211">
        <f>IFERROR(ROUND('Payment by County - Non Irr.'!$Q$45/'Sensitivity Analysis'!D23,1),"n/a")</f>
        <v>57</v>
      </c>
      <c r="E24" s="211">
        <f>IFERROR(ROUND('Payment by County - Non Irr.'!$Q$45/'Sensitivity Analysis'!E23,1),"n/a")</f>
        <v>54</v>
      </c>
      <c r="F24" s="225">
        <f>IFERROR(ROUND('Payment by County - Non Irr.'!$Q$45/'Sensitivity Analysis'!F23,1),"n/a")</f>
        <v>51.3</v>
      </c>
      <c r="G24" s="211">
        <f>IFERROR(ROUND('Payment by County - Non Irr.'!$Q$45/'Sensitivity Analysis'!G23,1),"n/a")</f>
        <v>48.8</v>
      </c>
      <c r="H24" s="211">
        <f>IFERROR(ROUND('Payment by County - Non Irr.'!$Q$45/'Sensitivity Analysis'!H23,1),"n/a")</f>
        <v>46.6</v>
      </c>
      <c r="I24" s="211">
        <f>IFERROR(ROUND('Payment by County - Non Irr.'!$Q$45/'Sensitivity Analysis'!I23,1),"n/a")</f>
        <v>44.6</v>
      </c>
      <c r="J24" s="212">
        <f>IFERROR(ROUND('Payment by County - Non Irr.'!$Q$45/'Sensitivity Analysis'!J23,1),"n/a")</f>
        <v>42.7</v>
      </c>
    </row>
    <row r="25" spans="1:10" ht="15" x14ac:dyDescent="0.25">
      <c r="A25" s="202"/>
      <c r="B25" s="203"/>
      <c r="C25" s="203"/>
      <c r="D25" s="203"/>
      <c r="E25" s="203"/>
      <c r="F25" s="140"/>
      <c r="G25" s="203"/>
      <c r="H25" s="203"/>
      <c r="I25" s="203"/>
      <c r="J25" s="204"/>
    </row>
    <row r="26" spans="1:10" ht="15.75" thickBot="1" x14ac:dyDescent="0.3">
      <c r="A26" s="202"/>
      <c r="B26" s="381" t="s">
        <v>264</v>
      </c>
      <c r="C26" s="381"/>
      <c r="D26" s="381"/>
      <c r="E26" s="381"/>
      <c r="F26" s="381"/>
      <c r="G26" s="381"/>
      <c r="H26" s="381"/>
      <c r="I26" s="381"/>
      <c r="J26" s="382"/>
    </row>
    <row r="27" spans="1:10" x14ac:dyDescent="0.2">
      <c r="A27" s="205" t="s">
        <v>148</v>
      </c>
      <c r="B27" s="215">
        <f>IFERROR(ROUND('Historic Yields S'!B67,3),"N/A")</f>
        <v>1</v>
      </c>
      <c r="C27" s="215">
        <f>IFERROR(ROUND('Historic Yields S'!C67,3),"N/A")</f>
        <v>0.7</v>
      </c>
      <c r="D27" s="215">
        <f>IFERROR(ROUND('Historic Yields S'!D67,3),"N/A")</f>
        <v>0.5</v>
      </c>
      <c r="E27" s="215">
        <f>IFERROR(ROUND('Historic Yields S'!E67,3),"N/A")</f>
        <v>0.1</v>
      </c>
      <c r="F27" s="216">
        <f>IFERROR(ROUND('Historic Yields S'!F67,3),"N/A")</f>
        <v>0.1</v>
      </c>
      <c r="G27" s="215">
        <f>IFERROR(ROUND('Historic Yields S'!G67,3),"N/A")</f>
        <v>0.1</v>
      </c>
      <c r="H27" s="215">
        <f>IFERROR(ROUND('Historic Yields S'!H67,3),"N/A")</f>
        <v>0.1</v>
      </c>
      <c r="I27" s="215">
        <f>IFERROR(ROUND('Historic Yields S'!I67,3),"N/A")</f>
        <v>0</v>
      </c>
      <c r="J27" s="217">
        <f>IFERROR(ROUND('Historic Yields S'!J67,3),"N/A")</f>
        <v>0</v>
      </c>
    </row>
    <row r="28" spans="1:10" x14ac:dyDescent="0.2">
      <c r="A28" s="205" t="s">
        <v>149</v>
      </c>
      <c r="B28" s="215">
        <f>IFERROR(ROUND('Historic Yields S'!B68,3),"N/A")</f>
        <v>1</v>
      </c>
      <c r="C28" s="215">
        <f>IFERROR(ROUND('Historic Yields S'!C68,3),"N/A")</f>
        <v>0.85</v>
      </c>
      <c r="D28" s="215">
        <f>IFERROR(ROUND('Historic Yields S'!D68,3),"N/A")</f>
        <v>0.75</v>
      </c>
      <c r="E28" s="215">
        <f>IFERROR(ROUND('Historic Yields S'!E68,3),"N/A")</f>
        <v>0.5</v>
      </c>
      <c r="F28" s="218">
        <f>IFERROR(ROUND('Historic Yields S'!F68,3),"N/A")</f>
        <v>0.4</v>
      </c>
      <c r="G28" s="215">
        <f>IFERROR(ROUND('Historic Yields S'!G68,3),"N/A")</f>
        <v>0.2</v>
      </c>
      <c r="H28" s="215">
        <f>IFERROR(ROUND('Historic Yields S'!H68,3),"N/A")</f>
        <v>0.15</v>
      </c>
      <c r="I28" s="215">
        <f>IFERROR(ROUND('Historic Yields S'!I68,3),"N/A")</f>
        <v>0.1</v>
      </c>
      <c r="J28" s="217">
        <f>IFERROR(ROUND('Historic Yields S'!J68,3),"N/A")</f>
        <v>0.05</v>
      </c>
    </row>
    <row r="29" spans="1:10" ht="15" thickBot="1" x14ac:dyDescent="0.25">
      <c r="A29" s="206" t="s">
        <v>150</v>
      </c>
      <c r="B29" s="219">
        <f>IFERROR(ROUND('Historic Yields S'!B69,3),"N/A")</f>
        <v>1</v>
      </c>
      <c r="C29" s="219">
        <f>IFERROR(ROUND('Historic Yields S'!C69,3),"N/A")</f>
        <v>0.9</v>
      </c>
      <c r="D29" s="219">
        <f>IFERROR(ROUND('Historic Yields S'!D69,3),"N/A")</f>
        <v>0.83299999999999996</v>
      </c>
      <c r="E29" s="219">
        <f>IFERROR(ROUND('Historic Yields S'!E69,3),"N/A")</f>
        <v>0.63300000000000001</v>
      </c>
      <c r="F29" s="220">
        <f>IFERROR(ROUND('Historic Yields S'!F69,3),"N/A")</f>
        <v>0.53300000000000003</v>
      </c>
      <c r="G29" s="219">
        <f>IFERROR(ROUND('Historic Yields S'!G69,3),"N/A")</f>
        <v>0.36699999999999999</v>
      </c>
      <c r="H29" s="219">
        <f>IFERROR(ROUND('Historic Yields S'!H69,3),"N/A")</f>
        <v>0.3</v>
      </c>
      <c r="I29" s="219">
        <f>IFERROR(ROUND('Historic Yields S'!I69,3),"N/A")</f>
        <v>0.23300000000000001</v>
      </c>
      <c r="J29" s="221">
        <f>IFERROR(ROUND('Historic Yields S'!J69,3),"N/A")</f>
        <v>0.16700000000000001</v>
      </c>
    </row>
    <row r="30" spans="1:10" x14ac:dyDescent="0.2">
      <c r="A30" s="207" t="s">
        <v>343</v>
      </c>
    </row>
    <row r="31" spans="1:10" x14ac:dyDescent="0.2">
      <c r="A31" s="207" t="s">
        <v>356</v>
      </c>
    </row>
    <row r="33" spans="1:1" x14ac:dyDescent="0.2">
      <c r="A33" s="159"/>
    </row>
  </sheetData>
  <sheetProtection algorithmName="SHA-512" hashValue="JmViBXRjnJ/L556XLV4Cj0HCjb1+hDMVU4LVSGqO4cmi4ORo9CA8IDHNX72UN41xR+0meDAxdBA2BDrA0yDFSw==" saltValue="JriRioq7zr2EPXlVzQ9MNQ==" spinCount="100000" sheet="1" objects="1" scenarios="1"/>
  <mergeCells count="4">
    <mergeCell ref="B11:J11"/>
    <mergeCell ref="B15:J15"/>
    <mergeCell ref="B22:J22"/>
    <mergeCell ref="B26:J26"/>
  </mergeCells>
  <conditionalFormatting sqref="B12:J1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J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J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E2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J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J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">
    <cfRule type="containsText" dxfId="4" priority="3" operator="containsText" text="Enter">
      <formula>NOT(ISERROR(SEARCH("Enter",B8)))</formula>
    </cfRule>
    <cfRule type="cellIs" dxfId="3" priority="4" operator="lessThan">
      <formula>0.00001</formula>
    </cfRule>
  </conditionalFormatting>
  <conditionalFormatting sqref="B9">
    <cfRule type="containsText" dxfId="2" priority="1" operator="containsText" text="Enter">
      <formula>NOT(ISERROR(SEARCH("Enter",B9)))</formula>
    </cfRule>
    <cfRule type="cellIs" dxfId="1" priority="2" operator="lessThan">
      <formula>0.00001</formula>
    </cfRule>
  </conditionalFormatting>
  <hyperlinks>
    <hyperlink ref="A4" r:id="rId1" display="See File A1-33, 2014 Farm Bill Analyzer: Data and Methods, for more information." xr:uid="{00000000-0004-0000-0600-000000000000}"/>
  </hyperlinks>
  <pageMargins left="0.7" right="0.7" top="0.75" bottom="0.75" header="0.3" footer="0.3"/>
  <pageSetup scale="7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CX172"/>
  <sheetViews>
    <sheetView topLeftCell="A64" workbookViewId="0">
      <selection activeCell="F27" sqref="F27:F31"/>
    </sheetView>
  </sheetViews>
  <sheetFormatPr defaultRowHeight="15" x14ac:dyDescent="0.25"/>
  <cols>
    <col min="1" max="1" width="19.7109375" customWidth="1"/>
  </cols>
  <sheetData>
    <row r="1" spans="1:102" x14ac:dyDescent="0.25">
      <c r="A1" t="s">
        <v>276</v>
      </c>
      <c r="B1" s="110" t="s">
        <v>151</v>
      </c>
      <c r="C1" s="110" t="s">
        <v>152</v>
      </c>
      <c r="D1" s="110" t="s">
        <v>153</v>
      </c>
      <c r="E1" s="110" t="s">
        <v>154</v>
      </c>
      <c r="F1" s="110" t="s">
        <v>155</v>
      </c>
      <c r="G1" s="110" t="s">
        <v>156</v>
      </c>
      <c r="H1" s="110" t="s">
        <v>157</v>
      </c>
      <c r="I1" s="110" t="s">
        <v>158</v>
      </c>
      <c r="J1" s="110" t="s">
        <v>159</v>
      </c>
      <c r="K1" s="110" t="s">
        <v>160</v>
      </c>
      <c r="L1" s="110" t="s">
        <v>161</v>
      </c>
      <c r="M1" s="110" t="s">
        <v>162</v>
      </c>
      <c r="N1" s="110" t="s">
        <v>163</v>
      </c>
      <c r="O1" s="110" t="s">
        <v>164</v>
      </c>
      <c r="P1" s="110" t="s">
        <v>165</v>
      </c>
      <c r="Q1" s="110" t="s">
        <v>166</v>
      </c>
      <c r="R1" s="110" t="s">
        <v>167</v>
      </c>
      <c r="S1" s="110" t="s">
        <v>168</v>
      </c>
      <c r="T1" s="110" t="s">
        <v>169</v>
      </c>
      <c r="U1" s="110" t="s">
        <v>170</v>
      </c>
      <c r="V1" s="110" t="s">
        <v>171</v>
      </c>
      <c r="W1" s="110" t="s">
        <v>172</v>
      </c>
      <c r="X1" s="110" t="s">
        <v>173</v>
      </c>
      <c r="Y1" s="110" t="s">
        <v>174</v>
      </c>
      <c r="Z1" s="110" t="s">
        <v>175</v>
      </c>
      <c r="AA1" s="110" t="s">
        <v>176</v>
      </c>
      <c r="AB1" s="110" t="s">
        <v>177</v>
      </c>
      <c r="AC1" s="110" t="s">
        <v>178</v>
      </c>
      <c r="AD1" s="110" t="s">
        <v>179</v>
      </c>
      <c r="AE1" s="110" t="s">
        <v>180</v>
      </c>
      <c r="AF1" s="110" t="s">
        <v>181</v>
      </c>
      <c r="AG1" s="110" t="s">
        <v>182</v>
      </c>
      <c r="AH1" s="110" t="s">
        <v>183</v>
      </c>
      <c r="AI1" s="110" t="s">
        <v>184</v>
      </c>
      <c r="AJ1" s="110" t="s">
        <v>185</v>
      </c>
      <c r="AK1" s="110" t="s">
        <v>186</v>
      </c>
      <c r="AL1" s="110" t="s">
        <v>187</v>
      </c>
      <c r="AM1" s="110" t="s">
        <v>188</v>
      </c>
      <c r="AN1" s="110" t="s">
        <v>189</v>
      </c>
      <c r="AO1" s="110" t="s">
        <v>190</v>
      </c>
      <c r="AP1" s="110" t="s">
        <v>191</v>
      </c>
      <c r="AQ1" s="110" t="s">
        <v>192</v>
      </c>
      <c r="AR1" s="110" t="s">
        <v>193</v>
      </c>
      <c r="AS1" s="110" t="s">
        <v>194</v>
      </c>
      <c r="AT1" s="110" t="s">
        <v>195</v>
      </c>
      <c r="AU1" s="110" t="s">
        <v>196</v>
      </c>
      <c r="AV1" s="110" t="s">
        <v>197</v>
      </c>
      <c r="AW1" s="110" t="s">
        <v>198</v>
      </c>
      <c r="AX1" s="110" t="s">
        <v>199</v>
      </c>
      <c r="AY1" s="110" t="s">
        <v>200</v>
      </c>
      <c r="AZ1" s="110" t="s">
        <v>201</v>
      </c>
      <c r="BA1" s="110" t="s">
        <v>202</v>
      </c>
      <c r="BB1" s="110" t="s">
        <v>203</v>
      </c>
      <c r="BC1" s="110" t="s">
        <v>204</v>
      </c>
      <c r="BD1" s="110" t="s">
        <v>205</v>
      </c>
      <c r="BE1" s="110" t="s">
        <v>206</v>
      </c>
      <c r="BF1" s="110" t="s">
        <v>207</v>
      </c>
      <c r="BG1" s="110" t="s">
        <v>208</v>
      </c>
      <c r="BH1" s="110" t="s">
        <v>209</v>
      </c>
      <c r="BI1" s="110" t="s">
        <v>210</v>
      </c>
      <c r="BJ1" s="110" t="s">
        <v>211</v>
      </c>
      <c r="BK1" s="110" t="s">
        <v>212</v>
      </c>
      <c r="BL1" s="110" t="s">
        <v>213</v>
      </c>
      <c r="BM1" s="110" t="s">
        <v>214</v>
      </c>
      <c r="BN1" s="110" t="s">
        <v>215</v>
      </c>
      <c r="BO1" s="110" t="s">
        <v>216</v>
      </c>
      <c r="BP1" s="110" t="s">
        <v>217</v>
      </c>
      <c r="BQ1" s="110" t="s">
        <v>218</v>
      </c>
      <c r="BR1" s="110" t="s">
        <v>219</v>
      </c>
      <c r="BS1" s="110" t="s">
        <v>220</v>
      </c>
      <c r="BT1" s="110" t="s">
        <v>221</v>
      </c>
      <c r="BU1" s="110" t="s">
        <v>222</v>
      </c>
      <c r="BV1" s="110" t="s">
        <v>223</v>
      </c>
      <c r="BW1" s="110" t="s">
        <v>275</v>
      </c>
      <c r="BX1" s="110" t="s">
        <v>224</v>
      </c>
      <c r="BY1" s="110" t="s">
        <v>225</v>
      </c>
      <c r="BZ1" s="110" t="s">
        <v>226</v>
      </c>
      <c r="CA1" s="110" t="s">
        <v>227</v>
      </c>
      <c r="CB1" s="110" t="s">
        <v>228</v>
      </c>
      <c r="CC1" s="110" t="s">
        <v>229</v>
      </c>
      <c r="CD1" s="110" t="s">
        <v>230</v>
      </c>
      <c r="CE1" s="110" t="s">
        <v>231</v>
      </c>
      <c r="CF1" s="110" t="s">
        <v>232</v>
      </c>
      <c r="CG1" s="110" t="s">
        <v>233</v>
      </c>
      <c r="CH1" s="110" t="s">
        <v>234</v>
      </c>
      <c r="CI1" s="110" t="s">
        <v>235</v>
      </c>
      <c r="CJ1" s="110" t="s">
        <v>236</v>
      </c>
      <c r="CK1" s="110" t="s">
        <v>237</v>
      </c>
      <c r="CL1" s="110" t="s">
        <v>238</v>
      </c>
      <c r="CM1" s="110" t="s">
        <v>239</v>
      </c>
      <c r="CN1" s="110" t="s">
        <v>240</v>
      </c>
      <c r="CO1" s="110" t="s">
        <v>241</v>
      </c>
      <c r="CP1" s="110" t="s">
        <v>242</v>
      </c>
      <c r="CQ1" s="110" t="s">
        <v>243</v>
      </c>
      <c r="CR1" s="110" t="s">
        <v>244</v>
      </c>
      <c r="CS1" s="110" t="s">
        <v>245</v>
      </c>
      <c r="CT1" s="110" t="s">
        <v>246</v>
      </c>
      <c r="CU1" s="110" t="s">
        <v>247</v>
      </c>
      <c r="CV1" s="110" t="s">
        <v>248</v>
      </c>
      <c r="CW1" s="110" t="s">
        <v>249</v>
      </c>
      <c r="CX1" s="110" t="s">
        <v>250</v>
      </c>
    </row>
    <row r="2" spans="1:102" x14ac:dyDescent="0.25">
      <c r="A2" s="106">
        <v>1993</v>
      </c>
      <c r="B2" s="109">
        <v>76.8</v>
      </c>
      <c r="C2" s="109">
        <v>79</v>
      </c>
      <c r="D2" s="109">
        <v>83.2</v>
      </c>
      <c r="E2" s="109">
        <v>64.5</v>
      </c>
      <c r="F2" s="109">
        <v>80.599999999999994</v>
      </c>
      <c r="G2" s="109">
        <v>84.8</v>
      </c>
      <c r="H2" s="109">
        <v>73.599999999999994</v>
      </c>
      <c r="I2" s="109">
        <v>84</v>
      </c>
      <c r="J2" s="109">
        <v>79.7</v>
      </c>
      <c r="K2" s="109">
        <v>76.599999999999994</v>
      </c>
      <c r="L2" s="109">
        <v>80.3</v>
      </c>
      <c r="M2" s="109">
        <v>73.900000000000006</v>
      </c>
      <c r="N2" s="109">
        <v>83.3</v>
      </c>
      <c r="O2" s="109">
        <v>70.5</v>
      </c>
      <c r="P2" s="109">
        <v>72.099999999999994</v>
      </c>
      <c r="Q2" s="109">
        <v>91.3</v>
      </c>
      <c r="R2" s="109">
        <v>64.8</v>
      </c>
      <c r="S2" s="109">
        <v>87.5</v>
      </c>
      <c r="T2" s="109">
        <v>71</v>
      </c>
      <c r="U2" s="109">
        <v>43</v>
      </c>
      <c r="V2" s="109">
        <v>66</v>
      </c>
      <c r="W2" s="109">
        <v>89.9</v>
      </c>
      <c r="X2" s="109">
        <v>100.7</v>
      </c>
      <c r="Y2" s="109">
        <v>76.7</v>
      </c>
      <c r="Z2" s="109">
        <v>95.4</v>
      </c>
      <c r="AA2" s="109">
        <v>63.6</v>
      </c>
      <c r="AB2" s="109">
        <v>48.8</v>
      </c>
      <c r="AC2" s="109">
        <v>77.3</v>
      </c>
      <c r="AD2" s="109">
        <v>94.1</v>
      </c>
      <c r="AE2" s="109">
        <v>55.6</v>
      </c>
      <c r="AF2" s="109">
        <v>84.8</v>
      </c>
      <c r="AG2" s="109">
        <v>53.4</v>
      </c>
      <c r="AH2" s="109">
        <v>80.400000000000006</v>
      </c>
      <c r="AI2" s="109">
        <v>73</v>
      </c>
      <c r="AJ2" s="109">
        <v>65.7</v>
      </c>
      <c r="AK2" s="109">
        <v>79.400000000000006</v>
      </c>
      <c r="AL2" s="109">
        <v>84.1</v>
      </c>
      <c r="AM2" s="109">
        <v>77.400000000000006</v>
      </c>
      <c r="AN2" s="109">
        <v>81.599999999999994</v>
      </c>
      <c r="AO2" s="109">
        <v>74.599999999999994</v>
      </c>
      <c r="AP2" s="109">
        <v>74.900000000000006</v>
      </c>
      <c r="AQ2" s="109">
        <v>77.099999999999994</v>
      </c>
      <c r="AR2" s="109">
        <v>98.6</v>
      </c>
      <c r="AS2" s="109">
        <v>80.099999999999994</v>
      </c>
      <c r="AT2" s="109">
        <v>63.1</v>
      </c>
      <c r="AU2" s="109">
        <v>75</v>
      </c>
      <c r="AV2" s="109">
        <v>86.4</v>
      </c>
      <c r="AW2" s="109">
        <v>79.3</v>
      </c>
      <c r="AX2" s="109">
        <v>88.4</v>
      </c>
      <c r="AY2" s="109">
        <v>96.4</v>
      </c>
      <c r="AZ2" s="109">
        <v>70</v>
      </c>
      <c r="BA2" s="109">
        <v>78.599999999999994</v>
      </c>
      <c r="BB2" s="109">
        <v>85.2</v>
      </c>
      <c r="BC2" s="109">
        <v>78.900000000000006</v>
      </c>
      <c r="BD2" s="109">
        <v>74.8</v>
      </c>
      <c r="BE2" s="109">
        <v>76.900000000000006</v>
      </c>
      <c r="BF2" s="109">
        <v>81.900000000000006</v>
      </c>
      <c r="BG2" s="109">
        <v>90.6</v>
      </c>
      <c r="BH2" s="109">
        <v>52.9</v>
      </c>
      <c r="BI2" s="109">
        <v>85.9</v>
      </c>
      <c r="BJ2" s="109">
        <v>74.3</v>
      </c>
      <c r="BK2" s="109">
        <v>84.1</v>
      </c>
      <c r="BL2" s="109">
        <v>81.2</v>
      </c>
      <c r="BM2" s="109">
        <v>85.7</v>
      </c>
      <c r="BN2" s="109">
        <v>75</v>
      </c>
      <c r="BO2" s="109">
        <v>68</v>
      </c>
      <c r="BP2" s="109">
        <v>90.5</v>
      </c>
      <c r="BQ2" s="109">
        <v>61.5</v>
      </c>
      <c r="BR2" s="109">
        <v>74.599999999999994</v>
      </c>
      <c r="BS2" s="109">
        <v>80</v>
      </c>
      <c r="BT2" s="109">
        <v>75.599999999999994</v>
      </c>
      <c r="BU2" s="109">
        <v>71.2</v>
      </c>
      <c r="BV2" s="109"/>
      <c r="BW2" s="109"/>
      <c r="BX2" s="109">
        <v>76.7</v>
      </c>
      <c r="BY2" s="109">
        <v>71.900000000000006</v>
      </c>
      <c r="BZ2" s="109">
        <v>96.7</v>
      </c>
      <c r="CA2" s="109">
        <v>74.599999999999994</v>
      </c>
      <c r="CB2" s="109">
        <v>94.7</v>
      </c>
      <c r="CC2" s="109">
        <v>81.099999999999994</v>
      </c>
      <c r="CD2" s="109">
        <v>79</v>
      </c>
      <c r="CE2" s="109">
        <v>42</v>
      </c>
      <c r="CF2" s="109">
        <v>80.8</v>
      </c>
      <c r="CG2" s="109">
        <v>106</v>
      </c>
      <c r="CH2" s="109">
        <v>85</v>
      </c>
      <c r="CI2" s="109">
        <v>103.1</v>
      </c>
      <c r="CJ2" s="109">
        <v>78</v>
      </c>
      <c r="CK2" s="109">
        <v>81.400000000000006</v>
      </c>
      <c r="CL2" s="109">
        <v>61.6</v>
      </c>
      <c r="CM2" s="109">
        <v>53.3</v>
      </c>
      <c r="CN2" s="109">
        <v>56.7</v>
      </c>
      <c r="CO2" s="109">
        <v>75.099999999999994</v>
      </c>
      <c r="CP2" s="109">
        <v>71.599999999999994</v>
      </c>
      <c r="CQ2" s="109">
        <v>80.599999999999994</v>
      </c>
      <c r="CR2" s="109">
        <v>41.4</v>
      </c>
      <c r="CS2" s="109">
        <v>83</v>
      </c>
      <c r="CT2" s="109">
        <v>67.7</v>
      </c>
      <c r="CU2" s="109">
        <v>84.8</v>
      </c>
      <c r="CV2" s="109">
        <v>91</v>
      </c>
      <c r="CW2" s="109">
        <v>63.1</v>
      </c>
      <c r="CX2" s="109">
        <v>73.900000000000006</v>
      </c>
    </row>
    <row r="3" spans="1:102" x14ac:dyDescent="0.25">
      <c r="A3" s="106">
        <v>1994</v>
      </c>
      <c r="B3" s="109">
        <v>151</v>
      </c>
      <c r="C3" s="109">
        <v>148.19999999999999</v>
      </c>
      <c r="D3" s="109">
        <v>146.4</v>
      </c>
      <c r="E3" s="109">
        <v>134.69999999999999</v>
      </c>
      <c r="F3" s="109">
        <v>151.1</v>
      </c>
      <c r="G3" s="109">
        <v>143.69999999999999</v>
      </c>
      <c r="H3" s="109">
        <v>152</v>
      </c>
      <c r="I3" s="109">
        <v>165.3</v>
      </c>
      <c r="J3" s="109">
        <v>151</v>
      </c>
      <c r="K3" s="109">
        <v>150.80000000000001</v>
      </c>
      <c r="L3" s="109">
        <v>159</v>
      </c>
      <c r="M3" s="109">
        <v>140</v>
      </c>
      <c r="N3" s="109">
        <v>171.5</v>
      </c>
      <c r="O3" s="109">
        <v>161.30000000000001</v>
      </c>
      <c r="P3" s="109">
        <v>145.6</v>
      </c>
      <c r="Q3" s="109">
        <v>157.5</v>
      </c>
      <c r="R3" s="109">
        <v>147.6</v>
      </c>
      <c r="S3" s="109">
        <v>151</v>
      </c>
      <c r="T3" s="109">
        <v>143.6</v>
      </c>
      <c r="U3" s="109">
        <v>130.4</v>
      </c>
      <c r="V3" s="109">
        <v>156</v>
      </c>
      <c r="W3" s="109">
        <v>146.30000000000001</v>
      </c>
      <c r="X3" s="109">
        <v>159.9</v>
      </c>
      <c r="Y3" s="109">
        <v>150.80000000000001</v>
      </c>
      <c r="Z3" s="109">
        <v>156.6</v>
      </c>
      <c r="AA3" s="109">
        <v>132</v>
      </c>
      <c r="AB3" s="109">
        <v>138.5</v>
      </c>
      <c r="AC3" s="109">
        <v>155.1</v>
      </c>
      <c r="AD3" s="109">
        <v>159.80000000000001</v>
      </c>
      <c r="AE3" s="109">
        <v>145.30000000000001</v>
      </c>
      <c r="AF3" s="109">
        <v>149.80000000000001</v>
      </c>
      <c r="AG3" s="109">
        <v>153.9</v>
      </c>
      <c r="AH3" s="109">
        <v>143.80000000000001</v>
      </c>
      <c r="AI3" s="109">
        <v>142.5</v>
      </c>
      <c r="AJ3" s="109">
        <v>148.5</v>
      </c>
      <c r="AK3" s="109">
        <v>143</v>
      </c>
      <c r="AL3" s="109">
        <v>160.9</v>
      </c>
      <c r="AM3" s="109">
        <v>147.9</v>
      </c>
      <c r="AN3" s="109">
        <v>155.5</v>
      </c>
      <c r="AO3" s="109">
        <v>166.4</v>
      </c>
      <c r="AP3" s="109">
        <v>153.4</v>
      </c>
      <c r="AQ3" s="109">
        <v>156.19999999999999</v>
      </c>
      <c r="AR3" s="109">
        <v>144.19999999999999</v>
      </c>
      <c r="AS3" s="109">
        <v>159.19999999999999</v>
      </c>
      <c r="AT3" s="109">
        <v>140.1</v>
      </c>
      <c r="AU3" s="109">
        <v>159.1</v>
      </c>
      <c r="AV3" s="109">
        <v>150.1</v>
      </c>
      <c r="AW3" s="109">
        <v>151.6</v>
      </c>
      <c r="AX3" s="109">
        <v>146</v>
      </c>
      <c r="AY3" s="109">
        <v>157.1</v>
      </c>
      <c r="AZ3" s="109">
        <v>155.6</v>
      </c>
      <c r="BA3" s="109">
        <v>155.5</v>
      </c>
      <c r="BB3" s="109">
        <v>152.69999999999999</v>
      </c>
      <c r="BC3" s="109">
        <v>153.30000000000001</v>
      </c>
      <c r="BD3" s="109">
        <v>156.80000000000001</v>
      </c>
      <c r="BE3" s="109">
        <v>157.69999999999999</v>
      </c>
      <c r="BF3" s="109">
        <v>154.1</v>
      </c>
      <c r="BG3" s="109">
        <v>155.6</v>
      </c>
      <c r="BH3" s="109">
        <v>130.9</v>
      </c>
      <c r="BI3" s="109">
        <v>151.80000000000001</v>
      </c>
      <c r="BJ3" s="109">
        <v>152</v>
      </c>
      <c r="BK3" s="109">
        <v>158.5</v>
      </c>
      <c r="BL3" s="109">
        <v>159.80000000000001</v>
      </c>
      <c r="BM3" s="109">
        <v>151.69999999999999</v>
      </c>
      <c r="BN3" s="109">
        <v>147.4</v>
      </c>
      <c r="BO3" s="109">
        <v>147.6</v>
      </c>
      <c r="BP3" s="109">
        <v>139.1</v>
      </c>
      <c r="BQ3" s="109">
        <v>149</v>
      </c>
      <c r="BR3" s="109">
        <v>140</v>
      </c>
      <c r="BS3" s="109">
        <v>160.80000000000001</v>
      </c>
      <c r="BT3" s="109">
        <v>151.9</v>
      </c>
      <c r="BU3" s="109">
        <v>145</v>
      </c>
      <c r="BV3" s="109"/>
      <c r="BW3" s="109"/>
      <c r="BX3" s="109">
        <v>135</v>
      </c>
      <c r="BY3" s="109">
        <v>153.5</v>
      </c>
      <c r="BZ3" s="109">
        <v>148.30000000000001</v>
      </c>
      <c r="CA3" s="109">
        <v>162.69999999999999</v>
      </c>
      <c r="CB3" s="109">
        <v>167</v>
      </c>
      <c r="CC3" s="109">
        <v>149.30000000000001</v>
      </c>
      <c r="CD3" s="109">
        <v>149</v>
      </c>
      <c r="CE3" s="109">
        <v>138.1</v>
      </c>
      <c r="CF3" s="109">
        <v>160.80000000000001</v>
      </c>
      <c r="CG3" s="109">
        <v>164.8</v>
      </c>
      <c r="CH3" s="109">
        <v>148.4</v>
      </c>
      <c r="CI3" s="109">
        <v>159.80000000000001</v>
      </c>
      <c r="CJ3" s="109">
        <v>155.4</v>
      </c>
      <c r="CK3" s="109">
        <v>142.30000000000001</v>
      </c>
      <c r="CL3" s="109">
        <v>135.9</v>
      </c>
      <c r="CM3" s="109">
        <v>143.80000000000001</v>
      </c>
      <c r="CN3" s="109">
        <v>138.19999999999999</v>
      </c>
      <c r="CO3" s="109">
        <v>152.30000000000001</v>
      </c>
      <c r="CP3" s="109">
        <v>154.80000000000001</v>
      </c>
      <c r="CQ3" s="109">
        <v>155.80000000000001</v>
      </c>
      <c r="CR3" s="109">
        <v>134.4</v>
      </c>
      <c r="CS3" s="109">
        <v>170.8</v>
      </c>
      <c r="CT3" s="109">
        <v>151.4</v>
      </c>
      <c r="CU3" s="109">
        <v>140.19999999999999</v>
      </c>
      <c r="CV3" s="109">
        <v>138.69999999999999</v>
      </c>
      <c r="CW3" s="109">
        <v>147.30000000000001</v>
      </c>
      <c r="CX3" s="109">
        <v>156</v>
      </c>
    </row>
    <row r="4" spans="1:102" x14ac:dyDescent="0.25">
      <c r="A4" s="106">
        <v>1995</v>
      </c>
      <c r="B4" s="109">
        <v>85</v>
      </c>
      <c r="C4" s="109">
        <v>87.3</v>
      </c>
      <c r="D4" s="109">
        <v>117</v>
      </c>
      <c r="E4" s="109">
        <v>68.099999999999994</v>
      </c>
      <c r="F4" s="109">
        <v>118.2</v>
      </c>
      <c r="G4" s="109">
        <v>117.8</v>
      </c>
      <c r="H4" s="109">
        <v>129.69999999999999</v>
      </c>
      <c r="I4" s="109">
        <v>149.9</v>
      </c>
      <c r="J4" s="109">
        <v>129.19999999999999</v>
      </c>
      <c r="K4" s="109">
        <v>114.8</v>
      </c>
      <c r="L4" s="109">
        <v>140</v>
      </c>
      <c r="M4" s="109">
        <v>125.1</v>
      </c>
      <c r="N4" s="109">
        <v>142.30000000000001</v>
      </c>
      <c r="O4" s="109">
        <v>131.1</v>
      </c>
      <c r="P4" s="109">
        <v>108.9</v>
      </c>
      <c r="Q4" s="109">
        <v>121.4</v>
      </c>
      <c r="R4" s="109">
        <v>127.1</v>
      </c>
      <c r="S4" s="109">
        <v>129.19999999999999</v>
      </c>
      <c r="T4" s="109">
        <v>124.3</v>
      </c>
      <c r="U4" s="109">
        <v>65</v>
      </c>
      <c r="V4" s="109">
        <v>127.6</v>
      </c>
      <c r="W4" s="109">
        <v>119.8</v>
      </c>
      <c r="X4" s="109">
        <v>130.69999999999999</v>
      </c>
      <c r="Y4" s="109">
        <v>112.2</v>
      </c>
      <c r="Z4" s="109">
        <v>134.69999999999999</v>
      </c>
      <c r="AA4" s="109">
        <v>65.900000000000006</v>
      </c>
      <c r="AB4" s="109">
        <v>68.900000000000006</v>
      </c>
      <c r="AC4" s="109">
        <v>119.8</v>
      </c>
      <c r="AD4" s="109">
        <v>120</v>
      </c>
      <c r="AE4" s="109">
        <v>125.6</v>
      </c>
      <c r="AF4" s="109">
        <v>119.3</v>
      </c>
      <c r="AG4" s="109">
        <v>128</v>
      </c>
      <c r="AH4" s="109">
        <v>129.1</v>
      </c>
      <c r="AI4" s="109">
        <v>125</v>
      </c>
      <c r="AJ4" s="109">
        <v>132.19999999999999</v>
      </c>
      <c r="AK4" s="109">
        <v>110</v>
      </c>
      <c r="AL4" s="109">
        <v>140.6</v>
      </c>
      <c r="AM4" s="109">
        <v>133.9</v>
      </c>
      <c r="AN4" s="109">
        <v>119.5</v>
      </c>
      <c r="AO4" s="109">
        <v>145.5</v>
      </c>
      <c r="AP4" s="109">
        <v>127.9</v>
      </c>
      <c r="AQ4" s="109">
        <v>141.80000000000001</v>
      </c>
      <c r="AR4" s="109">
        <v>110.4</v>
      </c>
      <c r="AS4" s="109">
        <v>119.8</v>
      </c>
      <c r="AT4" s="109">
        <v>125.1</v>
      </c>
      <c r="AU4" s="109">
        <v>139.30000000000001</v>
      </c>
      <c r="AV4" s="109">
        <v>125.8</v>
      </c>
      <c r="AW4" s="109">
        <v>103.4</v>
      </c>
      <c r="AX4" s="109">
        <v>108.4</v>
      </c>
      <c r="AY4" s="109">
        <v>130.5</v>
      </c>
      <c r="AZ4" s="109">
        <v>96.1</v>
      </c>
      <c r="BA4" s="109">
        <v>104</v>
      </c>
      <c r="BB4" s="109">
        <v>117.7</v>
      </c>
      <c r="BC4" s="109">
        <v>104.8</v>
      </c>
      <c r="BD4" s="109">
        <v>131.69999999999999</v>
      </c>
      <c r="BE4" s="109">
        <v>119.6</v>
      </c>
      <c r="BF4" s="109">
        <v>114.1</v>
      </c>
      <c r="BG4" s="109">
        <v>118.6</v>
      </c>
      <c r="BH4" s="109">
        <v>65.3</v>
      </c>
      <c r="BI4" s="109">
        <v>120.5</v>
      </c>
      <c r="BJ4" s="109">
        <v>103.6</v>
      </c>
      <c r="BK4" s="109">
        <v>115.3</v>
      </c>
      <c r="BL4" s="109">
        <v>104.4</v>
      </c>
      <c r="BM4" s="109">
        <v>134.80000000000001</v>
      </c>
      <c r="BN4" s="109">
        <v>105.9</v>
      </c>
      <c r="BO4" s="109">
        <v>134</v>
      </c>
      <c r="BP4" s="109">
        <v>96.2</v>
      </c>
      <c r="BQ4" s="109">
        <v>84.1</v>
      </c>
      <c r="BR4" s="109">
        <v>91.1</v>
      </c>
      <c r="BS4" s="109">
        <v>118.9</v>
      </c>
      <c r="BT4" s="109">
        <v>129.30000000000001</v>
      </c>
      <c r="BU4" s="109">
        <v>129</v>
      </c>
      <c r="BV4" s="109"/>
      <c r="BW4" s="109"/>
      <c r="BX4" s="109">
        <v>89.7</v>
      </c>
      <c r="BY4" s="109">
        <v>127.2</v>
      </c>
      <c r="BZ4" s="109">
        <v>118</v>
      </c>
      <c r="CA4" s="109">
        <v>139.69999999999999</v>
      </c>
      <c r="CB4" s="109">
        <v>142.9</v>
      </c>
      <c r="CC4" s="109">
        <v>107.2</v>
      </c>
      <c r="CD4" s="109">
        <v>112.9</v>
      </c>
      <c r="CE4" s="109">
        <v>65.3</v>
      </c>
      <c r="CF4" s="109">
        <v>129.80000000000001</v>
      </c>
      <c r="CG4" s="109">
        <v>131.30000000000001</v>
      </c>
      <c r="CH4" s="109">
        <v>113.8</v>
      </c>
      <c r="CI4" s="109">
        <v>128.30000000000001</v>
      </c>
      <c r="CJ4" s="109">
        <v>140.5</v>
      </c>
      <c r="CK4" s="109">
        <v>120.5</v>
      </c>
      <c r="CL4" s="109">
        <v>65.2</v>
      </c>
      <c r="CM4" s="109">
        <v>71.8</v>
      </c>
      <c r="CN4" s="109">
        <v>92.5</v>
      </c>
      <c r="CO4" s="109">
        <v>99.9</v>
      </c>
      <c r="CP4" s="109">
        <v>105</v>
      </c>
      <c r="CQ4" s="109">
        <v>107.2</v>
      </c>
      <c r="CR4" s="109">
        <v>69.099999999999994</v>
      </c>
      <c r="CS4" s="109">
        <v>148</v>
      </c>
      <c r="CT4" s="109">
        <v>126.8</v>
      </c>
      <c r="CU4" s="109">
        <v>122.7</v>
      </c>
      <c r="CV4" s="109">
        <v>106.7</v>
      </c>
      <c r="CW4" s="109">
        <v>127.9</v>
      </c>
      <c r="CX4" s="109">
        <v>138</v>
      </c>
    </row>
    <row r="5" spans="1:102" x14ac:dyDescent="0.25">
      <c r="A5" s="106">
        <v>1996</v>
      </c>
      <c r="B5" s="109">
        <v>119.9</v>
      </c>
      <c r="C5" s="109">
        <v>125.4</v>
      </c>
      <c r="D5" s="109">
        <v>126.7</v>
      </c>
      <c r="E5" s="109">
        <v>118.6</v>
      </c>
      <c r="F5" s="109">
        <v>131.9</v>
      </c>
      <c r="G5" s="109">
        <v>135.80000000000001</v>
      </c>
      <c r="H5" s="109">
        <v>134</v>
      </c>
      <c r="I5" s="109">
        <v>148.9</v>
      </c>
      <c r="J5" s="109">
        <v>141.4</v>
      </c>
      <c r="K5" s="109">
        <v>143.1</v>
      </c>
      <c r="L5" s="109">
        <v>145.30000000000001</v>
      </c>
      <c r="M5" s="109">
        <v>143.19999999999999</v>
      </c>
      <c r="N5" s="109">
        <v>148.69999999999999</v>
      </c>
      <c r="O5" s="109">
        <v>142.80000000000001</v>
      </c>
      <c r="P5" s="109">
        <v>129.9</v>
      </c>
      <c r="Q5" s="109">
        <v>139.5</v>
      </c>
      <c r="R5" s="109">
        <v>143.69999999999999</v>
      </c>
      <c r="S5" s="109">
        <v>138.19999999999999</v>
      </c>
      <c r="T5" s="109">
        <v>127.2</v>
      </c>
      <c r="U5" s="109">
        <v>95.7</v>
      </c>
      <c r="V5" s="109">
        <v>140</v>
      </c>
      <c r="W5" s="109">
        <v>135.1</v>
      </c>
      <c r="X5" s="109">
        <v>146.1</v>
      </c>
      <c r="Y5" s="109">
        <v>132.6</v>
      </c>
      <c r="Z5" s="109">
        <v>136.9</v>
      </c>
      <c r="AA5" s="109">
        <v>125.3</v>
      </c>
      <c r="AB5" s="109">
        <v>131.6</v>
      </c>
      <c r="AC5" s="109">
        <v>145</v>
      </c>
      <c r="AD5" s="109">
        <v>131.80000000000001</v>
      </c>
      <c r="AE5" s="109">
        <v>141.5</v>
      </c>
      <c r="AF5" s="109">
        <v>147.5</v>
      </c>
      <c r="AG5" s="109">
        <v>145.1</v>
      </c>
      <c r="AH5" s="109">
        <v>132.9</v>
      </c>
      <c r="AI5" s="109">
        <v>141.6</v>
      </c>
      <c r="AJ5" s="109">
        <v>152.19999999999999</v>
      </c>
      <c r="AK5" s="109">
        <v>136.1</v>
      </c>
      <c r="AL5" s="109">
        <v>149.1</v>
      </c>
      <c r="AM5" s="109">
        <v>129.5</v>
      </c>
      <c r="AN5" s="109">
        <v>134.4</v>
      </c>
      <c r="AO5" s="109">
        <v>148.4</v>
      </c>
      <c r="AP5" s="109">
        <v>146.4</v>
      </c>
      <c r="AQ5" s="109">
        <v>141.6</v>
      </c>
      <c r="AR5" s="109">
        <v>141.6</v>
      </c>
      <c r="AS5" s="109">
        <v>132.9</v>
      </c>
      <c r="AT5" s="109">
        <v>134.30000000000001</v>
      </c>
      <c r="AU5" s="109">
        <v>154.4</v>
      </c>
      <c r="AV5" s="109">
        <v>141.69999999999999</v>
      </c>
      <c r="AW5" s="109">
        <v>121</v>
      </c>
      <c r="AX5" s="109">
        <v>128.69999999999999</v>
      </c>
      <c r="AY5" s="109">
        <v>138.4</v>
      </c>
      <c r="AZ5" s="109">
        <v>122.5</v>
      </c>
      <c r="BA5" s="109">
        <v>121.9</v>
      </c>
      <c r="BB5" s="109">
        <v>143.9</v>
      </c>
      <c r="BC5" s="109">
        <v>123</v>
      </c>
      <c r="BD5" s="109">
        <v>143.6</v>
      </c>
      <c r="BE5" s="109">
        <v>138.1</v>
      </c>
      <c r="BF5" s="109">
        <v>139.5</v>
      </c>
      <c r="BG5" s="109">
        <v>128.80000000000001</v>
      </c>
      <c r="BH5" s="109">
        <v>108.9</v>
      </c>
      <c r="BI5" s="109">
        <v>138.6</v>
      </c>
      <c r="BJ5" s="109">
        <v>123.5</v>
      </c>
      <c r="BK5" s="109">
        <v>129.5</v>
      </c>
      <c r="BL5" s="109">
        <v>117.9</v>
      </c>
      <c r="BM5" s="109">
        <v>140.6</v>
      </c>
      <c r="BN5" s="109">
        <v>133.19999999999999</v>
      </c>
      <c r="BO5" s="109">
        <v>139.9</v>
      </c>
      <c r="BP5" s="109">
        <v>124.3</v>
      </c>
      <c r="BQ5" s="109">
        <v>112.8</v>
      </c>
      <c r="BR5" s="109">
        <v>130</v>
      </c>
      <c r="BS5" s="109">
        <v>125.1</v>
      </c>
      <c r="BT5" s="109">
        <v>140.69999999999999</v>
      </c>
      <c r="BU5" s="109">
        <v>135</v>
      </c>
      <c r="BV5" s="109"/>
      <c r="BW5" s="109"/>
      <c r="BX5" s="109">
        <v>136.6</v>
      </c>
      <c r="BY5" s="109">
        <v>143.19999999999999</v>
      </c>
      <c r="BZ5" s="109">
        <v>138.4</v>
      </c>
      <c r="CA5" s="109">
        <v>150.30000000000001</v>
      </c>
      <c r="CB5" s="109">
        <v>148.19999999999999</v>
      </c>
      <c r="CC5" s="109">
        <v>135.9</v>
      </c>
      <c r="CD5" s="109">
        <v>133.19999999999999</v>
      </c>
      <c r="CE5" s="109">
        <v>117</v>
      </c>
      <c r="CF5" s="109">
        <v>148.80000000000001</v>
      </c>
      <c r="CG5" s="109">
        <v>139.6</v>
      </c>
      <c r="CH5" s="109">
        <v>135.1</v>
      </c>
      <c r="CI5" s="109">
        <v>146.1</v>
      </c>
      <c r="CJ5" s="109">
        <v>146.30000000000001</v>
      </c>
      <c r="CK5" s="109">
        <v>130.9</v>
      </c>
      <c r="CL5" s="109">
        <v>112.8</v>
      </c>
      <c r="CM5" s="109">
        <v>120.7</v>
      </c>
      <c r="CN5" s="109">
        <v>127.3</v>
      </c>
      <c r="CO5" s="109">
        <v>127.5</v>
      </c>
      <c r="CP5" s="109">
        <v>128.4</v>
      </c>
      <c r="CQ5" s="109">
        <v>126.9</v>
      </c>
      <c r="CR5" s="109">
        <v>133.6</v>
      </c>
      <c r="CS5" s="109">
        <v>155.80000000000001</v>
      </c>
      <c r="CT5" s="109">
        <v>137.4</v>
      </c>
      <c r="CU5" s="109">
        <v>133.6</v>
      </c>
      <c r="CV5" s="109">
        <v>132.1</v>
      </c>
      <c r="CW5" s="109">
        <v>139.4</v>
      </c>
      <c r="CX5" s="109">
        <v>152.1</v>
      </c>
    </row>
    <row r="6" spans="1:102" x14ac:dyDescent="0.25">
      <c r="A6" s="106">
        <v>1997</v>
      </c>
      <c r="B6" s="109">
        <v>120.1</v>
      </c>
      <c r="C6" s="109">
        <v>119.9</v>
      </c>
      <c r="D6" s="109">
        <v>135.30000000000001</v>
      </c>
      <c r="E6" s="109">
        <v>125.8</v>
      </c>
      <c r="F6" s="109">
        <v>129.1</v>
      </c>
      <c r="G6" s="109">
        <v>146.19999999999999</v>
      </c>
      <c r="H6" s="109">
        <v>138.5</v>
      </c>
      <c r="I6" s="109">
        <v>149.5</v>
      </c>
      <c r="J6" s="109">
        <v>145.6</v>
      </c>
      <c r="K6" s="109">
        <v>137.30000000000001</v>
      </c>
      <c r="L6" s="109">
        <v>146.4</v>
      </c>
      <c r="M6" s="109">
        <v>137.69999999999999</v>
      </c>
      <c r="N6" s="109">
        <v>137.1</v>
      </c>
      <c r="O6" s="109">
        <v>135</v>
      </c>
      <c r="P6" s="109">
        <v>120.6</v>
      </c>
      <c r="Q6" s="109">
        <v>141.30000000000001</v>
      </c>
      <c r="R6" s="109">
        <v>146</v>
      </c>
      <c r="S6" s="109">
        <v>139.6</v>
      </c>
      <c r="T6" s="109">
        <v>142</v>
      </c>
      <c r="U6" s="109">
        <v>113.8</v>
      </c>
      <c r="V6" s="109">
        <v>138.1</v>
      </c>
      <c r="W6" s="109">
        <v>137.6</v>
      </c>
      <c r="X6" s="109">
        <v>142.19999999999999</v>
      </c>
      <c r="Y6" s="109">
        <v>127.4</v>
      </c>
      <c r="Z6" s="109">
        <v>139.19999999999999</v>
      </c>
      <c r="AA6" s="109">
        <v>123</v>
      </c>
      <c r="AB6" s="109">
        <v>117.1</v>
      </c>
      <c r="AC6" s="109">
        <v>143.1</v>
      </c>
      <c r="AD6" s="109">
        <v>142.1</v>
      </c>
      <c r="AE6" s="109">
        <v>128.80000000000001</v>
      </c>
      <c r="AF6" s="109">
        <v>138.5</v>
      </c>
      <c r="AG6" s="109">
        <v>144.9</v>
      </c>
      <c r="AH6" s="109">
        <v>142.1</v>
      </c>
      <c r="AI6" s="109">
        <v>141.4</v>
      </c>
      <c r="AJ6" s="109">
        <v>135.5</v>
      </c>
      <c r="AK6" s="109">
        <v>136</v>
      </c>
      <c r="AL6" s="109">
        <v>141.30000000000001</v>
      </c>
      <c r="AM6" s="109">
        <v>143</v>
      </c>
      <c r="AN6" s="109">
        <v>121.1</v>
      </c>
      <c r="AO6" s="109">
        <v>145.1</v>
      </c>
      <c r="AP6" s="109">
        <v>144.4</v>
      </c>
      <c r="AQ6" s="109">
        <v>133.19999999999999</v>
      </c>
      <c r="AR6" s="109">
        <v>132.4</v>
      </c>
      <c r="AS6" s="109">
        <v>137.6</v>
      </c>
      <c r="AT6" s="109">
        <v>140.9</v>
      </c>
      <c r="AU6" s="109">
        <v>147.9</v>
      </c>
      <c r="AV6" s="109">
        <v>136.69999999999999</v>
      </c>
      <c r="AW6" s="109">
        <v>136.5</v>
      </c>
      <c r="AX6" s="109">
        <v>132</v>
      </c>
      <c r="AY6" s="109">
        <v>143.4</v>
      </c>
      <c r="AZ6" s="109">
        <v>135.9</v>
      </c>
      <c r="BA6" s="109">
        <v>138.80000000000001</v>
      </c>
      <c r="BB6" s="109">
        <v>143.19999999999999</v>
      </c>
      <c r="BC6" s="109">
        <v>143.4</v>
      </c>
      <c r="BD6" s="109">
        <v>147.19999999999999</v>
      </c>
      <c r="BE6" s="109">
        <v>139.5</v>
      </c>
      <c r="BF6" s="109">
        <v>144.1</v>
      </c>
      <c r="BG6" s="109">
        <v>130.19999999999999</v>
      </c>
      <c r="BH6" s="109">
        <v>128.4</v>
      </c>
      <c r="BI6" s="109">
        <v>132.30000000000001</v>
      </c>
      <c r="BJ6" s="109">
        <v>125.1</v>
      </c>
      <c r="BK6" s="109">
        <v>140.9</v>
      </c>
      <c r="BL6" s="109">
        <v>131</v>
      </c>
      <c r="BM6" s="109">
        <v>139.19999999999999</v>
      </c>
      <c r="BN6" s="109">
        <v>135.80000000000001</v>
      </c>
      <c r="BO6" s="109">
        <v>149.9</v>
      </c>
      <c r="BP6" s="109">
        <v>124.5</v>
      </c>
      <c r="BQ6" s="109">
        <v>127.2</v>
      </c>
      <c r="BR6" s="109">
        <v>134.5</v>
      </c>
      <c r="BS6" s="109">
        <v>131</v>
      </c>
      <c r="BT6" s="109">
        <v>140.9</v>
      </c>
      <c r="BU6" s="109">
        <v>128.69999999999999</v>
      </c>
      <c r="BV6" s="109"/>
      <c r="BW6" s="109"/>
      <c r="BX6" s="109">
        <v>133.5</v>
      </c>
      <c r="BY6" s="109">
        <v>144</v>
      </c>
      <c r="BZ6" s="109">
        <v>128.1</v>
      </c>
      <c r="CA6" s="109">
        <v>148.19999999999999</v>
      </c>
      <c r="CB6" s="109">
        <v>149.69999999999999</v>
      </c>
      <c r="CC6" s="109">
        <v>132.19999999999999</v>
      </c>
      <c r="CD6" s="109">
        <v>140.9</v>
      </c>
      <c r="CE6" s="109">
        <v>109</v>
      </c>
      <c r="CF6" s="109">
        <v>136.6</v>
      </c>
      <c r="CG6" s="109">
        <v>144.4</v>
      </c>
      <c r="CH6" s="109">
        <v>130.9</v>
      </c>
      <c r="CI6" s="109">
        <v>140.30000000000001</v>
      </c>
      <c r="CJ6" s="109">
        <v>146.9</v>
      </c>
      <c r="CK6" s="109">
        <v>136.5</v>
      </c>
      <c r="CL6" s="109">
        <v>117.4</v>
      </c>
      <c r="CM6" s="109">
        <v>117.4</v>
      </c>
      <c r="CN6" s="109">
        <v>130.19999999999999</v>
      </c>
      <c r="CO6" s="109">
        <v>136.5</v>
      </c>
      <c r="CP6" s="109">
        <v>135.4</v>
      </c>
      <c r="CQ6" s="109">
        <v>142.9</v>
      </c>
      <c r="CR6" s="109">
        <v>109.4</v>
      </c>
      <c r="CS6" s="109">
        <v>147.69999999999999</v>
      </c>
      <c r="CT6" s="109">
        <v>149.30000000000001</v>
      </c>
      <c r="CU6" s="109">
        <v>141.6</v>
      </c>
      <c r="CV6" s="109">
        <v>119.8</v>
      </c>
      <c r="CW6" s="109">
        <v>144.80000000000001</v>
      </c>
      <c r="CX6" s="109">
        <v>143.19999999999999</v>
      </c>
    </row>
    <row r="7" spans="1:102" x14ac:dyDescent="0.25">
      <c r="A7" s="106">
        <v>1998</v>
      </c>
      <c r="B7" s="109">
        <v>142.69999999999999</v>
      </c>
      <c r="C7" s="109">
        <v>137.69999999999999</v>
      </c>
      <c r="D7" s="109">
        <v>154.30000000000001</v>
      </c>
      <c r="E7" s="109">
        <v>119.6</v>
      </c>
      <c r="F7" s="109">
        <v>137.1</v>
      </c>
      <c r="G7" s="109">
        <v>152.1</v>
      </c>
      <c r="H7" s="109">
        <v>146.69999999999999</v>
      </c>
      <c r="I7" s="109">
        <v>146.6</v>
      </c>
      <c r="J7" s="109">
        <v>157.9</v>
      </c>
      <c r="K7" s="109">
        <v>147.30000000000001</v>
      </c>
      <c r="L7" s="109">
        <v>154.6</v>
      </c>
      <c r="M7" s="109">
        <v>151.9</v>
      </c>
      <c r="N7" s="109">
        <v>130.5</v>
      </c>
      <c r="O7" s="109">
        <v>151.1</v>
      </c>
      <c r="P7" s="109">
        <v>144.6</v>
      </c>
      <c r="Q7" s="109">
        <v>169.8</v>
      </c>
      <c r="R7" s="109">
        <v>146.4</v>
      </c>
      <c r="S7" s="109">
        <v>161.6</v>
      </c>
      <c r="T7" s="109">
        <v>150</v>
      </c>
      <c r="U7" s="109">
        <v>99.6</v>
      </c>
      <c r="V7" s="109">
        <v>154.19999999999999</v>
      </c>
      <c r="W7" s="109">
        <v>153.9</v>
      </c>
      <c r="X7" s="109">
        <v>152.1</v>
      </c>
      <c r="Y7" s="109">
        <v>148.9</v>
      </c>
      <c r="Z7" s="109">
        <v>148.69999999999999</v>
      </c>
      <c r="AA7" s="109">
        <v>138.6</v>
      </c>
      <c r="AB7" s="109">
        <v>98.8</v>
      </c>
      <c r="AC7" s="109">
        <v>151.30000000000001</v>
      </c>
      <c r="AD7" s="109">
        <v>132.80000000000001</v>
      </c>
      <c r="AE7" s="109">
        <v>152</v>
      </c>
      <c r="AF7" s="109">
        <v>156.69999999999999</v>
      </c>
      <c r="AG7" s="109">
        <v>154.69999999999999</v>
      </c>
      <c r="AH7" s="109">
        <v>154.30000000000001</v>
      </c>
      <c r="AI7" s="109">
        <v>163.69999999999999</v>
      </c>
      <c r="AJ7" s="109">
        <v>146.6</v>
      </c>
      <c r="AK7" s="109">
        <v>133.80000000000001</v>
      </c>
      <c r="AL7" s="109">
        <v>143.80000000000001</v>
      </c>
      <c r="AM7" s="109">
        <v>149.19999999999999</v>
      </c>
      <c r="AN7" s="109">
        <v>140.6</v>
      </c>
      <c r="AO7" s="109">
        <v>147.1</v>
      </c>
      <c r="AP7" s="109">
        <v>142.9</v>
      </c>
      <c r="AQ7" s="109">
        <v>148</v>
      </c>
      <c r="AR7" s="109">
        <v>126.7</v>
      </c>
      <c r="AS7" s="109">
        <v>134.1</v>
      </c>
      <c r="AT7" s="109">
        <v>151</v>
      </c>
      <c r="AU7" s="109">
        <v>137.1</v>
      </c>
      <c r="AV7" s="109">
        <v>156.1</v>
      </c>
      <c r="AW7" s="109">
        <v>142.69999999999999</v>
      </c>
      <c r="AX7" s="109">
        <v>146</v>
      </c>
      <c r="AY7" s="109">
        <v>149.5</v>
      </c>
      <c r="AZ7" s="109">
        <v>121.6</v>
      </c>
      <c r="BA7" s="109">
        <v>134.9</v>
      </c>
      <c r="BB7" s="109">
        <v>155.6</v>
      </c>
      <c r="BC7" s="109">
        <v>120.6</v>
      </c>
      <c r="BD7" s="109">
        <v>148.5</v>
      </c>
      <c r="BE7" s="109">
        <v>118.7</v>
      </c>
      <c r="BF7" s="109">
        <v>146.4</v>
      </c>
      <c r="BG7" s="109">
        <v>122.7</v>
      </c>
      <c r="BH7" s="109">
        <v>102.6</v>
      </c>
      <c r="BI7" s="109">
        <v>151.5</v>
      </c>
      <c r="BJ7" s="109">
        <v>145.4</v>
      </c>
      <c r="BK7" s="109">
        <v>141.69999999999999</v>
      </c>
      <c r="BL7" s="109">
        <v>132.6</v>
      </c>
      <c r="BM7" s="109">
        <v>146.19999999999999</v>
      </c>
      <c r="BN7" s="109">
        <v>123.7</v>
      </c>
      <c r="BO7" s="109">
        <v>162.4</v>
      </c>
      <c r="BP7" s="109">
        <v>117.9</v>
      </c>
      <c r="BQ7" s="109">
        <v>111.9</v>
      </c>
      <c r="BR7" s="109">
        <v>140.6</v>
      </c>
      <c r="BS7" s="109">
        <v>142.5</v>
      </c>
      <c r="BT7" s="109">
        <v>158.6</v>
      </c>
      <c r="BU7" s="109">
        <v>148.9</v>
      </c>
      <c r="BV7" s="109"/>
      <c r="BW7" s="109"/>
      <c r="BX7" s="109">
        <v>126.5</v>
      </c>
      <c r="BY7" s="109">
        <v>136.1</v>
      </c>
      <c r="BZ7" s="109">
        <v>159.9</v>
      </c>
      <c r="CA7" s="109">
        <v>136.30000000000001</v>
      </c>
      <c r="CB7" s="109">
        <v>149.19999999999999</v>
      </c>
      <c r="CC7" s="109">
        <v>139.5</v>
      </c>
      <c r="CD7" s="109">
        <v>145.4</v>
      </c>
      <c r="CE7" s="109">
        <v>112.4</v>
      </c>
      <c r="CF7" s="109">
        <v>141.6</v>
      </c>
      <c r="CG7" s="109">
        <v>169.6</v>
      </c>
      <c r="CH7" s="109">
        <v>138.30000000000001</v>
      </c>
      <c r="CI7" s="109">
        <v>162.30000000000001</v>
      </c>
      <c r="CJ7" s="109">
        <v>149.19999999999999</v>
      </c>
      <c r="CK7" s="109">
        <v>139.9</v>
      </c>
      <c r="CL7" s="109">
        <v>119.2</v>
      </c>
      <c r="CM7" s="109">
        <v>129.69999999999999</v>
      </c>
      <c r="CN7" s="109">
        <v>115.3</v>
      </c>
      <c r="CO7" s="109">
        <v>135.80000000000001</v>
      </c>
      <c r="CP7" s="109">
        <v>133.4</v>
      </c>
      <c r="CQ7" s="109">
        <v>134.69999999999999</v>
      </c>
      <c r="CR7" s="109">
        <v>103.8</v>
      </c>
      <c r="CS7" s="109">
        <v>131.5</v>
      </c>
      <c r="CT7" s="109">
        <v>160</v>
      </c>
      <c r="CU7" s="109">
        <v>152.5</v>
      </c>
      <c r="CV7" s="109">
        <v>136.1</v>
      </c>
      <c r="CW7" s="109">
        <v>162</v>
      </c>
      <c r="CX7" s="109">
        <v>136.1</v>
      </c>
    </row>
    <row r="8" spans="1:102" x14ac:dyDescent="0.25">
      <c r="A8" s="106">
        <v>1999</v>
      </c>
      <c r="B8" s="109">
        <v>139.30000000000001</v>
      </c>
      <c r="C8" s="109">
        <v>128.1</v>
      </c>
      <c r="D8" s="109">
        <v>151.4</v>
      </c>
      <c r="E8" s="109">
        <v>113.6</v>
      </c>
      <c r="F8" s="109">
        <v>131.6</v>
      </c>
      <c r="G8" s="109">
        <v>152.4</v>
      </c>
      <c r="H8" s="109">
        <v>152.4</v>
      </c>
      <c r="I8" s="109">
        <v>155.6</v>
      </c>
      <c r="J8" s="109">
        <v>162.6</v>
      </c>
      <c r="K8" s="109">
        <v>152.19999999999999</v>
      </c>
      <c r="L8" s="109">
        <v>165.1</v>
      </c>
      <c r="M8" s="109">
        <v>145.9</v>
      </c>
      <c r="N8" s="109">
        <v>147.9</v>
      </c>
      <c r="O8" s="109">
        <v>137.4</v>
      </c>
      <c r="P8" s="109">
        <v>135.19999999999999</v>
      </c>
      <c r="Q8" s="109">
        <v>156.9</v>
      </c>
      <c r="R8" s="109">
        <v>144.1</v>
      </c>
      <c r="S8" s="109">
        <v>170.7</v>
      </c>
      <c r="T8" s="109">
        <v>152.4</v>
      </c>
      <c r="U8" s="109">
        <v>118.2</v>
      </c>
      <c r="V8" s="109">
        <v>160.80000000000001</v>
      </c>
      <c r="W8" s="109">
        <v>154.1</v>
      </c>
      <c r="X8" s="109">
        <v>158.9</v>
      </c>
      <c r="Y8" s="109">
        <v>147.1</v>
      </c>
      <c r="Z8" s="109">
        <v>156.69999999999999</v>
      </c>
      <c r="AA8" s="109">
        <v>90.3</v>
      </c>
      <c r="AB8" s="109">
        <v>113.4</v>
      </c>
      <c r="AC8" s="109">
        <v>159.30000000000001</v>
      </c>
      <c r="AD8" s="109">
        <v>145.9</v>
      </c>
      <c r="AE8" s="109">
        <v>150.69999999999999</v>
      </c>
      <c r="AF8" s="109">
        <v>150.6</v>
      </c>
      <c r="AG8" s="109">
        <v>148.6</v>
      </c>
      <c r="AH8" s="109">
        <v>153.19999999999999</v>
      </c>
      <c r="AI8" s="109">
        <v>152.4</v>
      </c>
      <c r="AJ8" s="109">
        <v>149.30000000000001</v>
      </c>
      <c r="AK8" s="109">
        <v>133.69999999999999</v>
      </c>
      <c r="AL8" s="109">
        <v>148.5</v>
      </c>
      <c r="AM8" s="109">
        <v>139.30000000000001</v>
      </c>
      <c r="AN8" s="109">
        <v>134.9</v>
      </c>
      <c r="AO8" s="109">
        <v>156</v>
      </c>
      <c r="AP8" s="109">
        <v>150.6</v>
      </c>
      <c r="AQ8" s="109">
        <v>152</v>
      </c>
      <c r="AR8" s="109">
        <v>140</v>
      </c>
      <c r="AS8" s="109">
        <v>131.1</v>
      </c>
      <c r="AT8" s="109">
        <v>154.4</v>
      </c>
      <c r="AU8" s="109">
        <v>143.69999999999999</v>
      </c>
      <c r="AV8" s="109">
        <v>164.8</v>
      </c>
      <c r="AW8" s="109">
        <v>144.19999999999999</v>
      </c>
      <c r="AX8" s="109">
        <v>143.6</v>
      </c>
      <c r="AY8" s="109">
        <v>154.9</v>
      </c>
      <c r="AZ8" s="109">
        <v>95.5</v>
      </c>
      <c r="BA8" s="109">
        <v>140.5</v>
      </c>
      <c r="BB8" s="109">
        <v>159.69999999999999</v>
      </c>
      <c r="BC8" s="109">
        <v>123.5</v>
      </c>
      <c r="BD8" s="109">
        <v>150.69999999999999</v>
      </c>
      <c r="BE8" s="109">
        <v>122.1</v>
      </c>
      <c r="BF8" s="109">
        <v>150.80000000000001</v>
      </c>
      <c r="BG8" s="109">
        <v>144.5</v>
      </c>
      <c r="BH8" s="109">
        <v>128</v>
      </c>
      <c r="BI8" s="109">
        <v>163.4</v>
      </c>
      <c r="BJ8" s="109">
        <v>134.5</v>
      </c>
      <c r="BK8" s="109">
        <v>135.4</v>
      </c>
      <c r="BL8" s="109">
        <v>137.6</v>
      </c>
      <c r="BM8" s="109">
        <v>155.80000000000001</v>
      </c>
      <c r="BN8" s="109">
        <v>128.19999999999999</v>
      </c>
      <c r="BO8" s="109">
        <v>154.9</v>
      </c>
      <c r="BP8" s="109">
        <v>141.19999999999999</v>
      </c>
      <c r="BQ8" s="109">
        <v>110.8</v>
      </c>
      <c r="BR8" s="109">
        <v>127.3</v>
      </c>
      <c r="BS8" s="109">
        <v>149.5</v>
      </c>
      <c r="BT8" s="109">
        <v>170</v>
      </c>
      <c r="BU8" s="109">
        <v>167</v>
      </c>
      <c r="BV8" s="109"/>
      <c r="BW8" s="109"/>
      <c r="BX8" s="109">
        <v>123.2</v>
      </c>
      <c r="BY8" s="109">
        <v>157.6</v>
      </c>
      <c r="BZ8" s="109">
        <v>163.6</v>
      </c>
      <c r="CA8" s="109">
        <v>157.69999999999999</v>
      </c>
      <c r="CB8" s="109">
        <v>164.4</v>
      </c>
      <c r="CC8" s="109">
        <v>139.80000000000001</v>
      </c>
      <c r="CD8" s="109">
        <v>148.30000000000001</v>
      </c>
      <c r="CE8" s="109">
        <v>119.2</v>
      </c>
      <c r="CF8" s="109">
        <v>168.4</v>
      </c>
      <c r="CG8" s="109">
        <v>164.1</v>
      </c>
      <c r="CH8" s="109">
        <v>143.4</v>
      </c>
      <c r="CI8" s="109">
        <v>172.4</v>
      </c>
      <c r="CJ8" s="109">
        <v>162.4</v>
      </c>
      <c r="CK8" s="109">
        <v>150.30000000000001</v>
      </c>
      <c r="CL8" s="109">
        <v>115.6</v>
      </c>
      <c r="CM8" s="109">
        <v>140.80000000000001</v>
      </c>
      <c r="CN8" s="109">
        <v>88.8</v>
      </c>
      <c r="CO8" s="109">
        <v>113.4</v>
      </c>
      <c r="CP8" s="109">
        <v>142.6</v>
      </c>
      <c r="CQ8" s="109">
        <v>143.69999999999999</v>
      </c>
      <c r="CR8" s="109">
        <v>104.1</v>
      </c>
      <c r="CS8" s="109">
        <v>155.69999999999999</v>
      </c>
      <c r="CT8" s="109">
        <v>142.6</v>
      </c>
      <c r="CU8" s="109">
        <v>160.5</v>
      </c>
      <c r="CV8" s="109">
        <v>152.9</v>
      </c>
      <c r="CW8" s="109">
        <v>148.69999999999999</v>
      </c>
      <c r="CX8" s="109">
        <v>147.69999999999999</v>
      </c>
    </row>
    <row r="9" spans="1:102" x14ac:dyDescent="0.25">
      <c r="A9" s="106">
        <v>2000</v>
      </c>
      <c r="B9" s="109">
        <v>131.80000000000001</v>
      </c>
      <c r="C9" s="109">
        <v>140</v>
      </c>
      <c r="D9" s="109">
        <v>146.6</v>
      </c>
      <c r="E9" s="109">
        <v>147.69999999999999</v>
      </c>
      <c r="F9" s="109">
        <v>136.19999999999999</v>
      </c>
      <c r="G9" s="109">
        <v>148.69999999999999</v>
      </c>
      <c r="H9" s="109">
        <v>144</v>
      </c>
      <c r="I9" s="109">
        <v>154.5</v>
      </c>
      <c r="J9" s="109">
        <v>151.30000000000001</v>
      </c>
      <c r="K9" s="109">
        <v>140.6</v>
      </c>
      <c r="L9" s="109">
        <v>135.69999999999999</v>
      </c>
      <c r="M9" s="109">
        <v>140.9</v>
      </c>
      <c r="N9" s="109">
        <v>149.5</v>
      </c>
      <c r="O9" s="109">
        <v>136.4</v>
      </c>
      <c r="P9" s="109">
        <v>132.19999999999999</v>
      </c>
      <c r="Q9" s="109">
        <v>147.1</v>
      </c>
      <c r="R9" s="109">
        <v>149.4</v>
      </c>
      <c r="S9" s="109">
        <v>119.9</v>
      </c>
      <c r="T9" s="109">
        <v>144.4</v>
      </c>
      <c r="U9" s="109">
        <v>127.8</v>
      </c>
      <c r="V9" s="109">
        <v>153.1</v>
      </c>
      <c r="W9" s="109">
        <v>147.19999999999999</v>
      </c>
      <c r="X9" s="109">
        <v>147.1</v>
      </c>
      <c r="Y9" s="109">
        <v>131.1</v>
      </c>
      <c r="Z9" s="109">
        <v>144.30000000000001</v>
      </c>
      <c r="AA9" s="109">
        <v>149.69999999999999</v>
      </c>
      <c r="AB9" s="109">
        <v>148.4</v>
      </c>
      <c r="AC9" s="109">
        <v>144.19999999999999</v>
      </c>
      <c r="AD9" s="109">
        <v>143.9</v>
      </c>
      <c r="AE9" s="109">
        <v>150.9</v>
      </c>
      <c r="AF9" s="109">
        <v>151.30000000000001</v>
      </c>
      <c r="AG9" s="109">
        <v>156.4</v>
      </c>
      <c r="AH9" s="109">
        <v>146.69999999999999</v>
      </c>
      <c r="AI9" s="109">
        <v>142.5</v>
      </c>
      <c r="AJ9" s="109">
        <v>146.1</v>
      </c>
      <c r="AK9" s="109">
        <v>139.5</v>
      </c>
      <c r="AL9" s="109">
        <v>147</v>
      </c>
      <c r="AM9" s="109">
        <v>146.5</v>
      </c>
      <c r="AN9" s="109">
        <v>136.1</v>
      </c>
      <c r="AO9" s="109">
        <v>154.4</v>
      </c>
      <c r="AP9" s="109">
        <v>154.5</v>
      </c>
      <c r="AQ9" s="109">
        <v>146.80000000000001</v>
      </c>
      <c r="AR9" s="109">
        <v>138.5</v>
      </c>
      <c r="AS9" s="109">
        <v>143.69999999999999</v>
      </c>
      <c r="AT9" s="109">
        <v>140.30000000000001</v>
      </c>
      <c r="AU9" s="109">
        <v>158.80000000000001</v>
      </c>
      <c r="AV9" s="109">
        <v>109.5</v>
      </c>
      <c r="AW9" s="109">
        <v>140.9</v>
      </c>
      <c r="AX9" s="109">
        <v>140.69999999999999</v>
      </c>
      <c r="AY9" s="109">
        <v>144.1</v>
      </c>
      <c r="AZ9" s="109">
        <v>141.9</v>
      </c>
      <c r="BA9" s="109">
        <v>141.5</v>
      </c>
      <c r="BB9" s="109">
        <v>141.30000000000001</v>
      </c>
      <c r="BC9" s="109">
        <v>147.6</v>
      </c>
      <c r="BD9" s="109">
        <v>157.6</v>
      </c>
      <c r="BE9" s="109">
        <v>149</v>
      </c>
      <c r="BF9" s="109">
        <v>140.9</v>
      </c>
      <c r="BG9" s="109">
        <v>139</v>
      </c>
      <c r="BH9" s="109">
        <v>130.4</v>
      </c>
      <c r="BI9" s="109">
        <v>154.1</v>
      </c>
      <c r="BJ9" s="109">
        <v>133.1</v>
      </c>
      <c r="BK9" s="109">
        <v>143.30000000000001</v>
      </c>
      <c r="BL9" s="109">
        <v>139.4</v>
      </c>
      <c r="BM9" s="109">
        <v>145.19999999999999</v>
      </c>
      <c r="BN9" s="109">
        <v>135.19999999999999</v>
      </c>
      <c r="BO9" s="109">
        <v>146.69999999999999</v>
      </c>
      <c r="BP9" s="109">
        <v>138.30000000000001</v>
      </c>
      <c r="BQ9" s="109">
        <v>135.80000000000001</v>
      </c>
      <c r="BR9" s="109">
        <v>141.6</v>
      </c>
      <c r="BS9" s="109">
        <v>145.69999999999999</v>
      </c>
      <c r="BT9" s="109">
        <v>151.4</v>
      </c>
      <c r="BU9" s="109">
        <v>154.1</v>
      </c>
      <c r="BV9" s="109"/>
      <c r="BW9" s="109"/>
      <c r="BX9" s="109">
        <v>136.30000000000001</v>
      </c>
      <c r="BY9" s="109">
        <v>154.19999999999999</v>
      </c>
      <c r="BZ9" s="109">
        <v>119.9</v>
      </c>
      <c r="CA9" s="109">
        <v>155.6</v>
      </c>
      <c r="CB9" s="109">
        <v>154.80000000000001</v>
      </c>
      <c r="CC9" s="109">
        <v>139.1</v>
      </c>
      <c r="CD9" s="109">
        <v>148.9</v>
      </c>
      <c r="CE9" s="109">
        <v>144</v>
      </c>
      <c r="CF9" s="109">
        <v>128.19999999999999</v>
      </c>
      <c r="CG9" s="109">
        <v>152.69999999999999</v>
      </c>
      <c r="CH9" s="109">
        <v>126.6</v>
      </c>
      <c r="CI9" s="109">
        <v>150</v>
      </c>
      <c r="CJ9" s="109">
        <v>157.4</v>
      </c>
      <c r="CK9" s="109">
        <v>144.9</v>
      </c>
      <c r="CL9" s="109">
        <v>140.69999999999999</v>
      </c>
      <c r="CM9" s="109">
        <v>136.5</v>
      </c>
      <c r="CN9" s="109">
        <v>146.4</v>
      </c>
      <c r="CO9" s="109">
        <v>138.30000000000001</v>
      </c>
      <c r="CP9" s="109">
        <v>140.1</v>
      </c>
      <c r="CQ9" s="109">
        <v>144.1</v>
      </c>
      <c r="CR9" s="109">
        <v>136.80000000000001</v>
      </c>
      <c r="CS9" s="109">
        <v>159.80000000000001</v>
      </c>
      <c r="CT9" s="109">
        <v>150.69999999999999</v>
      </c>
      <c r="CU9" s="109">
        <v>147.9</v>
      </c>
      <c r="CV9" s="109">
        <v>116.7</v>
      </c>
      <c r="CW9" s="109">
        <v>145.9</v>
      </c>
      <c r="CX9" s="109">
        <v>155.19999999999999</v>
      </c>
    </row>
    <row r="10" spans="1:102" x14ac:dyDescent="0.25">
      <c r="A10" s="106">
        <v>2001</v>
      </c>
      <c r="B10" s="109">
        <v>127.3</v>
      </c>
      <c r="C10" s="109">
        <v>120.3</v>
      </c>
      <c r="D10" s="109">
        <v>150.30000000000001</v>
      </c>
      <c r="E10" s="109">
        <v>110.1</v>
      </c>
      <c r="F10" s="109">
        <v>129.1</v>
      </c>
      <c r="G10" s="109">
        <v>160.19999999999999</v>
      </c>
      <c r="H10" s="109">
        <v>162.69999999999999</v>
      </c>
      <c r="I10" s="109">
        <v>154</v>
      </c>
      <c r="J10" s="109">
        <v>161</v>
      </c>
      <c r="K10" s="109">
        <v>166.6</v>
      </c>
      <c r="L10" s="109">
        <v>144.4</v>
      </c>
      <c r="M10" s="109">
        <v>157.9</v>
      </c>
      <c r="N10" s="109">
        <v>144.19999999999999</v>
      </c>
      <c r="O10" s="109">
        <v>142.69999999999999</v>
      </c>
      <c r="P10" s="109">
        <v>126.7</v>
      </c>
      <c r="Q10" s="109">
        <v>172.7</v>
      </c>
      <c r="R10" s="109">
        <v>146.80000000000001</v>
      </c>
      <c r="S10" s="109">
        <v>150</v>
      </c>
      <c r="T10" s="109">
        <v>140.30000000000001</v>
      </c>
      <c r="U10" s="109">
        <v>123.7</v>
      </c>
      <c r="V10" s="109">
        <v>136.69999999999999</v>
      </c>
      <c r="W10" s="109">
        <v>152.5</v>
      </c>
      <c r="X10" s="109">
        <v>168.1</v>
      </c>
      <c r="Y10" s="109">
        <v>137.6</v>
      </c>
      <c r="Z10" s="109">
        <v>135.6</v>
      </c>
      <c r="AA10" s="109">
        <v>133.9</v>
      </c>
      <c r="AB10" s="109">
        <v>116.6</v>
      </c>
      <c r="AC10" s="109">
        <v>169.3</v>
      </c>
      <c r="AD10" s="109">
        <v>143.19999999999999</v>
      </c>
      <c r="AE10" s="109">
        <v>129.69999999999999</v>
      </c>
      <c r="AF10" s="109">
        <v>157.9</v>
      </c>
      <c r="AG10" s="109">
        <v>131.1</v>
      </c>
      <c r="AH10" s="109">
        <v>160.19999999999999</v>
      </c>
      <c r="AI10" s="109">
        <v>149.1</v>
      </c>
      <c r="AJ10" s="109">
        <v>153.30000000000001</v>
      </c>
      <c r="AK10" s="109">
        <v>143.30000000000001</v>
      </c>
      <c r="AL10" s="109">
        <v>140.69999999999999</v>
      </c>
      <c r="AM10" s="109">
        <v>149.9</v>
      </c>
      <c r="AN10" s="109">
        <v>127.9</v>
      </c>
      <c r="AO10" s="109">
        <v>163.6</v>
      </c>
      <c r="AP10" s="109">
        <v>145</v>
      </c>
      <c r="AQ10" s="109">
        <v>157.69999999999999</v>
      </c>
      <c r="AR10" s="109">
        <v>137.6</v>
      </c>
      <c r="AS10" s="109">
        <v>142.9</v>
      </c>
      <c r="AT10" s="109">
        <v>130.5</v>
      </c>
      <c r="AU10" s="109">
        <v>144.6</v>
      </c>
      <c r="AV10" s="109">
        <v>146.19999999999999</v>
      </c>
      <c r="AW10" s="109">
        <v>154.19999999999999</v>
      </c>
      <c r="AX10" s="109">
        <v>152</v>
      </c>
      <c r="AY10" s="109">
        <v>154.80000000000001</v>
      </c>
      <c r="AZ10" s="109">
        <v>134.4</v>
      </c>
      <c r="BA10" s="109">
        <v>156.4</v>
      </c>
      <c r="BB10" s="109">
        <v>168.5</v>
      </c>
      <c r="BC10" s="109">
        <v>142.1</v>
      </c>
      <c r="BD10" s="109">
        <v>138.1</v>
      </c>
      <c r="BE10" s="109">
        <v>138.30000000000001</v>
      </c>
      <c r="BF10" s="109">
        <v>164.9</v>
      </c>
      <c r="BG10" s="109">
        <v>131.19999999999999</v>
      </c>
      <c r="BH10" s="109">
        <v>118.4</v>
      </c>
      <c r="BI10" s="109">
        <v>151.30000000000001</v>
      </c>
      <c r="BJ10" s="109">
        <v>144.5</v>
      </c>
      <c r="BK10" s="109">
        <v>142.80000000000001</v>
      </c>
      <c r="BL10" s="109">
        <v>140.1</v>
      </c>
      <c r="BM10" s="109">
        <v>152.9</v>
      </c>
      <c r="BN10" s="109">
        <v>132.5</v>
      </c>
      <c r="BO10" s="109">
        <v>145.5</v>
      </c>
      <c r="BP10" s="109">
        <v>127.8</v>
      </c>
      <c r="BQ10" s="109">
        <v>115.9</v>
      </c>
      <c r="BR10" s="109">
        <v>132.9</v>
      </c>
      <c r="BS10" s="109">
        <v>150.30000000000001</v>
      </c>
      <c r="BT10" s="109">
        <v>151.6</v>
      </c>
      <c r="BU10" s="109">
        <v>127.2</v>
      </c>
      <c r="BV10" s="109"/>
      <c r="BW10" s="109"/>
      <c r="BX10" s="109">
        <v>133.30000000000001</v>
      </c>
      <c r="BY10" s="109">
        <v>145.30000000000001</v>
      </c>
      <c r="BZ10" s="109">
        <v>138.80000000000001</v>
      </c>
      <c r="CA10" s="109">
        <v>135.30000000000001</v>
      </c>
      <c r="CB10" s="109">
        <v>148.69999999999999</v>
      </c>
      <c r="CC10" s="109">
        <v>138</v>
      </c>
      <c r="CD10" s="109">
        <v>150.19999999999999</v>
      </c>
      <c r="CE10" s="109">
        <v>108.3</v>
      </c>
      <c r="CF10" s="109">
        <v>152.69999999999999</v>
      </c>
      <c r="CG10" s="109">
        <v>173.6</v>
      </c>
      <c r="CH10" s="109">
        <v>139.80000000000001</v>
      </c>
      <c r="CI10" s="109">
        <v>160.19999999999999</v>
      </c>
      <c r="CJ10" s="109">
        <v>150.4</v>
      </c>
      <c r="CK10" s="109">
        <v>156.80000000000001</v>
      </c>
      <c r="CL10" s="109">
        <v>114.9</v>
      </c>
      <c r="CM10" s="109">
        <v>127.3</v>
      </c>
      <c r="CN10" s="109">
        <v>122.2</v>
      </c>
      <c r="CO10" s="109">
        <v>141</v>
      </c>
      <c r="CP10" s="109">
        <v>143.9</v>
      </c>
      <c r="CQ10" s="109">
        <v>148.1</v>
      </c>
      <c r="CR10" s="109">
        <v>114.1</v>
      </c>
      <c r="CS10" s="109">
        <v>154.30000000000001</v>
      </c>
      <c r="CT10" s="109">
        <v>132</v>
      </c>
      <c r="CU10" s="109">
        <v>132.1</v>
      </c>
      <c r="CV10" s="109">
        <v>132.9</v>
      </c>
      <c r="CW10" s="109">
        <v>132.80000000000001</v>
      </c>
      <c r="CX10" s="109">
        <v>145.80000000000001</v>
      </c>
    </row>
    <row r="11" spans="1:102" x14ac:dyDescent="0.25">
      <c r="A11" s="106">
        <v>2002</v>
      </c>
      <c r="B11" s="109">
        <v>154.30000000000001</v>
      </c>
      <c r="C11" s="109">
        <v>132.30000000000001</v>
      </c>
      <c r="D11" s="109">
        <v>158.69999999999999</v>
      </c>
      <c r="E11" s="109">
        <v>129.4</v>
      </c>
      <c r="F11" s="109">
        <v>151.5</v>
      </c>
      <c r="G11" s="109">
        <v>177.8</v>
      </c>
      <c r="H11" s="109">
        <v>176.7</v>
      </c>
      <c r="I11" s="109">
        <v>171</v>
      </c>
      <c r="J11" s="109">
        <v>184.1</v>
      </c>
      <c r="K11" s="109">
        <v>183.1</v>
      </c>
      <c r="L11" s="109">
        <v>159.19999999999999</v>
      </c>
      <c r="M11" s="109">
        <v>175.1</v>
      </c>
      <c r="N11" s="109">
        <v>166.8</v>
      </c>
      <c r="O11" s="109">
        <v>159.19999999999999</v>
      </c>
      <c r="P11" s="109">
        <v>135</v>
      </c>
      <c r="Q11" s="109">
        <v>187</v>
      </c>
      <c r="R11" s="109">
        <v>168.5</v>
      </c>
      <c r="S11" s="109">
        <v>161.9</v>
      </c>
      <c r="T11" s="109">
        <v>172.6</v>
      </c>
      <c r="U11" s="109">
        <v>131.5</v>
      </c>
      <c r="V11" s="109">
        <v>143.6</v>
      </c>
      <c r="W11" s="109">
        <v>172.5</v>
      </c>
      <c r="X11" s="109">
        <v>176.9</v>
      </c>
      <c r="Y11" s="109">
        <v>161.30000000000001</v>
      </c>
      <c r="Z11" s="109">
        <v>154.19999999999999</v>
      </c>
      <c r="AA11" s="109">
        <v>155.4</v>
      </c>
      <c r="AB11" s="109">
        <v>132.1</v>
      </c>
      <c r="AC11" s="109">
        <v>183</v>
      </c>
      <c r="AD11" s="109">
        <v>161.6</v>
      </c>
      <c r="AE11" s="109">
        <v>144.5</v>
      </c>
      <c r="AF11" s="109">
        <v>173.7</v>
      </c>
      <c r="AG11" s="109">
        <v>153.69999999999999</v>
      </c>
      <c r="AH11" s="109">
        <v>175.6</v>
      </c>
      <c r="AI11" s="109">
        <v>172.2</v>
      </c>
      <c r="AJ11" s="109">
        <v>171.3</v>
      </c>
      <c r="AK11" s="109">
        <v>96.6</v>
      </c>
      <c r="AL11" s="109">
        <v>165.2</v>
      </c>
      <c r="AM11" s="109">
        <v>181.5</v>
      </c>
      <c r="AN11" s="109">
        <v>149</v>
      </c>
      <c r="AO11" s="109">
        <v>182.6</v>
      </c>
      <c r="AP11" s="109">
        <v>167.9</v>
      </c>
      <c r="AQ11" s="109">
        <v>177.6</v>
      </c>
      <c r="AR11" s="109">
        <v>155.1</v>
      </c>
      <c r="AS11" s="109">
        <v>157.1</v>
      </c>
      <c r="AT11" s="109">
        <v>164.6</v>
      </c>
      <c r="AU11" s="109">
        <v>172.6</v>
      </c>
      <c r="AV11" s="109">
        <v>166.2</v>
      </c>
      <c r="AW11" s="109">
        <v>175.7</v>
      </c>
      <c r="AX11" s="109">
        <v>164.7</v>
      </c>
      <c r="AY11" s="109">
        <v>183.4</v>
      </c>
      <c r="AZ11" s="109">
        <v>134.9</v>
      </c>
      <c r="BA11" s="109">
        <v>177.1</v>
      </c>
      <c r="BB11" s="109">
        <v>173</v>
      </c>
      <c r="BC11" s="109">
        <v>160.80000000000001</v>
      </c>
      <c r="BD11" s="109">
        <v>163.30000000000001</v>
      </c>
      <c r="BE11" s="109">
        <v>140.80000000000001</v>
      </c>
      <c r="BF11" s="109">
        <v>176.6</v>
      </c>
      <c r="BG11" s="109">
        <v>156.9</v>
      </c>
      <c r="BH11" s="109">
        <v>140.9</v>
      </c>
      <c r="BI11" s="109">
        <v>152.9</v>
      </c>
      <c r="BJ11" s="109">
        <v>150.4</v>
      </c>
      <c r="BK11" s="109">
        <v>168.8</v>
      </c>
      <c r="BL11" s="109">
        <v>162.19999999999999</v>
      </c>
      <c r="BM11" s="109">
        <v>184</v>
      </c>
      <c r="BN11" s="109">
        <v>110.3</v>
      </c>
      <c r="BO11" s="109">
        <v>177.5</v>
      </c>
      <c r="BP11" s="109">
        <v>138</v>
      </c>
      <c r="BQ11" s="109">
        <v>158</v>
      </c>
      <c r="BR11" s="109">
        <v>141.1</v>
      </c>
      <c r="BS11" s="109">
        <v>170.9</v>
      </c>
      <c r="BT11" s="109">
        <v>151.69999999999999</v>
      </c>
      <c r="BU11" s="109">
        <v>148.6</v>
      </c>
      <c r="BV11" s="109"/>
      <c r="BW11" s="109"/>
      <c r="BX11" s="109">
        <v>100</v>
      </c>
      <c r="BY11" s="109">
        <v>158.5</v>
      </c>
      <c r="BZ11" s="109">
        <v>163.5</v>
      </c>
      <c r="CA11" s="109">
        <v>167.6</v>
      </c>
      <c r="CB11" s="109">
        <v>175.7</v>
      </c>
      <c r="CC11" s="109">
        <v>140</v>
      </c>
      <c r="CD11" s="109">
        <v>176.5</v>
      </c>
      <c r="CE11" s="109">
        <v>128.6</v>
      </c>
      <c r="CF11" s="109">
        <v>166.2</v>
      </c>
      <c r="CG11" s="109">
        <v>195.3</v>
      </c>
      <c r="CH11" s="109">
        <v>147.1</v>
      </c>
      <c r="CI11" s="109">
        <v>165.7</v>
      </c>
      <c r="CJ11" s="109">
        <v>177.1</v>
      </c>
      <c r="CK11" s="109">
        <v>186.8</v>
      </c>
      <c r="CL11" s="109">
        <v>126.6</v>
      </c>
      <c r="CM11" s="109">
        <v>142.19999999999999</v>
      </c>
      <c r="CN11" s="109">
        <v>125.6</v>
      </c>
      <c r="CO11" s="109">
        <v>135.5</v>
      </c>
      <c r="CP11" s="109">
        <v>151.1</v>
      </c>
      <c r="CQ11" s="109">
        <v>167.4</v>
      </c>
      <c r="CR11" s="109">
        <v>140.9</v>
      </c>
      <c r="CS11" s="109">
        <v>181.6</v>
      </c>
      <c r="CT11" s="109">
        <v>164.7</v>
      </c>
      <c r="CU11" s="109">
        <v>166.9</v>
      </c>
      <c r="CV11" s="109">
        <v>149.4</v>
      </c>
      <c r="CW11" s="109">
        <v>167.1</v>
      </c>
      <c r="CX11" s="109">
        <v>172.5</v>
      </c>
    </row>
    <row r="12" spans="1:102" x14ac:dyDescent="0.25">
      <c r="A12" s="106">
        <v>2003</v>
      </c>
      <c r="B12" s="109">
        <v>131.30000000000001</v>
      </c>
      <c r="C12" s="109">
        <v>122.2</v>
      </c>
      <c r="D12" s="109">
        <v>142.69999999999999</v>
      </c>
      <c r="E12" s="109">
        <v>125.7</v>
      </c>
      <c r="F12" s="109">
        <v>137.4</v>
      </c>
      <c r="G12" s="109">
        <v>168</v>
      </c>
      <c r="H12" s="109">
        <v>151.30000000000001</v>
      </c>
      <c r="I12" s="109">
        <v>170.4</v>
      </c>
      <c r="J12" s="109">
        <v>152.69999999999999</v>
      </c>
      <c r="K12" s="109">
        <v>159.4</v>
      </c>
      <c r="L12" s="109">
        <v>160</v>
      </c>
      <c r="M12" s="109">
        <v>160.1</v>
      </c>
      <c r="N12" s="109">
        <v>160</v>
      </c>
      <c r="O12" s="109">
        <v>161.80000000000001</v>
      </c>
      <c r="P12" s="109">
        <v>133.19999999999999</v>
      </c>
      <c r="Q12" s="109">
        <v>180.1</v>
      </c>
      <c r="R12" s="109">
        <v>161.5</v>
      </c>
      <c r="S12" s="109">
        <v>165.2</v>
      </c>
      <c r="T12" s="109">
        <v>146.6</v>
      </c>
      <c r="U12" s="109">
        <v>114.2</v>
      </c>
      <c r="V12" s="109">
        <v>160.1</v>
      </c>
      <c r="W12" s="109">
        <v>160.6</v>
      </c>
      <c r="X12" s="109">
        <v>172.8</v>
      </c>
      <c r="Y12" s="109">
        <v>152</v>
      </c>
      <c r="Z12" s="109">
        <v>147.6</v>
      </c>
      <c r="AA12" s="109">
        <v>125.7</v>
      </c>
      <c r="AB12" s="109">
        <v>128.80000000000001</v>
      </c>
      <c r="AC12" s="109">
        <v>158.9</v>
      </c>
      <c r="AD12" s="109">
        <v>154.4</v>
      </c>
      <c r="AE12" s="109">
        <v>160.6</v>
      </c>
      <c r="AF12" s="109">
        <v>157.1</v>
      </c>
      <c r="AG12" s="109">
        <v>165.9</v>
      </c>
      <c r="AH12" s="109">
        <v>153.30000000000001</v>
      </c>
      <c r="AI12" s="109">
        <v>153.1</v>
      </c>
      <c r="AJ12" s="109">
        <v>168.6</v>
      </c>
      <c r="AK12" s="109">
        <v>132.9</v>
      </c>
      <c r="AL12" s="109">
        <v>169.3</v>
      </c>
      <c r="AM12" s="109">
        <v>172.6</v>
      </c>
      <c r="AN12" s="109">
        <v>135.9</v>
      </c>
      <c r="AO12" s="109">
        <v>166.9</v>
      </c>
      <c r="AP12" s="109">
        <v>169.1</v>
      </c>
      <c r="AQ12" s="109">
        <v>169.5</v>
      </c>
      <c r="AR12" s="109">
        <v>150.5</v>
      </c>
      <c r="AS12" s="109">
        <v>160.69999999999999</v>
      </c>
      <c r="AT12" s="109">
        <v>151.4</v>
      </c>
      <c r="AU12" s="109">
        <v>169.2</v>
      </c>
      <c r="AV12" s="109">
        <v>165.9</v>
      </c>
      <c r="AW12" s="109">
        <v>168.9</v>
      </c>
      <c r="AX12" s="109">
        <v>155.19999999999999</v>
      </c>
      <c r="AY12" s="109">
        <v>171.5</v>
      </c>
      <c r="AZ12" s="109">
        <v>146.9</v>
      </c>
      <c r="BA12" s="109">
        <v>160.4</v>
      </c>
      <c r="BB12" s="109">
        <v>164</v>
      </c>
      <c r="BC12" s="109">
        <v>155.19999999999999</v>
      </c>
      <c r="BD12" s="109">
        <v>170.7</v>
      </c>
      <c r="BE12" s="109">
        <v>150.1</v>
      </c>
      <c r="BF12" s="109">
        <v>162.5</v>
      </c>
      <c r="BG12" s="109">
        <v>156.30000000000001</v>
      </c>
      <c r="BH12" s="109">
        <v>119.1</v>
      </c>
      <c r="BI12" s="109">
        <v>158.30000000000001</v>
      </c>
      <c r="BJ12" s="109">
        <v>134.69999999999999</v>
      </c>
      <c r="BK12" s="109">
        <v>162.19999999999999</v>
      </c>
      <c r="BL12" s="109">
        <v>147.5</v>
      </c>
      <c r="BM12" s="109">
        <v>179.6</v>
      </c>
      <c r="BN12" s="109">
        <v>131.6</v>
      </c>
      <c r="BO12" s="109">
        <v>156.30000000000001</v>
      </c>
      <c r="BP12" s="109">
        <v>141.9</v>
      </c>
      <c r="BQ12" s="109">
        <v>129.6</v>
      </c>
      <c r="BR12" s="109">
        <v>129.5</v>
      </c>
      <c r="BS12" s="109">
        <v>168</v>
      </c>
      <c r="BT12" s="109">
        <v>169</v>
      </c>
      <c r="BU12" s="109">
        <v>155.80000000000001</v>
      </c>
      <c r="BV12" s="109"/>
      <c r="BW12" s="109"/>
      <c r="BX12" s="109">
        <v>126.3</v>
      </c>
      <c r="BY12" s="109">
        <v>165.6</v>
      </c>
      <c r="BZ12" s="109">
        <v>158.69999999999999</v>
      </c>
      <c r="CA12" s="109">
        <v>168.1</v>
      </c>
      <c r="CB12" s="109">
        <v>165.3</v>
      </c>
      <c r="CC12" s="109">
        <v>127</v>
      </c>
      <c r="CD12" s="109">
        <v>172.9</v>
      </c>
      <c r="CE12" s="109">
        <v>104.8</v>
      </c>
      <c r="CF12" s="109">
        <v>155.5</v>
      </c>
      <c r="CG12" s="109">
        <v>180.9</v>
      </c>
      <c r="CH12" s="109">
        <v>134.4</v>
      </c>
      <c r="CI12" s="109">
        <v>169.7</v>
      </c>
      <c r="CJ12" s="109">
        <v>164.5</v>
      </c>
      <c r="CK12" s="109">
        <v>156.19999999999999</v>
      </c>
      <c r="CL12" s="109">
        <v>116.4</v>
      </c>
      <c r="CM12" s="109">
        <v>106.7</v>
      </c>
      <c r="CN12" s="109">
        <v>141.9</v>
      </c>
      <c r="CO12" s="109">
        <v>128.19999999999999</v>
      </c>
      <c r="CP12" s="109">
        <v>135.80000000000001</v>
      </c>
      <c r="CQ12" s="109">
        <v>161.5</v>
      </c>
      <c r="CR12" s="109">
        <v>130.4</v>
      </c>
      <c r="CS12" s="109">
        <v>174.5</v>
      </c>
      <c r="CT12" s="109">
        <v>162.1</v>
      </c>
      <c r="CU12" s="109">
        <v>146.69999999999999</v>
      </c>
      <c r="CV12" s="109">
        <v>153.4</v>
      </c>
      <c r="CW12" s="109">
        <v>157.4</v>
      </c>
      <c r="CX12" s="109">
        <v>165.6</v>
      </c>
    </row>
    <row r="13" spans="1:102" x14ac:dyDescent="0.25">
      <c r="A13" s="106">
        <v>2004</v>
      </c>
      <c r="B13" s="109">
        <v>182.1</v>
      </c>
      <c r="C13" s="109">
        <v>169.3</v>
      </c>
      <c r="D13" s="109">
        <v>163.30000000000001</v>
      </c>
      <c r="E13" s="109">
        <v>171.9</v>
      </c>
      <c r="F13" s="109">
        <v>179.6</v>
      </c>
      <c r="G13" s="109">
        <v>171.8</v>
      </c>
      <c r="H13" s="109">
        <v>178.1</v>
      </c>
      <c r="I13" s="109">
        <v>192.2</v>
      </c>
      <c r="J13" s="109">
        <v>184.5</v>
      </c>
      <c r="K13" s="109">
        <v>163</v>
      </c>
      <c r="L13" s="109">
        <v>192.5</v>
      </c>
      <c r="M13" s="109">
        <v>187.9</v>
      </c>
      <c r="N13" s="109">
        <v>184.2</v>
      </c>
      <c r="O13" s="109">
        <v>193.5</v>
      </c>
      <c r="P13" s="109">
        <v>192.3</v>
      </c>
      <c r="Q13" s="109">
        <v>188.8</v>
      </c>
      <c r="R13" s="109">
        <v>168.2</v>
      </c>
      <c r="S13" s="109">
        <v>187.1</v>
      </c>
      <c r="T13" s="109">
        <v>175</v>
      </c>
      <c r="U13" s="109">
        <v>157.1</v>
      </c>
      <c r="V13" s="109">
        <v>183.4</v>
      </c>
      <c r="W13" s="109">
        <v>176.3</v>
      </c>
      <c r="X13" s="109">
        <v>173.1</v>
      </c>
      <c r="Y13" s="109">
        <v>175.6</v>
      </c>
      <c r="Z13" s="109">
        <v>189.6</v>
      </c>
      <c r="AA13" s="109">
        <v>180.3</v>
      </c>
      <c r="AB13" s="109">
        <v>175.5</v>
      </c>
      <c r="AC13" s="109">
        <v>176.6</v>
      </c>
      <c r="AD13" s="109">
        <v>189.9</v>
      </c>
      <c r="AE13" s="109">
        <v>188.8</v>
      </c>
      <c r="AF13" s="109">
        <v>183</v>
      </c>
      <c r="AG13" s="109">
        <v>181.8</v>
      </c>
      <c r="AH13" s="109">
        <v>166.7</v>
      </c>
      <c r="AI13" s="109">
        <v>177.4</v>
      </c>
      <c r="AJ13" s="109">
        <v>190.5</v>
      </c>
      <c r="AK13" s="109">
        <v>188.4</v>
      </c>
      <c r="AL13" s="109">
        <v>186.7</v>
      </c>
      <c r="AM13" s="109">
        <v>190.6</v>
      </c>
      <c r="AN13" s="109">
        <v>172.9</v>
      </c>
      <c r="AO13" s="109">
        <v>181.4</v>
      </c>
      <c r="AP13" s="109">
        <v>176.5</v>
      </c>
      <c r="AQ13" s="109">
        <v>194</v>
      </c>
      <c r="AR13" s="109">
        <v>177.3</v>
      </c>
      <c r="AS13" s="109">
        <v>182.2</v>
      </c>
      <c r="AT13" s="109">
        <v>160.80000000000001</v>
      </c>
      <c r="AU13" s="109">
        <v>190.2</v>
      </c>
      <c r="AV13" s="109">
        <v>185</v>
      </c>
      <c r="AW13" s="109">
        <v>185.8</v>
      </c>
      <c r="AX13" s="109">
        <v>169.6</v>
      </c>
      <c r="AY13" s="109">
        <v>194.2</v>
      </c>
      <c r="AZ13" s="109">
        <v>173.1</v>
      </c>
      <c r="BA13" s="109">
        <v>173.8</v>
      </c>
      <c r="BB13" s="109">
        <v>168.3</v>
      </c>
      <c r="BC13" s="109">
        <v>190.5</v>
      </c>
      <c r="BD13" s="109">
        <v>178.4</v>
      </c>
      <c r="BE13" s="109">
        <v>180</v>
      </c>
      <c r="BF13" s="109">
        <v>172.4</v>
      </c>
      <c r="BG13" s="109">
        <v>179.1</v>
      </c>
      <c r="BH13" s="109">
        <v>154.80000000000001</v>
      </c>
      <c r="BI13" s="109">
        <v>185.9</v>
      </c>
      <c r="BJ13" s="109">
        <v>175.6</v>
      </c>
      <c r="BK13" s="109">
        <v>192.7</v>
      </c>
      <c r="BL13" s="109">
        <v>170.3</v>
      </c>
      <c r="BM13" s="109">
        <v>185.1</v>
      </c>
      <c r="BN13" s="109">
        <v>184.8</v>
      </c>
      <c r="BO13" s="109">
        <v>175.3</v>
      </c>
      <c r="BP13" s="109">
        <v>169.8</v>
      </c>
      <c r="BQ13" s="109">
        <v>171.3</v>
      </c>
      <c r="BR13" s="109">
        <v>183.3</v>
      </c>
      <c r="BS13" s="109">
        <v>180</v>
      </c>
      <c r="BT13" s="109">
        <v>182.3</v>
      </c>
      <c r="BU13" s="109">
        <v>187.3</v>
      </c>
      <c r="BV13" s="109"/>
      <c r="BW13" s="109"/>
      <c r="BX13" s="109">
        <v>179.9</v>
      </c>
      <c r="BY13" s="109">
        <v>182.9</v>
      </c>
      <c r="BZ13" s="109">
        <v>185.6</v>
      </c>
      <c r="CA13" s="109">
        <v>195.5</v>
      </c>
      <c r="CB13" s="109">
        <v>183.4</v>
      </c>
      <c r="CC13" s="109">
        <v>189.7</v>
      </c>
      <c r="CD13" s="109">
        <v>186.2</v>
      </c>
      <c r="CE13" s="109">
        <v>153</v>
      </c>
      <c r="CF13" s="109">
        <v>184.3</v>
      </c>
      <c r="CG13" s="109">
        <v>191.9</v>
      </c>
      <c r="CH13" s="109">
        <v>177.1</v>
      </c>
      <c r="CI13" s="109">
        <v>187.6</v>
      </c>
      <c r="CJ13" s="109">
        <v>188.1</v>
      </c>
      <c r="CK13" s="109">
        <v>186.5</v>
      </c>
      <c r="CL13" s="109">
        <v>157.9</v>
      </c>
      <c r="CM13" s="109">
        <v>160.4</v>
      </c>
      <c r="CN13" s="109">
        <v>175.4</v>
      </c>
      <c r="CO13" s="109">
        <v>183.3</v>
      </c>
      <c r="CP13" s="109">
        <v>167.6</v>
      </c>
      <c r="CQ13" s="109">
        <v>181.9</v>
      </c>
      <c r="CR13" s="109">
        <v>156.80000000000001</v>
      </c>
      <c r="CS13" s="109">
        <v>192.3</v>
      </c>
      <c r="CT13" s="109">
        <v>178.8</v>
      </c>
      <c r="CU13" s="109">
        <v>169.9</v>
      </c>
      <c r="CV13" s="109">
        <v>166.1</v>
      </c>
      <c r="CW13" s="109">
        <v>170.2</v>
      </c>
      <c r="CX13" s="109">
        <v>186.5</v>
      </c>
    </row>
    <row r="14" spans="1:102" x14ac:dyDescent="0.25">
      <c r="A14" s="106">
        <v>2005</v>
      </c>
      <c r="B14" s="109">
        <v>159</v>
      </c>
      <c r="C14" s="109">
        <v>157.1</v>
      </c>
      <c r="D14" s="109">
        <v>177.4</v>
      </c>
      <c r="E14" s="109">
        <v>150</v>
      </c>
      <c r="F14" s="109">
        <v>172.1</v>
      </c>
      <c r="G14" s="109">
        <v>170</v>
      </c>
      <c r="H14" s="109">
        <v>180.7</v>
      </c>
      <c r="I14" s="109">
        <v>192.4</v>
      </c>
      <c r="J14" s="109">
        <v>193</v>
      </c>
      <c r="K14" s="109">
        <v>178.7</v>
      </c>
      <c r="L14" s="109">
        <v>185.3</v>
      </c>
      <c r="M14" s="109">
        <v>185.6</v>
      </c>
      <c r="N14" s="109">
        <v>182.5</v>
      </c>
      <c r="O14" s="109">
        <v>177</v>
      </c>
      <c r="P14" s="109">
        <v>168.2</v>
      </c>
      <c r="Q14" s="109">
        <v>144.4</v>
      </c>
      <c r="R14" s="109">
        <v>184</v>
      </c>
      <c r="S14" s="109">
        <v>185.5</v>
      </c>
      <c r="T14" s="109">
        <v>187.2</v>
      </c>
      <c r="U14" s="109">
        <v>146.30000000000001</v>
      </c>
      <c r="V14" s="109">
        <v>183.1</v>
      </c>
      <c r="W14" s="109">
        <v>180.9</v>
      </c>
      <c r="X14" s="109">
        <v>116.8</v>
      </c>
      <c r="Y14" s="109">
        <v>179.2</v>
      </c>
      <c r="Z14" s="109">
        <v>181.7</v>
      </c>
      <c r="AA14" s="109">
        <v>115</v>
      </c>
      <c r="AB14" s="109">
        <v>163.9</v>
      </c>
      <c r="AC14" s="109">
        <v>177.1</v>
      </c>
      <c r="AD14" s="109">
        <v>154.5</v>
      </c>
      <c r="AE14" s="109">
        <v>170.4</v>
      </c>
      <c r="AF14" s="109">
        <v>183</v>
      </c>
      <c r="AG14" s="109">
        <v>182.7</v>
      </c>
      <c r="AH14" s="109">
        <v>189.8</v>
      </c>
      <c r="AI14" s="109">
        <v>184.2</v>
      </c>
      <c r="AJ14" s="109">
        <v>185.2</v>
      </c>
      <c r="AK14" s="109">
        <v>161.30000000000001</v>
      </c>
      <c r="AL14" s="109">
        <v>185.3</v>
      </c>
      <c r="AM14" s="109">
        <v>189.9</v>
      </c>
      <c r="AN14" s="109">
        <v>161.19999999999999</v>
      </c>
      <c r="AO14" s="109">
        <v>189</v>
      </c>
      <c r="AP14" s="109">
        <v>182.3</v>
      </c>
      <c r="AQ14" s="109">
        <v>188.6</v>
      </c>
      <c r="AR14" s="109">
        <v>155</v>
      </c>
      <c r="AS14" s="109">
        <v>153</v>
      </c>
      <c r="AT14" s="109">
        <v>183.8</v>
      </c>
      <c r="AU14" s="109">
        <v>188.2</v>
      </c>
      <c r="AV14" s="109">
        <v>177</v>
      </c>
      <c r="AW14" s="109">
        <v>147.30000000000001</v>
      </c>
      <c r="AX14" s="109">
        <v>124.2</v>
      </c>
      <c r="AY14" s="109">
        <v>188.5</v>
      </c>
      <c r="AZ14" s="109">
        <v>143.6</v>
      </c>
      <c r="BA14" s="109">
        <v>135.80000000000001</v>
      </c>
      <c r="BB14" s="109">
        <v>148.30000000000001</v>
      </c>
      <c r="BC14" s="109">
        <v>135</v>
      </c>
      <c r="BD14" s="109">
        <v>187.5</v>
      </c>
      <c r="BE14" s="109">
        <v>129.4</v>
      </c>
      <c r="BF14" s="109">
        <v>152</v>
      </c>
      <c r="BG14" s="109">
        <v>133.5</v>
      </c>
      <c r="BH14" s="109">
        <v>154.80000000000001</v>
      </c>
      <c r="BI14" s="109">
        <v>185.2</v>
      </c>
      <c r="BJ14" s="109">
        <v>154.9</v>
      </c>
      <c r="BK14" s="109">
        <v>160.5</v>
      </c>
      <c r="BL14" s="109">
        <v>159.9</v>
      </c>
      <c r="BM14" s="109">
        <v>191.9</v>
      </c>
      <c r="BN14" s="109">
        <v>163.69999999999999</v>
      </c>
      <c r="BO14" s="109">
        <v>186.6</v>
      </c>
      <c r="BP14" s="109">
        <v>157.1</v>
      </c>
      <c r="BQ14" s="109">
        <v>154.30000000000001</v>
      </c>
      <c r="BR14" s="109">
        <v>158.1</v>
      </c>
      <c r="BS14" s="109">
        <v>135.30000000000001</v>
      </c>
      <c r="BT14" s="109">
        <v>185</v>
      </c>
      <c r="BU14" s="109">
        <v>185.8</v>
      </c>
      <c r="BV14" s="109"/>
      <c r="BW14" s="109"/>
      <c r="BX14" s="109">
        <v>164.7</v>
      </c>
      <c r="BY14" s="109">
        <v>186.5</v>
      </c>
      <c r="BZ14" s="109">
        <v>171.8</v>
      </c>
      <c r="CA14" s="109">
        <v>183.3</v>
      </c>
      <c r="CB14" s="109">
        <v>174.7</v>
      </c>
      <c r="CC14" s="109">
        <v>171.1</v>
      </c>
      <c r="CD14" s="109">
        <v>176.4</v>
      </c>
      <c r="CE14" s="109">
        <v>153.80000000000001</v>
      </c>
      <c r="CF14" s="109">
        <v>185.8</v>
      </c>
      <c r="CG14" s="109">
        <v>148.9</v>
      </c>
      <c r="CH14" s="109">
        <v>171.7</v>
      </c>
      <c r="CI14" s="109">
        <v>185.3</v>
      </c>
      <c r="CJ14" s="109">
        <v>187.6</v>
      </c>
      <c r="CK14" s="109">
        <v>181.4</v>
      </c>
      <c r="CL14" s="109">
        <v>156.80000000000001</v>
      </c>
      <c r="CM14" s="109">
        <v>157.19999999999999</v>
      </c>
      <c r="CN14" s="109">
        <v>124</v>
      </c>
      <c r="CO14" s="109">
        <v>136.1</v>
      </c>
      <c r="CP14" s="109">
        <v>157.1</v>
      </c>
      <c r="CQ14" s="109">
        <v>153</v>
      </c>
      <c r="CR14" s="109">
        <v>157</v>
      </c>
      <c r="CS14" s="109">
        <v>190.1</v>
      </c>
      <c r="CT14" s="109">
        <v>189.6</v>
      </c>
      <c r="CU14" s="109">
        <v>186.4</v>
      </c>
      <c r="CV14" s="109">
        <v>172.2</v>
      </c>
      <c r="CW14" s="109">
        <v>187.9</v>
      </c>
      <c r="CX14" s="109">
        <v>183</v>
      </c>
    </row>
    <row r="15" spans="1:102" x14ac:dyDescent="0.25">
      <c r="A15" s="106">
        <v>2006</v>
      </c>
      <c r="B15" s="109">
        <v>164.9</v>
      </c>
      <c r="C15" s="109">
        <v>145.4</v>
      </c>
      <c r="D15" s="109">
        <v>166.2</v>
      </c>
      <c r="E15" s="109">
        <v>157.69999999999999</v>
      </c>
      <c r="F15" s="109">
        <v>173.9</v>
      </c>
      <c r="G15" s="109">
        <v>171.4</v>
      </c>
      <c r="H15" s="109">
        <v>185.5</v>
      </c>
      <c r="I15" s="109">
        <v>172.7</v>
      </c>
      <c r="J15" s="109">
        <v>183.1</v>
      </c>
      <c r="K15" s="109">
        <v>180.8</v>
      </c>
      <c r="L15" s="109">
        <v>143.30000000000001</v>
      </c>
      <c r="M15" s="109">
        <v>176.6</v>
      </c>
      <c r="N15" s="109">
        <v>165.5</v>
      </c>
      <c r="O15" s="109">
        <v>162.5</v>
      </c>
      <c r="P15" s="109">
        <v>170.8</v>
      </c>
      <c r="Q15" s="109">
        <v>181.6</v>
      </c>
      <c r="R15" s="109">
        <v>169.1</v>
      </c>
      <c r="S15" s="109">
        <v>144.4</v>
      </c>
      <c r="T15" s="109">
        <v>174.6</v>
      </c>
      <c r="U15" s="109">
        <v>147</v>
      </c>
      <c r="V15" s="109">
        <v>159.6</v>
      </c>
      <c r="W15" s="109">
        <v>173.2</v>
      </c>
      <c r="X15" s="109">
        <v>173.8</v>
      </c>
      <c r="Y15" s="109">
        <v>138.69999999999999</v>
      </c>
      <c r="Z15" s="109">
        <v>164.3</v>
      </c>
      <c r="AA15" s="109">
        <v>161.5</v>
      </c>
      <c r="AB15" s="109">
        <v>157.5</v>
      </c>
      <c r="AC15" s="109">
        <v>180.5</v>
      </c>
      <c r="AD15" s="109">
        <v>159.19999999999999</v>
      </c>
      <c r="AE15" s="109">
        <v>159</v>
      </c>
      <c r="AF15" s="109">
        <v>182.6</v>
      </c>
      <c r="AG15" s="109">
        <v>165.9</v>
      </c>
      <c r="AH15" s="109">
        <v>173.9</v>
      </c>
      <c r="AI15" s="109">
        <v>165</v>
      </c>
      <c r="AJ15" s="109">
        <v>177.6</v>
      </c>
      <c r="AK15" s="109">
        <v>146.30000000000001</v>
      </c>
      <c r="AL15" s="109">
        <v>170.6</v>
      </c>
      <c r="AM15" s="109">
        <v>176.8</v>
      </c>
      <c r="AN15" s="109">
        <v>159.19999999999999</v>
      </c>
      <c r="AO15" s="109">
        <v>184.7</v>
      </c>
      <c r="AP15" s="109">
        <v>175.9</v>
      </c>
      <c r="AQ15" s="109">
        <v>183.5</v>
      </c>
      <c r="AR15" s="109">
        <v>142.1</v>
      </c>
      <c r="AS15" s="109">
        <v>167.9</v>
      </c>
      <c r="AT15" s="109">
        <v>165.3</v>
      </c>
      <c r="AU15" s="109">
        <v>181.3</v>
      </c>
      <c r="AV15" s="109">
        <v>125.5</v>
      </c>
      <c r="AW15" s="109">
        <v>178.1</v>
      </c>
      <c r="AX15" s="109">
        <v>166.5</v>
      </c>
      <c r="AY15" s="109">
        <v>173.9</v>
      </c>
      <c r="AZ15" s="109">
        <v>170.7</v>
      </c>
      <c r="BA15" s="109">
        <v>171.8</v>
      </c>
      <c r="BB15" s="109">
        <v>175.5</v>
      </c>
      <c r="BC15" s="109">
        <v>166.6</v>
      </c>
      <c r="BD15" s="109">
        <v>177.2</v>
      </c>
      <c r="BE15" s="109">
        <v>144.1</v>
      </c>
      <c r="BF15" s="109">
        <v>176.2</v>
      </c>
      <c r="BG15" s="109">
        <v>170.1</v>
      </c>
      <c r="BH15" s="109">
        <v>137.80000000000001</v>
      </c>
      <c r="BI15" s="109">
        <v>163.9</v>
      </c>
      <c r="BJ15" s="109">
        <v>158.4</v>
      </c>
      <c r="BK15" s="109">
        <v>166</v>
      </c>
      <c r="BL15" s="109">
        <v>156.30000000000001</v>
      </c>
      <c r="BM15" s="109">
        <v>184.3</v>
      </c>
      <c r="BN15" s="109">
        <v>159.5</v>
      </c>
      <c r="BO15" s="109">
        <v>170.5</v>
      </c>
      <c r="BP15" s="109">
        <v>109.3</v>
      </c>
      <c r="BQ15" s="109">
        <v>137</v>
      </c>
      <c r="BR15" s="109">
        <v>163.9</v>
      </c>
      <c r="BS15" s="109">
        <v>166.4</v>
      </c>
      <c r="BT15" s="109">
        <v>166</v>
      </c>
      <c r="BU15" s="109">
        <v>165.4</v>
      </c>
      <c r="BV15" s="109"/>
      <c r="BW15" s="109"/>
      <c r="BX15" s="109">
        <v>152.5</v>
      </c>
      <c r="BY15" s="109">
        <v>163</v>
      </c>
      <c r="BZ15" s="109">
        <v>137.1</v>
      </c>
      <c r="CA15" s="109">
        <v>166.5</v>
      </c>
      <c r="CB15" s="109">
        <v>171.9</v>
      </c>
      <c r="CC15" s="109">
        <v>171.6</v>
      </c>
      <c r="CD15" s="109">
        <v>182.3</v>
      </c>
      <c r="CE15" s="109">
        <v>142.30000000000001</v>
      </c>
      <c r="CF15" s="109">
        <v>134</v>
      </c>
      <c r="CG15" s="109">
        <v>170.5</v>
      </c>
      <c r="CH15" s="109">
        <v>171.2</v>
      </c>
      <c r="CI15" s="109">
        <v>162.9</v>
      </c>
      <c r="CJ15" s="109">
        <v>184.1</v>
      </c>
      <c r="CK15" s="109">
        <v>172.7</v>
      </c>
      <c r="CL15" s="109">
        <v>142.4</v>
      </c>
      <c r="CM15" s="109">
        <v>153.6</v>
      </c>
      <c r="CN15" s="109">
        <v>157.80000000000001</v>
      </c>
      <c r="CO15" s="109">
        <v>164.9</v>
      </c>
      <c r="CP15" s="109">
        <v>164.9</v>
      </c>
      <c r="CQ15" s="109">
        <v>184.4</v>
      </c>
      <c r="CR15" s="109">
        <v>145</v>
      </c>
      <c r="CS15" s="109">
        <v>173.3</v>
      </c>
      <c r="CT15" s="109">
        <v>173.9</v>
      </c>
      <c r="CU15" s="109">
        <v>171.9</v>
      </c>
      <c r="CV15" s="109">
        <v>129.4</v>
      </c>
      <c r="CW15" s="109">
        <v>172.5</v>
      </c>
      <c r="CX15" s="109">
        <v>181.5</v>
      </c>
    </row>
    <row r="16" spans="1:102" x14ac:dyDescent="0.25">
      <c r="A16" s="106">
        <v>2007</v>
      </c>
      <c r="B16" s="109">
        <v>160.69999999999999</v>
      </c>
      <c r="C16" s="109">
        <v>153.4</v>
      </c>
      <c r="D16" s="109">
        <v>167.1</v>
      </c>
      <c r="E16" s="109">
        <v>152</v>
      </c>
      <c r="F16" s="109">
        <v>160.69999999999999</v>
      </c>
      <c r="G16" s="109">
        <v>180.2</v>
      </c>
      <c r="H16" s="109">
        <v>176.7</v>
      </c>
      <c r="I16" s="109">
        <v>182.2</v>
      </c>
      <c r="J16" s="109">
        <v>181.4</v>
      </c>
      <c r="K16" s="109">
        <v>173.9</v>
      </c>
      <c r="L16" s="109">
        <v>163</v>
      </c>
      <c r="M16" s="109">
        <v>176.2</v>
      </c>
      <c r="N16" s="109">
        <v>180.2</v>
      </c>
      <c r="O16" s="109">
        <v>169.3</v>
      </c>
      <c r="P16" s="109">
        <v>157.5</v>
      </c>
      <c r="Q16" s="109">
        <v>184.2</v>
      </c>
      <c r="R16" s="109">
        <v>173.2</v>
      </c>
      <c r="S16" s="109">
        <v>166.5</v>
      </c>
      <c r="T16" s="109">
        <v>168.8</v>
      </c>
      <c r="U16" s="109">
        <v>151.30000000000001</v>
      </c>
      <c r="V16" s="109">
        <v>163.6</v>
      </c>
      <c r="W16" s="109">
        <v>173.6</v>
      </c>
      <c r="X16" s="109">
        <v>182.7</v>
      </c>
      <c r="Y16" s="109">
        <v>165.5</v>
      </c>
      <c r="Z16" s="109">
        <v>167.5</v>
      </c>
      <c r="AA16" s="109">
        <v>157.4</v>
      </c>
      <c r="AB16" s="109">
        <v>155.5</v>
      </c>
      <c r="AC16" s="109">
        <v>179.8</v>
      </c>
      <c r="AD16" s="109">
        <v>198.5</v>
      </c>
      <c r="AE16" s="109">
        <v>165.8</v>
      </c>
      <c r="AF16" s="109">
        <v>182</v>
      </c>
      <c r="AG16" s="109">
        <v>175.7</v>
      </c>
      <c r="AH16" s="109">
        <v>171.3</v>
      </c>
      <c r="AI16" s="109">
        <v>170.1</v>
      </c>
      <c r="AJ16" s="109">
        <v>176.6</v>
      </c>
      <c r="AK16" s="109">
        <v>150.69999999999999</v>
      </c>
      <c r="AL16" s="109">
        <v>179.9</v>
      </c>
      <c r="AM16" s="109">
        <v>176</v>
      </c>
      <c r="AN16" s="109">
        <v>158.80000000000001</v>
      </c>
      <c r="AO16" s="109">
        <v>180.5</v>
      </c>
      <c r="AP16" s="109">
        <v>178.6</v>
      </c>
      <c r="AQ16" s="109">
        <v>177.3</v>
      </c>
      <c r="AR16" s="109">
        <v>161.80000000000001</v>
      </c>
      <c r="AS16" s="109">
        <v>181.5</v>
      </c>
      <c r="AT16" s="109">
        <v>169.8</v>
      </c>
      <c r="AU16" s="109">
        <v>177.5</v>
      </c>
      <c r="AV16" s="109">
        <v>169.4</v>
      </c>
      <c r="AW16" s="109">
        <v>178</v>
      </c>
      <c r="AX16" s="109">
        <v>169.4</v>
      </c>
      <c r="AY16" s="109">
        <v>180.9</v>
      </c>
      <c r="AZ16" s="109">
        <v>159.9</v>
      </c>
      <c r="BA16" s="109">
        <v>171.1</v>
      </c>
      <c r="BB16" s="109">
        <v>181.2</v>
      </c>
      <c r="BC16" s="109">
        <v>174.5</v>
      </c>
      <c r="BD16" s="109">
        <v>178.6</v>
      </c>
      <c r="BE16" s="109">
        <v>177.5</v>
      </c>
      <c r="BF16" s="109">
        <v>176.7</v>
      </c>
      <c r="BG16" s="109">
        <v>178</v>
      </c>
      <c r="BH16" s="109">
        <v>141.9</v>
      </c>
      <c r="BI16" s="109">
        <v>163.69999999999999</v>
      </c>
      <c r="BJ16" s="109">
        <v>162.6</v>
      </c>
      <c r="BK16" s="109">
        <v>179.9</v>
      </c>
      <c r="BL16" s="109">
        <v>165.9</v>
      </c>
      <c r="BM16" s="109">
        <v>185.9</v>
      </c>
      <c r="BN16" s="109">
        <v>147.4</v>
      </c>
      <c r="BO16" s="109">
        <v>174.2</v>
      </c>
      <c r="BP16" s="109">
        <v>149.30000000000001</v>
      </c>
      <c r="BQ16" s="109">
        <v>161.30000000000001</v>
      </c>
      <c r="BR16" s="109">
        <v>145.1</v>
      </c>
      <c r="BS16" s="109">
        <v>180.6</v>
      </c>
      <c r="BT16" s="109">
        <v>167.7</v>
      </c>
      <c r="BU16" s="109">
        <v>171.4</v>
      </c>
      <c r="BV16" s="109"/>
      <c r="BW16" s="109"/>
      <c r="BX16" s="109">
        <v>139.5</v>
      </c>
      <c r="BY16" s="109">
        <v>170.8</v>
      </c>
      <c r="BZ16" s="109">
        <v>150.80000000000001</v>
      </c>
      <c r="CA16" s="109">
        <v>167.1</v>
      </c>
      <c r="CB16" s="109">
        <v>177.8</v>
      </c>
      <c r="CC16" s="109">
        <v>162.4</v>
      </c>
      <c r="CD16" s="109">
        <v>182.6</v>
      </c>
      <c r="CE16" s="109">
        <v>140.5</v>
      </c>
      <c r="CF16" s="109">
        <v>173.9</v>
      </c>
      <c r="CG16" s="109">
        <v>182.2</v>
      </c>
      <c r="CH16" s="109">
        <v>167.3</v>
      </c>
      <c r="CI16" s="109">
        <v>156.9</v>
      </c>
      <c r="CJ16" s="109">
        <v>180.7</v>
      </c>
      <c r="CK16" s="109">
        <v>174.8</v>
      </c>
      <c r="CL16" s="109">
        <v>137.6</v>
      </c>
      <c r="CM16" s="109">
        <v>154.1</v>
      </c>
      <c r="CN16" s="109">
        <v>165.8</v>
      </c>
      <c r="CO16" s="109">
        <v>167.1</v>
      </c>
      <c r="CP16" s="109">
        <v>157.4</v>
      </c>
      <c r="CQ16" s="109">
        <v>174.1</v>
      </c>
      <c r="CR16" s="109">
        <v>150.19999999999999</v>
      </c>
      <c r="CS16" s="109">
        <v>182.6</v>
      </c>
      <c r="CT16" s="109">
        <v>186.1</v>
      </c>
      <c r="CU16" s="109">
        <v>174</v>
      </c>
      <c r="CV16" s="109">
        <v>153.6</v>
      </c>
      <c r="CW16" s="109">
        <v>174.8</v>
      </c>
      <c r="CX16" s="109">
        <v>182.4</v>
      </c>
    </row>
    <row r="17" spans="1:102" x14ac:dyDescent="0.25">
      <c r="A17" s="106">
        <v>2008</v>
      </c>
      <c r="B17" s="109">
        <v>169</v>
      </c>
      <c r="C17" s="109">
        <v>156</v>
      </c>
      <c r="D17" s="109">
        <v>170</v>
      </c>
      <c r="E17" s="109">
        <v>118</v>
      </c>
      <c r="F17" s="109">
        <v>181</v>
      </c>
      <c r="G17" s="109">
        <v>179</v>
      </c>
      <c r="H17" s="109">
        <v>165</v>
      </c>
      <c r="I17" s="109">
        <v>166</v>
      </c>
      <c r="J17" s="109">
        <v>161</v>
      </c>
      <c r="K17" s="109">
        <v>167</v>
      </c>
      <c r="L17" s="109">
        <v>179</v>
      </c>
      <c r="M17" s="109">
        <v>175</v>
      </c>
      <c r="N17" s="109">
        <v>178</v>
      </c>
      <c r="O17" s="109">
        <v>179</v>
      </c>
      <c r="P17" s="109">
        <v>174</v>
      </c>
      <c r="Q17" s="109">
        <v>180</v>
      </c>
      <c r="R17" s="109">
        <v>166</v>
      </c>
      <c r="S17" s="109">
        <v>196</v>
      </c>
      <c r="T17" s="109">
        <v>159</v>
      </c>
      <c r="U17" s="109">
        <v>109</v>
      </c>
      <c r="V17" s="109">
        <v>175</v>
      </c>
      <c r="W17" s="109">
        <v>171</v>
      </c>
      <c r="X17" s="109">
        <v>181</v>
      </c>
      <c r="Y17" s="109">
        <v>191</v>
      </c>
      <c r="Z17" s="109">
        <v>171</v>
      </c>
      <c r="AA17" s="109">
        <v>142</v>
      </c>
      <c r="AB17" s="109">
        <v>112</v>
      </c>
      <c r="AC17" s="109">
        <v>159</v>
      </c>
      <c r="AD17" s="109">
        <v>186</v>
      </c>
      <c r="AE17" s="109">
        <v>168</v>
      </c>
      <c r="AF17" s="109">
        <v>158</v>
      </c>
      <c r="AG17" s="109">
        <v>168</v>
      </c>
      <c r="AH17" s="109">
        <v>167</v>
      </c>
      <c r="AI17" s="109">
        <v>171</v>
      </c>
      <c r="AJ17" s="109">
        <v>167</v>
      </c>
      <c r="AK17" s="109">
        <v>147</v>
      </c>
      <c r="AL17" s="109">
        <v>159</v>
      </c>
      <c r="AM17" s="109">
        <v>181</v>
      </c>
      <c r="AN17" s="109">
        <v>171</v>
      </c>
      <c r="AO17" s="109">
        <v>157</v>
      </c>
      <c r="AP17" s="109">
        <v>171</v>
      </c>
      <c r="AQ17" s="109">
        <v>159</v>
      </c>
      <c r="AR17" s="109">
        <v>176</v>
      </c>
      <c r="AS17" s="109">
        <v>178</v>
      </c>
      <c r="AT17" s="109">
        <v>164</v>
      </c>
      <c r="AU17" s="109">
        <v>172</v>
      </c>
      <c r="AV17" s="109">
        <v>196</v>
      </c>
      <c r="AW17" s="109">
        <v>173</v>
      </c>
      <c r="AX17" s="109">
        <v>169</v>
      </c>
      <c r="AY17" s="109">
        <v>182</v>
      </c>
      <c r="AZ17" s="109">
        <v>167</v>
      </c>
      <c r="BA17" s="109">
        <v>161</v>
      </c>
      <c r="BB17" s="109">
        <v>167</v>
      </c>
      <c r="BC17" s="109">
        <v>157</v>
      </c>
      <c r="BD17" s="109">
        <v>171</v>
      </c>
      <c r="BE17" s="109">
        <v>173</v>
      </c>
      <c r="BF17" s="109">
        <v>172</v>
      </c>
      <c r="BG17" s="109">
        <v>174</v>
      </c>
      <c r="BH17" s="109">
        <v>114</v>
      </c>
      <c r="BI17" s="109">
        <v>190</v>
      </c>
      <c r="BJ17" s="109">
        <v>165</v>
      </c>
      <c r="BK17" s="109">
        <v>176</v>
      </c>
      <c r="BL17" s="109">
        <v>143</v>
      </c>
      <c r="BM17" s="109">
        <v>180</v>
      </c>
      <c r="BN17" s="109">
        <v>156</v>
      </c>
      <c r="BO17" s="109">
        <v>174</v>
      </c>
      <c r="BP17" s="109">
        <v>171</v>
      </c>
      <c r="BQ17" s="109">
        <v>136</v>
      </c>
      <c r="BR17" s="109">
        <v>160</v>
      </c>
      <c r="BS17" s="109">
        <v>166</v>
      </c>
      <c r="BT17" s="109">
        <v>195</v>
      </c>
      <c r="BU17" s="109">
        <v>175</v>
      </c>
      <c r="BV17" s="109"/>
      <c r="BW17" s="109"/>
      <c r="BX17" s="109">
        <v>133</v>
      </c>
      <c r="BY17" s="109">
        <v>176</v>
      </c>
      <c r="BZ17" s="109">
        <v>191</v>
      </c>
      <c r="CA17" s="109">
        <v>178</v>
      </c>
      <c r="CB17" s="109">
        <v>154</v>
      </c>
      <c r="CC17" s="109">
        <v>178</v>
      </c>
      <c r="CD17" s="109">
        <v>170</v>
      </c>
      <c r="CE17" s="109">
        <v>115</v>
      </c>
      <c r="CF17" s="109">
        <v>184</v>
      </c>
      <c r="CG17" s="109">
        <v>184</v>
      </c>
      <c r="CH17" s="109">
        <v>190</v>
      </c>
      <c r="CI17" s="109">
        <v>195</v>
      </c>
      <c r="CJ17" s="109">
        <v>160</v>
      </c>
      <c r="CK17" s="109">
        <v>179</v>
      </c>
      <c r="CL17" s="109">
        <v>135</v>
      </c>
      <c r="CM17" s="109">
        <v>148</v>
      </c>
      <c r="CN17" s="109">
        <v>146</v>
      </c>
      <c r="CO17" s="109">
        <v>138</v>
      </c>
      <c r="CP17" s="109">
        <v>135</v>
      </c>
      <c r="CQ17" s="109">
        <v>180</v>
      </c>
      <c r="CR17" s="109">
        <v>103</v>
      </c>
      <c r="CS17" s="109">
        <v>167</v>
      </c>
      <c r="CT17" s="109">
        <v>177</v>
      </c>
      <c r="CU17" s="109">
        <v>171</v>
      </c>
      <c r="CV17" s="109">
        <v>185</v>
      </c>
      <c r="CW17" s="109">
        <v>171</v>
      </c>
      <c r="CX17" s="109">
        <v>164</v>
      </c>
    </row>
    <row r="18" spans="1:102" x14ac:dyDescent="0.25">
      <c r="A18" s="106">
        <v>2009</v>
      </c>
      <c r="B18" s="109">
        <v>179.3</v>
      </c>
      <c r="C18" s="109">
        <v>168.1</v>
      </c>
      <c r="D18" s="109">
        <v>179.6</v>
      </c>
      <c r="E18" s="109">
        <v>153</v>
      </c>
      <c r="F18" s="109">
        <v>190.4</v>
      </c>
      <c r="G18" s="109">
        <v>184.7</v>
      </c>
      <c r="H18" s="109">
        <v>173.2</v>
      </c>
      <c r="I18" s="109">
        <v>183.4</v>
      </c>
      <c r="J18" s="109">
        <v>188.9</v>
      </c>
      <c r="K18" s="109">
        <v>170.5</v>
      </c>
      <c r="L18" s="109">
        <v>190.7</v>
      </c>
      <c r="M18" s="109">
        <v>181.8</v>
      </c>
      <c r="N18" s="109">
        <v>168.3</v>
      </c>
      <c r="O18" s="109">
        <v>200.1</v>
      </c>
      <c r="P18" s="109">
        <v>182.4</v>
      </c>
      <c r="Q18" s="109">
        <v>191.5</v>
      </c>
      <c r="R18" s="109">
        <v>169.8</v>
      </c>
      <c r="S18" s="109">
        <v>201.9</v>
      </c>
      <c r="T18" s="109">
        <v>169.3</v>
      </c>
      <c r="U18" s="109">
        <v>138.9</v>
      </c>
      <c r="V18" s="109">
        <v>184.2</v>
      </c>
      <c r="W18" s="109">
        <v>172.1</v>
      </c>
      <c r="X18" s="109">
        <v>190.4</v>
      </c>
      <c r="Y18" s="109">
        <v>199.6</v>
      </c>
      <c r="Z18" s="109">
        <v>183.7</v>
      </c>
      <c r="AA18" s="109">
        <v>142.69999999999999</v>
      </c>
      <c r="AB18" s="109">
        <v>144.4</v>
      </c>
      <c r="AC18" s="109">
        <v>176.3</v>
      </c>
      <c r="AD18" s="109">
        <v>166.4</v>
      </c>
      <c r="AE18" s="109">
        <v>185.3</v>
      </c>
      <c r="AF18" s="109">
        <v>183.8</v>
      </c>
      <c r="AG18" s="109">
        <v>190.1</v>
      </c>
      <c r="AH18" s="109">
        <v>158.6</v>
      </c>
      <c r="AI18" s="109">
        <v>174</v>
      </c>
      <c r="AJ18" s="109">
        <v>167</v>
      </c>
      <c r="AK18" s="109">
        <v>187.3</v>
      </c>
      <c r="AL18" s="109">
        <v>188.1</v>
      </c>
      <c r="AM18" s="109">
        <v>178</v>
      </c>
      <c r="AN18" s="109">
        <v>173.4</v>
      </c>
      <c r="AO18" s="109">
        <v>167.5</v>
      </c>
      <c r="AP18" s="109">
        <v>178.5</v>
      </c>
      <c r="AQ18" s="109">
        <v>162.9</v>
      </c>
      <c r="AR18" s="109">
        <v>196.8</v>
      </c>
      <c r="AS18" s="109">
        <v>155.9</v>
      </c>
      <c r="AT18" s="109">
        <v>169.9</v>
      </c>
      <c r="AU18" s="109">
        <v>191</v>
      </c>
      <c r="AV18" s="109">
        <v>206.6</v>
      </c>
      <c r="AW18" s="109">
        <v>180.2</v>
      </c>
      <c r="AX18" s="109">
        <v>169.6</v>
      </c>
      <c r="AY18" s="109">
        <v>181.4</v>
      </c>
      <c r="AZ18" s="109">
        <v>150</v>
      </c>
      <c r="BA18" s="109">
        <v>178.8</v>
      </c>
      <c r="BB18" s="109">
        <v>190.1</v>
      </c>
      <c r="BC18" s="109">
        <v>167.7</v>
      </c>
      <c r="BD18" s="109">
        <v>191.6</v>
      </c>
      <c r="BE18" s="109">
        <v>167.9</v>
      </c>
      <c r="BF18" s="109">
        <v>189.7</v>
      </c>
      <c r="BG18" s="109">
        <v>158.4</v>
      </c>
      <c r="BH18" s="109">
        <v>137.19999999999999</v>
      </c>
      <c r="BI18" s="109">
        <v>192.8</v>
      </c>
      <c r="BJ18" s="109">
        <v>167.7</v>
      </c>
      <c r="BK18" s="109">
        <v>182.4</v>
      </c>
      <c r="BL18" s="109">
        <v>165.2</v>
      </c>
      <c r="BM18" s="109">
        <v>178.5</v>
      </c>
      <c r="BN18" s="109">
        <v>191.2</v>
      </c>
      <c r="BO18" s="109">
        <v>177.2</v>
      </c>
      <c r="BP18" s="109">
        <v>199.8</v>
      </c>
      <c r="BQ18" s="109">
        <v>156.30000000000001</v>
      </c>
      <c r="BR18" s="109">
        <v>191.2</v>
      </c>
      <c r="BS18" s="109">
        <v>166.6</v>
      </c>
      <c r="BT18" s="109">
        <v>198</v>
      </c>
      <c r="BU18" s="109">
        <v>193.6</v>
      </c>
      <c r="BV18" s="109"/>
      <c r="BW18" s="109"/>
      <c r="BX18" s="109">
        <v>176.8</v>
      </c>
      <c r="BY18" s="109">
        <v>188.1</v>
      </c>
      <c r="BZ18" s="109">
        <v>201.1</v>
      </c>
      <c r="CA18" s="109">
        <v>190.1</v>
      </c>
      <c r="CB18" s="109">
        <v>178.6</v>
      </c>
      <c r="CC18" s="109">
        <v>192.4</v>
      </c>
      <c r="CD18" s="109">
        <v>184.5</v>
      </c>
      <c r="CE18" s="109">
        <v>134.4</v>
      </c>
      <c r="CF18" s="109">
        <v>184.5</v>
      </c>
      <c r="CG18" s="109">
        <v>184.1</v>
      </c>
      <c r="CH18" s="109">
        <v>202.9</v>
      </c>
      <c r="CI18" s="109">
        <v>201.7</v>
      </c>
      <c r="CJ18" s="109">
        <v>174.7</v>
      </c>
      <c r="CK18" s="109">
        <v>182.3</v>
      </c>
      <c r="CL18" s="109">
        <v>150.19999999999999</v>
      </c>
      <c r="CM18" s="109">
        <v>153.80000000000001</v>
      </c>
      <c r="CN18" s="109">
        <v>148.6</v>
      </c>
      <c r="CO18" s="109">
        <v>156.6</v>
      </c>
      <c r="CP18" s="109">
        <v>160.19999999999999</v>
      </c>
      <c r="CQ18" s="109">
        <v>171.1</v>
      </c>
      <c r="CR18" s="109">
        <v>142.69999999999999</v>
      </c>
      <c r="CS18" s="109">
        <v>177.3</v>
      </c>
      <c r="CT18" s="109">
        <v>180.4</v>
      </c>
      <c r="CU18" s="109">
        <v>171.3</v>
      </c>
      <c r="CV18" s="109">
        <v>186.3</v>
      </c>
      <c r="CW18" s="109">
        <v>180.9</v>
      </c>
      <c r="CX18" s="109">
        <v>179</v>
      </c>
    </row>
    <row r="19" spans="1:102" x14ac:dyDescent="0.25">
      <c r="A19" s="106">
        <v>2010</v>
      </c>
      <c r="B19" s="109">
        <v>139.1</v>
      </c>
      <c r="C19" s="109">
        <v>139.30000000000001</v>
      </c>
      <c r="D19" s="109">
        <v>175.8</v>
      </c>
      <c r="E19" s="109">
        <v>75.2</v>
      </c>
      <c r="F19" s="109">
        <v>160.30000000000001</v>
      </c>
      <c r="G19" s="109">
        <v>179</v>
      </c>
      <c r="H19" s="109">
        <v>170.4</v>
      </c>
      <c r="I19" s="109">
        <v>162.5</v>
      </c>
      <c r="J19" s="109">
        <v>174.6</v>
      </c>
      <c r="K19" s="109">
        <v>167.5</v>
      </c>
      <c r="L19" s="109">
        <v>178.3</v>
      </c>
      <c r="M19" s="109">
        <v>180.5</v>
      </c>
      <c r="N19" s="109">
        <v>173.3</v>
      </c>
      <c r="O19" s="109">
        <v>182</v>
      </c>
      <c r="P19" s="109">
        <v>155.1</v>
      </c>
      <c r="Q19" s="109">
        <v>174.4</v>
      </c>
      <c r="R19" s="109">
        <v>173</v>
      </c>
      <c r="S19" s="109">
        <v>186.9</v>
      </c>
      <c r="T19" s="109">
        <v>182</v>
      </c>
      <c r="U19" s="109">
        <v>84.5</v>
      </c>
      <c r="V19" s="109">
        <v>177.6</v>
      </c>
      <c r="W19" s="109">
        <v>176.9</v>
      </c>
      <c r="X19" s="109">
        <v>171.2</v>
      </c>
      <c r="Y19" s="109">
        <v>185.8</v>
      </c>
      <c r="Z19" s="109">
        <v>141.9</v>
      </c>
      <c r="AA19" s="109">
        <v>84</v>
      </c>
      <c r="AB19" s="109">
        <v>94.3</v>
      </c>
      <c r="AC19" s="109">
        <v>175.8</v>
      </c>
      <c r="AD19" s="109">
        <v>112.1</v>
      </c>
      <c r="AE19" s="109">
        <v>181</v>
      </c>
      <c r="AF19" s="109">
        <v>170.4</v>
      </c>
      <c r="AG19" s="109">
        <v>183.1</v>
      </c>
      <c r="AH19" s="109">
        <v>166.5</v>
      </c>
      <c r="AI19" s="109">
        <v>177.8</v>
      </c>
      <c r="AJ19" s="109">
        <v>168</v>
      </c>
      <c r="AK19" s="109">
        <v>152.69999999999999</v>
      </c>
      <c r="AL19" s="109">
        <v>167.3</v>
      </c>
      <c r="AM19" s="109">
        <v>192.9</v>
      </c>
      <c r="AN19" s="109">
        <v>141.30000000000001</v>
      </c>
      <c r="AO19" s="109">
        <v>169.6</v>
      </c>
      <c r="AP19" s="109">
        <v>176.9</v>
      </c>
      <c r="AQ19" s="109">
        <v>185.8</v>
      </c>
      <c r="AR19" s="109">
        <v>159.4</v>
      </c>
      <c r="AS19" s="109">
        <v>109</v>
      </c>
      <c r="AT19" s="109">
        <v>191.4</v>
      </c>
      <c r="AU19" s="109">
        <v>153.19999999999999</v>
      </c>
      <c r="AV19" s="109">
        <v>191.8</v>
      </c>
      <c r="AW19" s="109">
        <v>158.5</v>
      </c>
      <c r="AX19" s="109">
        <v>157.19999999999999</v>
      </c>
      <c r="AY19" s="109">
        <v>152.69999999999999</v>
      </c>
      <c r="AZ19" s="109">
        <v>98.5</v>
      </c>
      <c r="BA19" s="109">
        <v>150.9</v>
      </c>
      <c r="BB19" s="109">
        <v>168.9</v>
      </c>
      <c r="BC19" s="109">
        <v>111.2</v>
      </c>
      <c r="BD19" s="109">
        <v>184</v>
      </c>
      <c r="BE19" s="109">
        <v>103.2</v>
      </c>
      <c r="BF19" s="109">
        <v>170.3</v>
      </c>
      <c r="BG19" s="109">
        <v>125.1</v>
      </c>
      <c r="BH19" s="109">
        <v>71.2</v>
      </c>
      <c r="BI19" s="109">
        <v>195.2</v>
      </c>
      <c r="BJ19" s="109">
        <v>124.6</v>
      </c>
      <c r="BK19" s="109">
        <v>116.6</v>
      </c>
      <c r="BL19" s="109">
        <v>112.7</v>
      </c>
      <c r="BM19" s="109">
        <v>183.3</v>
      </c>
      <c r="BN19" s="109">
        <v>160.19999999999999</v>
      </c>
      <c r="BO19" s="109">
        <v>190.5</v>
      </c>
      <c r="BP19" s="109">
        <v>168.7</v>
      </c>
      <c r="BQ19" s="109">
        <v>77.400000000000006</v>
      </c>
      <c r="BR19" s="109">
        <v>157</v>
      </c>
      <c r="BS19" s="109">
        <v>144.80000000000001</v>
      </c>
      <c r="BT19" s="109">
        <v>190.7</v>
      </c>
      <c r="BU19" s="109">
        <v>192.7</v>
      </c>
      <c r="BV19" s="109"/>
      <c r="BW19" s="109"/>
      <c r="BX19" s="109">
        <v>150.1</v>
      </c>
      <c r="BY19" s="109">
        <v>174</v>
      </c>
      <c r="BZ19" s="109">
        <v>184.7</v>
      </c>
      <c r="CA19" s="109">
        <v>172.6</v>
      </c>
      <c r="CB19" s="109">
        <v>139.4</v>
      </c>
      <c r="CC19" s="109">
        <v>164.8</v>
      </c>
      <c r="CD19" s="109">
        <v>153.19999999999999</v>
      </c>
      <c r="CE19" s="109">
        <v>94.1</v>
      </c>
      <c r="CF19" s="109">
        <v>189.7</v>
      </c>
      <c r="CG19" s="109">
        <v>151.9</v>
      </c>
      <c r="CH19" s="109">
        <v>171.6</v>
      </c>
      <c r="CI19" s="109">
        <v>196.5</v>
      </c>
      <c r="CJ19" s="109">
        <v>163.9</v>
      </c>
      <c r="CK19" s="109">
        <v>176.7</v>
      </c>
      <c r="CL19" s="109">
        <v>122.2</v>
      </c>
      <c r="CM19" s="109">
        <v>113.2</v>
      </c>
      <c r="CN19" s="109">
        <v>90.8</v>
      </c>
      <c r="CO19" s="109">
        <v>100.2</v>
      </c>
      <c r="CP19" s="109">
        <v>102.4</v>
      </c>
      <c r="CQ19" s="109">
        <v>132.5</v>
      </c>
      <c r="CR19" s="109">
        <v>73.099999999999994</v>
      </c>
      <c r="CS19" s="109">
        <v>168.4</v>
      </c>
      <c r="CT19" s="109">
        <v>184.1</v>
      </c>
      <c r="CU19" s="109">
        <v>190.5</v>
      </c>
      <c r="CV19" s="109">
        <v>164.3</v>
      </c>
      <c r="CW19" s="109">
        <v>193.2</v>
      </c>
      <c r="CX19" s="109">
        <v>150</v>
      </c>
    </row>
    <row r="20" spans="1:102" x14ac:dyDescent="0.25">
      <c r="A20" s="106">
        <v>2011</v>
      </c>
      <c r="B20" s="109">
        <v>152.80000000000001</v>
      </c>
      <c r="C20" s="109">
        <v>151.69999999999999</v>
      </c>
      <c r="D20" s="109">
        <v>173.3</v>
      </c>
      <c r="E20" s="109">
        <v>120.1</v>
      </c>
      <c r="F20" s="109">
        <v>176.6</v>
      </c>
      <c r="G20" s="109">
        <v>157.19999999999999</v>
      </c>
      <c r="H20" s="109">
        <v>186.1</v>
      </c>
      <c r="I20" s="109">
        <v>182.5</v>
      </c>
      <c r="J20" s="109">
        <v>196.5</v>
      </c>
      <c r="K20" s="109">
        <v>187</v>
      </c>
      <c r="L20" s="109">
        <v>180.2</v>
      </c>
      <c r="M20" s="109">
        <v>186.7</v>
      </c>
      <c r="N20" s="109">
        <v>181.9</v>
      </c>
      <c r="O20" s="109">
        <v>180.2</v>
      </c>
      <c r="P20" s="109">
        <v>175.2</v>
      </c>
      <c r="Q20" s="109">
        <v>184.9</v>
      </c>
      <c r="R20" s="109">
        <v>169.3</v>
      </c>
      <c r="S20" s="109">
        <v>176.7</v>
      </c>
      <c r="T20" s="109">
        <v>188.8</v>
      </c>
      <c r="U20" s="109">
        <v>107.7</v>
      </c>
      <c r="V20" s="109">
        <v>185.4</v>
      </c>
      <c r="W20" s="109">
        <v>186.8</v>
      </c>
      <c r="X20" s="109">
        <v>180</v>
      </c>
      <c r="Y20" s="109">
        <v>181.8</v>
      </c>
      <c r="Z20" s="109">
        <v>172.1</v>
      </c>
      <c r="AA20" s="109">
        <v>97.8</v>
      </c>
      <c r="AB20" s="109">
        <v>126.1</v>
      </c>
      <c r="AC20" s="109">
        <v>186.5</v>
      </c>
      <c r="AD20" s="109">
        <v>146.6</v>
      </c>
      <c r="AE20" s="109">
        <v>169.3</v>
      </c>
      <c r="AF20" s="109">
        <v>185.1</v>
      </c>
      <c r="AG20" s="109">
        <v>169.6</v>
      </c>
      <c r="AH20" s="109">
        <v>186.6</v>
      </c>
      <c r="AI20" s="109">
        <v>181.1</v>
      </c>
      <c r="AJ20" s="109">
        <v>189.7</v>
      </c>
      <c r="AK20" s="109">
        <v>155.6</v>
      </c>
      <c r="AL20" s="109">
        <v>183.4</v>
      </c>
      <c r="AM20" s="109">
        <v>172.8</v>
      </c>
      <c r="AN20" s="109">
        <v>169.4</v>
      </c>
      <c r="AO20" s="109">
        <v>180.6</v>
      </c>
      <c r="AP20" s="109">
        <v>179.8</v>
      </c>
      <c r="AQ20" s="109">
        <v>186.7</v>
      </c>
      <c r="AR20" s="109">
        <v>169.9</v>
      </c>
      <c r="AS20" s="109">
        <v>123.2</v>
      </c>
      <c r="AT20" s="109">
        <v>185.8</v>
      </c>
      <c r="AU20" s="109">
        <v>185.5</v>
      </c>
      <c r="AV20" s="109">
        <v>182.9</v>
      </c>
      <c r="AW20" s="109">
        <v>171.6</v>
      </c>
      <c r="AX20" s="109">
        <v>178.3</v>
      </c>
      <c r="AY20" s="109">
        <v>171.1</v>
      </c>
      <c r="AZ20" s="109">
        <v>112.4</v>
      </c>
      <c r="BA20" s="109">
        <v>171.9</v>
      </c>
      <c r="BB20" s="109">
        <v>171.4</v>
      </c>
      <c r="BC20" s="109">
        <v>152.4</v>
      </c>
      <c r="BD20" s="109">
        <v>179.9</v>
      </c>
      <c r="BE20" s="109">
        <v>105.2</v>
      </c>
      <c r="BF20" s="109">
        <v>169.1</v>
      </c>
      <c r="BG20" s="109">
        <v>148.9</v>
      </c>
      <c r="BH20" s="109">
        <v>114.9</v>
      </c>
      <c r="BI20" s="109">
        <v>185.4</v>
      </c>
      <c r="BJ20" s="109">
        <v>145.1</v>
      </c>
      <c r="BK20" s="109">
        <v>165</v>
      </c>
      <c r="BL20" s="109">
        <v>152.6</v>
      </c>
      <c r="BM20" s="109">
        <v>166.3</v>
      </c>
      <c r="BN20" s="109">
        <v>155</v>
      </c>
      <c r="BO20" s="109">
        <v>180.1</v>
      </c>
      <c r="BP20" s="109">
        <v>158.30000000000001</v>
      </c>
      <c r="BQ20" s="109">
        <v>112.5</v>
      </c>
      <c r="BR20" s="109">
        <v>153.19999999999999</v>
      </c>
      <c r="BS20" s="109">
        <v>164.6</v>
      </c>
      <c r="BT20" s="109">
        <v>185.1</v>
      </c>
      <c r="BU20" s="109">
        <v>184.4</v>
      </c>
      <c r="BV20" s="109"/>
      <c r="BW20" s="109"/>
      <c r="BX20" s="109">
        <v>136.19999999999999</v>
      </c>
      <c r="BY20" s="109">
        <v>174.6</v>
      </c>
      <c r="BZ20" s="109">
        <v>164.5</v>
      </c>
      <c r="CA20" s="109">
        <v>181.2</v>
      </c>
      <c r="CB20" s="109">
        <v>160.6</v>
      </c>
      <c r="CC20" s="109">
        <v>170.9</v>
      </c>
      <c r="CD20" s="109">
        <v>179</v>
      </c>
      <c r="CE20" s="109">
        <v>118.7</v>
      </c>
      <c r="CF20" s="109">
        <v>183.4</v>
      </c>
      <c r="CG20" s="109">
        <v>174.2</v>
      </c>
      <c r="CH20" s="109">
        <v>173.6</v>
      </c>
      <c r="CI20" s="109">
        <v>177.6</v>
      </c>
      <c r="CJ20" s="109">
        <v>163.19999999999999</v>
      </c>
      <c r="CK20" s="109">
        <v>162</v>
      </c>
      <c r="CL20" s="109">
        <v>140.5</v>
      </c>
      <c r="CM20" s="109">
        <v>132.6</v>
      </c>
      <c r="CN20" s="109">
        <v>100.9</v>
      </c>
      <c r="CO20" s="109">
        <v>127.3</v>
      </c>
      <c r="CP20" s="109">
        <v>129.1</v>
      </c>
      <c r="CQ20" s="109">
        <v>156.30000000000001</v>
      </c>
      <c r="CR20" s="109">
        <v>126</v>
      </c>
      <c r="CS20" s="109">
        <v>190.6</v>
      </c>
      <c r="CT20" s="109">
        <v>176.6</v>
      </c>
      <c r="CU20" s="109">
        <v>186.2</v>
      </c>
      <c r="CV20" s="109">
        <v>173.3</v>
      </c>
      <c r="CW20" s="109">
        <v>173</v>
      </c>
      <c r="CX20" s="109">
        <v>189.9</v>
      </c>
    </row>
    <row r="21" spans="1:102" x14ac:dyDescent="0.25">
      <c r="A21" s="106">
        <v>2012</v>
      </c>
      <c r="B21" s="109">
        <v>104.4</v>
      </c>
      <c r="C21" s="109">
        <v>109.8</v>
      </c>
      <c r="D21" s="109">
        <v>153.6</v>
      </c>
      <c r="E21" s="109">
        <v>44.5</v>
      </c>
      <c r="F21" s="109">
        <v>114.8</v>
      </c>
      <c r="G21" s="109">
        <v>129.30000000000001</v>
      </c>
      <c r="H21" s="109">
        <v>126.4</v>
      </c>
      <c r="I21" s="109">
        <v>147.1</v>
      </c>
      <c r="J21" s="109">
        <v>133.30000000000001</v>
      </c>
      <c r="K21" s="109">
        <v>140.4</v>
      </c>
      <c r="L21" s="109">
        <v>148.19999999999999</v>
      </c>
      <c r="M21" s="109">
        <v>122</v>
      </c>
      <c r="N21" s="109">
        <v>134.80000000000001</v>
      </c>
      <c r="O21" s="109">
        <v>105.3</v>
      </c>
      <c r="P21" s="109">
        <v>120.4</v>
      </c>
      <c r="Q21" s="109">
        <v>158.9</v>
      </c>
      <c r="R21" s="109">
        <v>124.8</v>
      </c>
      <c r="S21" s="109">
        <v>158.69999999999999</v>
      </c>
      <c r="T21" s="109">
        <v>125.8</v>
      </c>
      <c r="U21" s="109">
        <v>76.7</v>
      </c>
      <c r="V21" s="109">
        <v>170.1</v>
      </c>
      <c r="W21" s="109">
        <v>152.9</v>
      </c>
      <c r="X21" s="109">
        <v>139.6</v>
      </c>
      <c r="Y21" s="109">
        <v>131.30000000000001</v>
      </c>
      <c r="Z21" s="109">
        <v>129</v>
      </c>
      <c r="AA21" s="109">
        <v>52.4</v>
      </c>
      <c r="AB21" s="109">
        <v>61.2</v>
      </c>
      <c r="AC21" s="109">
        <v>129.80000000000001</v>
      </c>
      <c r="AD21" s="109">
        <v>143.69999999999999</v>
      </c>
      <c r="AE21" s="109">
        <v>160.9</v>
      </c>
      <c r="AF21" s="109">
        <v>149.4</v>
      </c>
      <c r="AG21" s="109">
        <v>166.6</v>
      </c>
      <c r="AH21" s="109">
        <v>151</v>
      </c>
      <c r="AI21" s="109">
        <v>123.2</v>
      </c>
      <c r="AJ21" s="109">
        <v>150</v>
      </c>
      <c r="AK21" s="109">
        <v>131.19999999999999</v>
      </c>
      <c r="AL21" s="109">
        <v>124.6</v>
      </c>
      <c r="AM21" s="109">
        <v>161.5</v>
      </c>
      <c r="AN21" s="109">
        <v>113.4</v>
      </c>
      <c r="AO21" s="109">
        <v>138</v>
      </c>
      <c r="AP21" s="109">
        <v>143.30000000000001</v>
      </c>
      <c r="AQ21" s="109">
        <v>163.6</v>
      </c>
      <c r="AR21" s="109">
        <v>130.9</v>
      </c>
      <c r="AS21" s="109">
        <v>132</v>
      </c>
      <c r="AT21" s="109">
        <v>137.80000000000001</v>
      </c>
      <c r="AU21" s="109">
        <v>146.1</v>
      </c>
      <c r="AV21" s="109">
        <v>151.4</v>
      </c>
      <c r="AW21" s="109">
        <v>135.69999999999999</v>
      </c>
      <c r="AX21" s="109">
        <v>114.6</v>
      </c>
      <c r="AY21" s="109">
        <v>150.9</v>
      </c>
      <c r="AZ21" s="109">
        <v>102.8</v>
      </c>
      <c r="BA21" s="109">
        <v>132.4</v>
      </c>
      <c r="BB21" s="109">
        <v>127.3</v>
      </c>
      <c r="BC21" s="109">
        <v>113</v>
      </c>
      <c r="BD21" s="109">
        <v>164.6</v>
      </c>
      <c r="BE21" s="109">
        <v>116</v>
      </c>
      <c r="BF21" s="109">
        <v>124.2</v>
      </c>
      <c r="BG21" s="109">
        <v>162.9</v>
      </c>
      <c r="BH21" s="109">
        <v>85.3</v>
      </c>
      <c r="BI21" s="109">
        <v>161.6</v>
      </c>
      <c r="BJ21" s="109">
        <v>101.4</v>
      </c>
      <c r="BK21" s="109">
        <v>133</v>
      </c>
      <c r="BL21" s="109">
        <v>115.1</v>
      </c>
      <c r="BM21" s="109">
        <v>157.6</v>
      </c>
      <c r="BN21" s="109">
        <v>128.80000000000001</v>
      </c>
      <c r="BO21" s="109">
        <v>131.4</v>
      </c>
      <c r="BP21" s="109">
        <v>115.1</v>
      </c>
      <c r="BQ21" s="109">
        <v>67.3</v>
      </c>
      <c r="BR21" s="109">
        <v>132</v>
      </c>
      <c r="BS21" s="109">
        <v>152.6</v>
      </c>
      <c r="BT21" s="109">
        <v>159.80000000000001</v>
      </c>
      <c r="BU21" s="109">
        <v>169.6</v>
      </c>
      <c r="BV21" s="109"/>
      <c r="BW21" s="109"/>
      <c r="BX21" s="109">
        <v>116.2</v>
      </c>
      <c r="BY21" s="109">
        <v>170.6</v>
      </c>
      <c r="BZ21" s="109">
        <v>110.1</v>
      </c>
      <c r="CA21" s="109">
        <v>165.3</v>
      </c>
      <c r="CB21" s="109">
        <v>149.1</v>
      </c>
      <c r="CC21" s="109">
        <v>131.9</v>
      </c>
      <c r="CD21" s="109">
        <v>152.30000000000001</v>
      </c>
      <c r="CE21" s="109">
        <v>71.599999999999994</v>
      </c>
      <c r="CF21" s="109">
        <v>130.69999999999999</v>
      </c>
      <c r="CG21" s="109">
        <v>131.69999999999999</v>
      </c>
      <c r="CH21" s="109">
        <v>137.80000000000001</v>
      </c>
      <c r="CI21" s="109">
        <v>143.19999999999999</v>
      </c>
      <c r="CJ21" s="109">
        <v>157.6</v>
      </c>
      <c r="CK21" s="109">
        <v>160.19999999999999</v>
      </c>
      <c r="CL21" s="109">
        <v>91.7</v>
      </c>
      <c r="CM21" s="109">
        <v>87.3</v>
      </c>
      <c r="CN21" s="109">
        <v>110.3</v>
      </c>
      <c r="CO21" s="109">
        <v>92.6</v>
      </c>
      <c r="CP21" s="109">
        <v>103.5</v>
      </c>
      <c r="CQ21" s="109">
        <v>132.1</v>
      </c>
      <c r="CR21" s="109">
        <v>55.7</v>
      </c>
      <c r="CS21" s="109">
        <v>149.19999999999999</v>
      </c>
      <c r="CT21" s="109">
        <v>161.1</v>
      </c>
      <c r="CU21" s="109">
        <v>140.6</v>
      </c>
      <c r="CV21" s="109">
        <v>134.80000000000001</v>
      </c>
      <c r="CW21" s="109">
        <v>143.1</v>
      </c>
      <c r="CX21" s="109">
        <v>153.69999999999999</v>
      </c>
    </row>
    <row r="22" spans="1:102" x14ac:dyDescent="0.25">
      <c r="A22" s="106">
        <v>2013</v>
      </c>
      <c r="B22" s="109">
        <v>137.80000000000001</v>
      </c>
      <c r="C22" s="109">
        <v>147.6</v>
      </c>
      <c r="D22" s="109">
        <v>162.1</v>
      </c>
      <c r="E22" s="109">
        <v>109.1</v>
      </c>
      <c r="F22" s="109">
        <v>157.1</v>
      </c>
      <c r="G22" s="109">
        <v>163.69999999999999</v>
      </c>
      <c r="H22" s="109">
        <v>166.1</v>
      </c>
      <c r="I22" s="109">
        <v>154.19999999999999</v>
      </c>
      <c r="J22" s="109">
        <v>175.1</v>
      </c>
      <c r="K22" s="109">
        <v>168.8</v>
      </c>
      <c r="L22" s="109">
        <v>160.5</v>
      </c>
      <c r="M22" s="109">
        <v>179.2</v>
      </c>
      <c r="N22" s="109">
        <v>132.6</v>
      </c>
      <c r="O22" s="109">
        <v>136.5</v>
      </c>
      <c r="P22" s="109">
        <v>159.5</v>
      </c>
      <c r="Q22" s="109">
        <v>169.7</v>
      </c>
      <c r="R22" s="109">
        <v>163.1</v>
      </c>
      <c r="S22" s="109">
        <v>185.1</v>
      </c>
      <c r="T22" s="109">
        <v>171.8</v>
      </c>
      <c r="U22" s="109">
        <v>126.5</v>
      </c>
      <c r="V22" s="109">
        <v>167.2</v>
      </c>
      <c r="W22" s="109">
        <v>181.2</v>
      </c>
      <c r="X22" s="109">
        <v>185.6</v>
      </c>
      <c r="Y22" s="109">
        <v>157.80000000000001</v>
      </c>
      <c r="Z22" s="109">
        <v>145.30000000000001</v>
      </c>
      <c r="AA22" s="109">
        <v>146.69999999999999</v>
      </c>
      <c r="AB22" s="109">
        <v>131.19999999999999</v>
      </c>
      <c r="AC22" s="109">
        <v>184.7</v>
      </c>
      <c r="AD22" s="109">
        <v>165.4</v>
      </c>
      <c r="AE22" s="109">
        <v>162.4</v>
      </c>
      <c r="AF22" s="109">
        <v>196</v>
      </c>
      <c r="AG22" s="109">
        <v>166.4</v>
      </c>
      <c r="AH22" s="109">
        <v>181.2</v>
      </c>
      <c r="AI22" s="109">
        <v>170</v>
      </c>
      <c r="AJ22" s="109">
        <v>179.6</v>
      </c>
      <c r="AK22" s="109">
        <v>159.9</v>
      </c>
      <c r="AL22" s="109">
        <v>137.9</v>
      </c>
      <c r="AM22" s="109">
        <v>180.8</v>
      </c>
      <c r="AN22" s="109">
        <v>130.1</v>
      </c>
      <c r="AO22" s="109">
        <v>135</v>
      </c>
      <c r="AP22" s="109">
        <v>169.9</v>
      </c>
      <c r="AQ22" s="109">
        <v>156.6</v>
      </c>
      <c r="AR22" s="109">
        <v>177.1</v>
      </c>
      <c r="AS22" s="109">
        <v>160.4</v>
      </c>
      <c r="AT22" s="109">
        <v>159.1</v>
      </c>
      <c r="AU22" s="109">
        <v>155.4</v>
      </c>
      <c r="AV22" s="109">
        <v>177.7</v>
      </c>
      <c r="AW22" s="109">
        <v>165.9</v>
      </c>
      <c r="AX22" s="109">
        <v>173.2</v>
      </c>
      <c r="AY22" s="109">
        <v>158.80000000000001</v>
      </c>
      <c r="AZ22" s="109">
        <v>145.5</v>
      </c>
      <c r="BA22" s="109">
        <v>181.1</v>
      </c>
      <c r="BB22" s="109">
        <v>179.3</v>
      </c>
      <c r="BC22" s="109">
        <v>156.69999999999999</v>
      </c>
      <c r="BD22" s="109">
        <v>167.7</v>
      </c>
      <c r="BE22" s="109">
        <v>144.1</v>
      </c>
      <c r="BF22" s="109">
        <v>178.6</v>
      </c>
      <c r="BG22" s="109">
        <v>158.5</v>
      </c>
      <c r="BH22" s="109">
        <v>117.9</v>
      </c>
      <c r="BI22" s="109">
        <v>190.5</v>
      </c>
      <c r="BJ22" s="109">
        <v>140.9</v>
      </c>
      <c r="BK22" s="109">
        <v>168.6</v>
      </c>
      <c r="BL22" s="109">
        <v>156.4</v>
      </c>
      <c r="BM22" s="109">
        <v>163.19999999999999</v>
      </c>
      <c r="BN22" s="109">
        <v>171</v>
      </c>
      <c r="BO22" s="109">
        <v>164.1</v>
      </c>
      <c r="BP22" s="109">
        <v>175.2</v>
      </c>
      <c r="BQ22" s="109">
        <v>115.3</v>
      </c>
      <c r="BR22" s="109">
        <v>154</v>
      </c>
      <c r="BS22" s="109">
        <v>158.30000000000001</v>
      </c>
      <c r="BT22" s="109">
        <v>195.3</v>
      </c>
      <c r="BU22" s="109">
        <v>182</v>
      </c>
      <c r="BV22" s="109"/>
      <c r="BW22" s="109"/>
      <c r="BX22" s="109">
        <v>154.5</v>
      </c>
      <c r="BY22" s="109">
        <v>168.8</v>
      </c>
      <c r="BZ22" s="109">
        <v>188.9</v>
      </c>
      <c r="CA22" s="109">
        <v>163.80000000000001</v>
      </c>
      <c r="CB22" s="109">
        <v>143.6</v>
      </c>
      <c r="CC22" s="109">
        <v>179.4</v>
      </c>
      <c r="CD22" s="109">
        <v>158.5</v>
      </c>
      <c r="CE22" s="109">
        <v>121.1</v>
      </c>
      <c r="CF22" s="109">
        <v>142.6</v>
      </c>
      <c r="CG22" s="109">
        <v>167.8</v>
      </c>
      <c r="CH22" s="109">
        <v>182.6</v>
      </c>
      <c r="CI22" s="109">
        <v>194.1</v>
      </c>
      <c r="CJ22" s="109">
        <v>137.19999999999999</v>
      </c>
      <c r="CK22" s="109">
        <v>158.69999999999999</v>
      </c>
      <c r="CL22" s="109">
        <v>136.19999999999999</v>
      </c>
      <c r="CM22" s="109">
        <v>137</v>
      </c>
      <c r="CN22" s="109">
        <v>144.1</v>
      </c>
      <c r="CO22" s="109">
        <v>150.4</v>
      </c>
      <c r="CP22" s="109">
        <v>146.69999999999999</v>
      </c>
      <c r="CQ22" s="109">
        <v>159</v>
      </c>
      <c r="CR22" s="109">
        <v>125.1</v>
      </c>
      <c r="CS22" s="109">
        <v>137.6</v>
      </c>
      <c r="CT22" s="109">
        <v>149.1</v>
      </c>
      <c r="CU22" s="109">
        <v>181.8</v>
      </c>
      <c r="CV22" s="109">
        <v>164.2</v>
      </c>
      <c r="CW22" s="109">
        <v>150.69999999999999</v>
      </c>
      <c r="CX22" s="109">
        <v>168.8</v>
      </c>
    </row>
    <row r="23" spans="1:102" x14ac:dyDescent="0.25">
      <c r="A23" s="106">
        <v>2014</v>
      </c>
      <c r="B23" s="109">
        <v>169.3</v>
      </c>
      <c r="C23" s="109">
        <v>169.9</v>
      </c>
      <c r="D23" s="109">
        <v>175.6</v>
      </c>
      <c r="E23" s="109">
        <v>170.9</v>
      </c>
      <c r="F23" s="109">
        <v>185.5</v>
      </c>
      <c r="G23" s="109">
        <v>185.4</v>
      </c>
      <c r="H23" s="109">
        <v>165.2</v>
      </c>
      <c r="I23" s="109">
        <v>180.9</v>
      </c>
      <c r="J23" s="109">
        <v>159</v>
      </c>
      <c r="K23" s="109">
        <v>169.3</v>
      </c>
      <c r="L23" s="109">
        <v>172.1</v>
      </c>
      <c r="M23" s="109">
        <v>167.7</v>
      </c>
      <c r="N23" s="109">
        <v>189.6</v>
      </c>
      <c r="O23" s="109">
        <v>188.6</v>
      </c>
      <c r="P23" s="109">
        <v>173.7</v>
      </c>
      <c r="Q23" s="109">
        <v>184.1</v>
      </c>
      <c r="R23" s="109">
        <v>168.3</v>
      </c>
      <c r="S23" s="109">
        <v>183.6</v>
      </c>
      <c r="T23" s="109">
        <v>157.6</v>
      </c>
      <c r="U23" s="109">
        <v>162.19999999999999</v>
      </c>
      <c r="V23" s="109">
        <v>166.3</v>
      </c>
      <c r="W23" s="109">
        <v>176.7</v>
      </c>
      <c r="X23" s="109">
        <v>197</v>
      </c>
      <c r="Y23" s="109">
        <v>183</v>
      </c>
      <c r="Z23" s="109">
        <v>195.5</v>
      </c>
      <c r="AA23" s="109">
        <v>184.2</v>
      </c>
      <c r="AB23" s="109">
        <v>164</v>
      </c>
      <c r="AC23" s="109">
        <v>174.9</v>
      </c>
      <c r="AD23" s="109">
        <v>199</v>
      </c>
      <c r="AE23" s="109">
        <v>157.9</v>
      </c>
      <c r="AF23" s="109">
        <v>184.9</v>
      </c>
      <c r="AG23" s="109">
        <v>165</v>
      </c>
      <c r="AH23" s="109">
        <v>170.9</v>
      </c>
      <c r="AI23" s="109">
        <v>162.80000000000001</v>
      </c>
      <c r="AJ23" s="109">
        <v>165.8</v>
      </c>
      <c r="AK23" s="109">
        <v>191.5</v>
      </c>
      <c r="AL23" s="109">
        <v>181.2</v>
      </c>
      <c r="AM23" s="109">
        <v>182.4</v>
      </c>
      <c r="AN23" s="109">
        <v>176.1</v>
      </c>
      <c r="AO23" s="109">
        <v>173.1</v>
      </c>
      <c r="AP23" s="109">
        <v>173.9</v>
      </c>
      <c r="AQ23" s="109">
        <v>166.3</v>
      </c>
      <c r="AR23" s="109">
        <v>161.1</v>
      </c>
      <c r="AS23" s="109">
        <v>196.6</v>
      </c>
      <c r="AT23" s="109">
        <v>164.4</v>
      </c>
      <c r="AU23" s="109">
        <v>176.9</v>
      </c>
      <c r="AV23" s="109">
        <v>189.9</v>
      </c>
      <c r="AW23" s="109">
        <v>192.1</v>
      </c>
      <c r="AX23" s="109">
        <v>188.9</v>
      </c>
      <c r="AY23" s="109">
        <v>191.5</v>
      </c>
      <c r="AZ23" s="109">
        <v>200.9</v>
      </c>
      <c r="BA23" s="109">
        <v>184.6</v>
      </c>
      <c r="BB23" s="109">
        <v>180.1</v>
      </c>
      <c r="BC23" s="109">
        <v>193.2</v>
      </c>
      <c r="BD23" s="109">
        <v>176.6</v>
      </c>
      <c r="BE23" s="109">
        <v>200.6</v>
      </c>
      <c r="BF23" s="109">
        <v>176.1</v>
      </c>
      <c r="BG23" s="109">
        <v>188.2</v>
      </c>
      <c r="BH23" s="109">
        <v>153.69999999999999</v>
      </c>
      <c r="BI23" s="109">
        <v>172.9</v>
      </c>
      <c r="BJ23" s="109">
        <v>171.4</v>
      </c>
      <c r="BK23" s="109">
        <v>189.9</v>
      </c>
      <c r="BL23" s="109">
        <v>171.6</v>
      </c>
      <c r="BM23" s="109">
        <v>190.5</v>
      </c>
      <c r="BN23" s="109">
        <v>184.9</v>
      </c>
      <c r="BO23" s="109">
        <v>175.1</v>
      </c>
      <c r="BP23" s="109">
        <v>156.6</v>
      </c>
      <c r="BQ23" s="109">
        <v>175.7</v>
      </c>
      <c r="BR23" s="109">
        <v>163.1</v>
      </c>
      <c r="BS23" s="109">
        <v>188.1</v>
      </c>
      <c r="BT23" s="109">
        <v>180.3</v>
      </c>
      <c r="BU23" s="109">
        <v>175.4</v>
      </c>
      <c r="BV23" s="109"/>
      <c r="BW23" s="109"/>
      <c r="BX23" s="109">
        <v>182.4</v>
      </c>
      <c r="BY23" s="109">
        <v>164.6</v>
      </c>
      <c r="BZ23" s="109">
        <v>187.3</v>
      </c>
      <c r="CA23" s="109">
        <v>174.8</v>
      </c>
      <c r="CB23" s="109">
        <v>181.4</v>
      </c>
      <c r="CC23" s="109">
        <v>169.1</v>
      </c>
      <c r="CD23" s="109">
        <v>188.4</v>
      </c>
      <c r="CE23" s="109">
        <v>166.4</v>
      </c>
      <c r="CF23" s="109">
        <v>179.8</v>
      </c>
      <c r="CG23" s="109">
        <v>194.5</v>
      </c>
      <c r="CH23" s="109">
        <v>185.2</v>
      </c>
      <c r="CI23" s="109">
        <v>187.4</v>
      </c>
      <c r="CJ23" s="109">
        <v>169.9</v>
      </c>
      <c r="CK23" s="109">
        <v>182.7</v>
      </c>
      <c r="CL23" s="109">
        <v>178.8</v>
      </c>
      <c r="CM23" s="109">
        <v>176.1</v>
      </c>
      <c r="CN23" s="109">
        <v>192.2</v>
      </c>
      <c r="CO23" s="109">
        <v>195.2</v>
      </c>
      <c r="CP23" s="109">
        <v>169.9</v>
      </c>
      <c r="CQ23" s="109">
        <v>191.3</v>
      </c>
      <c r="CR23" s="109">
        <v>171.9</v>
      </c>
      <c r="CS23" s="109">
        <v>190</v>
      </c>
      <c r="CT23" s="109">
        <v>172.7</v>
      </c>
      <c r="CU23" s="109">
        <v>174</v>
      </c>
      <c r="CV23" s="109">
        <v>177.5</v>
      </c>
      <c r="CW23" s="109">
        <v>181.5</v>
      </c>
      <c r="CX23" s="109">
        <v>169.4</v>
      </c>
    </row>
    <row r="24" spans="1:102" x14ac:dyDescent="0.25">
      <c r="A24" s="106">
        <v>2015</v>
      </c>
      <c r="B24" s="109">
        <v>176.5</v>
      </c>
      <c r="C24" s="109">
        <v>169.6</v>
      </c>
      <c r="D24" s="109">
        <v>175.4</v>
      </c>
      <c r="E24" s="109">
        <v>154.30000000000001</v>
      </c>
      <c r="F24" s="109">
        <v>189.8</v>
      </c>
      <c r="G24" s="109">
        <v>187.5</v>
      </c>
      <c r="H24" s="109">
        <v>192.9</v>
      </c>
      <c r="I24" s="109">
        <v>192.3</v>
      </c>
      <c r="J24" s="109">
        <v>203.1</v>
      </c>
      <c r="K24" s="109">
        <v>191.6</v>
      </c>
      <c r="L24" s="109">
        <v>202.7</v>
      </c>
      <c r="M24" s="109">
        <v>193.3</v>
      </c>
      <c r="N24" s="109">
        <v>194.7</v>
      </c>
      <c r="O24" s="109">
        <v>195.4</v>
      </c>
      <c r="P24" s="109">
        <v>193.7</v>
      </c>
      <c r="Q24" s="109">
        <v>188.8</v>
      </c>
      <c r="R24" s="109">
        <v>196.9</v>
      </c>
      <c r="S24" s="109">
        <v>209.6</v>
      </c>
      <c r="T24" s="109">
        <v>202.8</v>
      </c>
      <c r="U24" s="109">
        <v>152.4</v>
      </c>
      <c r="V24" s="109">
        <v>202.8</v>
      </c>
      <c r="W24" s="109">
        <v>193.2</v>
      </c>
      <c r="X24" s="109">
        <v>188.2</v>
      </c>
      <c r="Y24" s="109">
        <v>199.1</v>
      </c>
      <c r="Z24" s="109">
        <v>182.4</v>
      </c>
      <c r="AA24" s="109">
        <v>142.4</v>
      </c>
      <c r="AB24" s="109">
        <v>162.69999999999999</v>
      </c>
      <c r="AC24" s="109">
        <v>195.8</v>
      </c>
      <c r="AD24" s="109">
        <v>176</v>
      </c>
      <c r="AE24" s="109">
        <v>194.5</v>
      </c>
      <c r="AF24" s="109">
        <v>197</v>
      </c>
      <c r="AG24" s="109">
        <v>203.3</v>
      </c>
      <c r="AH24" s="109">
        <v>191.8</v>
      </c>
      <c r="AI24" s="109">
        <v>196.5</v>
      </c>
      <c r="AJ24" s="109">
        <v>200.2</v>
      </c>
      <c r="AK24" s="109">
        <v>179.9</v>
      </c>
      <c r="AL24" s="109">
        <v>189</v>
      </c>
      <c r="AM24" s="109">
        <v>199.9</v>
      </c>
      <c r="AN24" s="109">
        <v>179.2</v>
      </c>
      <c r="AO24" s="109">
        <v>198.1</v>
      </c>
      <c r="AP24" s="109">
        <v>201.2</v>
      </c>
      <c r="AQ24" s="109">
        <v>199.3</v>
      </c>
      <c r="AR24" s="109">
        <v>189.5</v>
      </c>
      <c r="AS24" s="109">
        <v>178.4</v>
      </c>
      <c r="AT24" s="109">
        <v>202.1</v>
      </c>
      <c r="AU24" s="109">
        <v>194.8</v>
      </c>
      <c r="AV24" s="109">
        <v>203.1</v>
      </c>
      <c r="AW24" s="109">
        <v>199.3</v>
      </c>
      <c r="AX24" s="109">
        <v>190.6</v>
      </c>
      <c r="AY24" s="109">
        <v>198.9</v>
      </c>
      <c r="AZ24" s="109">
        <v>168.2</v>
      </c>
      <c r="BA24" s="109">
        <v>187.1</v>
      </c>
      <c r="BB24" s="109">
        <v>186.6</v>
      </c>
      <c r="BC24" s="109">
        <v>181</v>
      </c>
      <c r="BD24" s="109">
        <v>199</v>
      </c>
      <c r="BE24" s="109">
        <v>145.1</v>
      </c>
      <c r="BF24" s="109">
        <v>189.2</v>
      </c>
      <c r="BG24" s="109">
        <v>181.7</v>
      </c>
      <c r="BH24" s="109">
        <v>154.80000000000001</v>
      </c>
      <c r="BI24" s="109">
        <v>196</v>
      </c>
      <c r="BJ24" s="109">
        <v>169.6</v>
      </c>
      <c r="BK24" s="109">
        <v>190.3</v>
      </c>
      <c r="BL24" s="109">
        <v>178.1</v>
      </c>
      <c r="BM24" s="109">
        <v>194.9</v>
      </c>
      <c r="BN24" s="109"/>
      <c r="BO24" s="109">
        <v>202.1</v>
      </c>
      <c r="BP24" s="109">
        <v>169</v>
      </c>
      <c r="BQ24" s="109"/>
      <c r="BR24" s="109">
        <v>185.2</v>
      </c>
      <c r="BS24" s="109">
        <v>177.7</v>
      </c>
      <c r="BT24" s="109">
        <v>205.2</v>
      </c>
      <c r="BU24" s="109">
        <v>204.7</v>
      </c>
      <c r="BV24" s="109">
        <v>336.4</v>
      </c>
      <c r="BW24" s="109"/>
      <c r="BX24" s="109">
        <v>165.8</v>
      </c>
      <c r="BY24" s="109">
        <v>197.5</v>
      </c>
      <c r="BZ24" s="109">
        <v>203.6</v>
      </c>
      <c r="CA24" s="109">
        <v>205.5</v>
      </c>
      <c r="CB24" s="109">
        <v>187</v>
      </c>
      <c r="CC24" s="109">
        <v>204</v>
      </c>
      <c r="CD24" s="109">
        <v>197.8</v>
      </c>
      <c r="CE24" s="109">
        <v>147.80000000000001</v>
      </c>
      <c r="CF24" s="109">
        <v>204.8</v>
      </c>
      <c r="CG24" s="109">
        <v>195.9</v>
      </c>
      <c r="CH24" s="109">
        <v>195.3</v>
      </c>
      <c r="CI24" s="109">
        <v>201.9</v>
      </c>
      <c r="CJ24" s="109">
        <v>188</v>
      </c>
      <c r="CK24" s="109">
        <v>189.5</v>
      </c>
      <c r="CL24" s="109"/>
      <c r="CM24" s="109"/>
      <c r="CN24" s="109">
        <v>158.30000000000001</v>
      </c>
      <c r="CO24" s="109">
        <v>159.30000000000001</v>
      </c>
      <c r="CP24" s="109">
        <v>170.3</v>
      </c>
      <c r="CQ24" s="109">
        <v>195</v>
      </c>
      <c r="CR24" s="109">
        <v>158</v>
      </c>
      <c r="CS24" s="109">
        <v>201</v>
      </c>
      <c r="CT24" s="109">
        <v>203.6</v>
      </c>
      <c r="CU24" s="109">
        <v>185.6</v>
      </c>
      <c r="CV24" s="109">
        <v>202.3</v>
      </c>
      <c r="CW24" s="109">
        <v>202.1</v>
      </c>
      <c r="CX24" s="109">
        <v>198.4</v>
      </c>
    </row>
    <row r="25" spans="1:102" x14ac:dyDescent="0.25">
      <c r="A25" s="106">
        <v>2016</v>
      </c>
      <c r="B25" s="109">
        <v>190.3</v>
      </c>
      <c r="C25" s="109">
        <v>187.4</v>
      </c>
      <c r="D25" s="109">
        <v>205.1</v>
      </c>
      <c r="E25" s="109">
        <v>186.3</v>
      </c>
      <c r="F25" s="109">
        <v>206.1</v>
      </c>
      <c r="G25" s="109">
        <v>199.9</v>
      </c>
      <c r="H25" s="109">
        <v>206.4</v>
      </c>
      <c r="I25" s="109">
        <v>208.4</v>
      </c>
      <c r="J25" s="109">
        <v>210.6</v>
      </c>
      <c r="K25" s="109">
        <v>205.6</v>
      </c>
      <c r="L25" s="109">
        <v>201.1</v>
      </c>
      <c r="M25" s="109">
        <v>207.3</v>
      </c>
      <c r="N25" s="109">
        <v>207.3</v>
      </c>
      <c r="O25" s="109">
        <v>203.1</v>
      </c>
      <c r="P25" s="109">
        <v>195.9</v>
      </c>
      <c r="Q25" s="109">
        <v>215.3</v>
      </c>
      <c r="R25" s="109">
        <v>193.6</v>
      </c>
      <c r="S25" s="109">
        <v>219.7</v>
      </c>
      <c r="T25" s="109">
        <v>206.6</v>
      </c>
      <c r="U25" s="109">
        <v>163.9</v>
      </c>
      <c r="V25" s="109">
        <v>202</v>
      </c>
      <c r="W25" s="109">
        <v>210.3</v>
      </c>
      <c r="X25" s="109">
        <v>213.8</v>
      </c>
      <c r="Y25" s="109">
        <v>213.5</v>
      </c>
      <c r="Z25" s="109">
        <v>204</v>
      </c>
      <c r="AA25" s="109">
        <v>188.7</v>
      </c>
      <c r="AB25" s="109">
        <v>181.1</v>
      </c>
      <c r="AC25" s="109">
        <v>202.3</v>
      </c>
      <c r="AD25" s="109">
        <v>210</v>
      </c>
      <c r="AE25" s="109">
        <v>188</v>
      </c>
      <c r="AF25" s="109">
        <v>211.5</v>
      </c>
      <c r="AG25" s="109">
        <v>198.5</v>
      </c>
      <c r="AH25" s="109">
        <v>202.5</v>
      </c>
      <c r="AI25" s="109">
        <v>196.3</v>
      </c>
      <c r="AJ25" s="109">
        <v>204.8</v>
      </c>
      <c r="AK25" s="109">
        <v>180.8</v>
      </c>
      <c r="AL25" s="109">
        <v>205.5</v>
      </c>
      <c r="AM25" s="109">
        <v>198.5</v>
      </c>
      <c r="AN25" s="109">
        <v>198.2</v>
      </c>
      <c r="AO25" s="109">
        <v>209</v>
      </c>
      <c r="AP25" s="109">
        <v>200.3</v>
      </c>
      <c r="AQ25" s="109">
        <v>208</v>
      </c>
      <c r="AR25" s="109">
        <v>204.6</v>
      </c>
      <c r="AS25" s="109">
        <v>199</v>
      </c>
      <c r="AT25" s="109">
        <v>202.2</v>
      </c>
      <c r="AU25" s="109">
        <v>206.1</v>
      </c>
      <c r="AV25" s="109">
        <v>216</v>
      </c>
      <c r="AW25" s="109">
        <v>210.6</v>
      </c>
      <c r="AX25" s="109">
        <v>202.1</v>
      </c>
      <c r="AY25" s="109">
        <v>214.7</v>
      </c>
      <c r="AZ25" s="109">
        <v>197</v>
      </c>
      <c r="BA25" s="109">
        <v>189</v>
      </c>
      <c r="BB25" s="109">
        <v>201.3</v>
      </c>
      <c r="BC25" s="109">
        <v>208.6</v>
      </c>
      <c r="BD25" s="109">
        <v>204.7</v>
      </c>
      <c r="BE25" s="109">
        <v>194.6</v>
      </c>
      <c r="BF25" s="109">
        <v>200.3</v>
      </c>
      <c r="BG25" s="109">
        <v>200.2</v>
      </c>
      <c r="BH25" s="109">
        <v>174.6</v>
      </c>
      <c r="BI25" s="109">
        <v>206.9</v>
      </c>
      <c r="BJ25" s="109">
        <v>185.5</v>
      </c>
      <c r="BK25" s="109">
        <v>204.7</v>
      </c>
      <c r="BL25" s="109">
        <v>198</v>
      </c>
      <c r="BM25" s="109">
        <v>211.3</v>
      </c>
      <c r="BN25" s="109">
        <v>188.4</v>
      </c>
      <c r="BO25" s="109">
        <v>199.1</v>
      </c>
      <c r="BP25" s="109">
        <v>184.5</v>
      </c>
      <c r="BQ25" s="109">
        <v>180</v>
      </c>
      <c r="BR25" s="109">
        <v>185.5</v>
      </c>
      <c r="BS25" s="109">
        <v>203</v>
      </c>
      <c r="BT25" s="109">
        <v>210.7</v>
      </c>
      <c r="BU25" s="109">
        <v>203.7</v>
      </c>
      <c r="BV25" s="109"/>
      <c r="BW25" s="109"/>
      <c r="BX25" s="109">
        <v>185.8</v>
      </c>
      <c r="BY25" s="109">
        <v>196</v>
      </c>
      <c r="BZ25" s="109">
        <v>209.2</v>
      </c>
      <c r="CA25" s="109">
        <v>206.8</v>
      </c>
      <c r="CB25" s="109">
        <v>199.8</v>
      </c>
      <c r="CC25" s="109">
        <v>210.4</v>
      </c>
      <c r="CD25" s="109">
        <v>213.2</v>
      </c>
      <c r="CE25" s="109">
        <v>179.5</v>
      </c>
      <c r="CF25" s="109">
        <v>214.3</v>
      </c>
      <c r="CG25" s="109">
        <v>216</v>
      </c>
      <c r="CH25" s="109">
        <v>215.3</v>
      </c>
      <c r="CI25" s="109">
        <v>212.2</v>
      </c>
      <c r="CJ25" s="109">
        <v>211.9</v>
      </c>
      <c r="CK25" s="109">
        <v>208.4</v>
      </c>
      <c r="CL25" s="109">
        <v>159.9</v>
      </c>
      <c r="CM25" s="109">
        <v>183</v>
      </c>
      <c r="CN25" s="109">
        <v>189</v>
      </c>
      <c r="CO25" s="109">
        <v>196.9</v>
      </c>
      <c r="CP25" s="109">
        <v>184.6</v>
      </c>
      <c r="CQ25" s="109">
        <v>208.2</v>
      </c>
      <c r="CR25" s="109">
        <v>174.5</v>
      </c>
      <c r="CS25" s="109">
        <v>200.8</v>
      </c>
      <c r="CT25" s="109">
        <v>197.9</v>
      </c>
      <c r="CU25" s="109">
        <v>210.7</v>
      </c>
      <c r="CV25" s="109">
        <v>203.7</v>
      </c>
      <c r="CW25" s="109">
        <v>191.5</v>
      </c>
      <c r="CX25" s="109">
        <v>200.2</v>
      </c>
    </row>
    <row r="26" spans="1:102" x14ac:dyDescent="0.25">
      <c r="A26" s="106">
        <v>2017</v>
      </c>
      <c r="B26" s="109">
        <v>175.2</v>
      </c>
      <c r="C26" s="109">
        <v>179.9</v>
      </c>
      <c r="D26" s="109">
        <v>190.5</v>
      </c>
      <c r="E26" s="109">
        <v>170</v>
      </c>
      <c r="F26" s="109">
        <v>211.2</v>
      </c>
      <c r="G26" s="109">
        <v>215.3</v>
      </c>
      <c r="H26" s="109">
        <v>209.2</v>
      </c>
      <c r="I26" s="109">
        <v>192.4</v>
      </c>
      <c r="J26" s="109">
        <v>212.7</v>
      </c>
      <c r="K26" s="109">
        <v>221.3</v>
      </c>
      <c r="L26" s="109">
        <v>187.9</v>
      </c>
      <c r="M26" s="109">
        <v>211.4</v>
      </c>
      <c r="N26" s="109">
        <v>195.1</v>
      </c>
      <c r="O26" s="109">
        <v>211.3</v>
      </c>
      <c r="P26" s="109">
        <v>197.4</v>
      </c>
      <c r="Q26" s="109">
        <v>222.3</v>
      </c>
      <c r="R26" s="109">
        <v>208.9</v>
      </c>
      <c r="S26" s="109">
        <v>203.7</v>
      </c>
      <c r="T26" s="109">
        <v>194.4</v>
      </c>
      <c r="U26" s="109"/>
      <c r="V26" s="109">
        <v>197.3</v>
      </c>
      <c r="W26" s="109">
        <v>213.6</v>
      </c>
      <c r="X26" s="109">
        <v>213.3</v>
      </c>
      <c r="Y26" s="109">
        <v>221.9</v>
      </c>
      <c r="Z26" s="109">
        <v>187.2</v>
      </c>
      <c r="AA26" s="109">
        <v>107.3</v>
      </c>
      <c r="AB26" s="109"/>
      <c r="AC26" s="109">
        <v>218</v>
      </c>
      <c r="AD26" s="109">
        <v>200.1</v>
      </c>
      <c r="AE26" s="109">
        <v>196.2</v>
      </c>
      <c r="AF26" s="109">
        <v>215.1</v>
      </c>
      <c r="AG26" s="109">
        <v>210.1</v>
      </c>
      <c r="AH26" s="109">
        <v>207.6</v>
      </c>
      <c r="AI26" s="109">
        <v>203.4</v>
      </c>
      <c r="AJ26" s="109">
        <v>206.1</v>
      </c>
      <c r="AK26" s="109">
        <v>204.5</v>
      </c>
      <c r="AL26" s="109">
        <v>202.2</v>
      </c>
      <c r="AM26" s="109">
        <v>217.3</v>
      </c>
      <c r="AN26" s="109">
        <v>197.6</v>
      </c>
      <c r="AO26" s="109">
        <v>194.6</v>
      </c>
      <c r="AP26" s="109">
        <v>200.2</v>
      </c>
      <c r="AQ26" s="109">
        <v>213.7</v>
      </c>
      <c r="AR26" s="109">
        <v>193.2</v>
      </c>
      <c r="AS26" s="109">
        <v>196.4</v>
      </c>
      <c r="AT26" s="109">
        <v>201.7</v>
      </c>
      <c r="AU26" s="109">
        <v>200.9</v>
      </c>
      <c r="AV26" s="109">
        <v>215.7</v>
      </c>
      <c r="AW26" s="109">
        <v>216.7</v>
      </c>
      <c r="AX26" s="109">
        <v>202.1</v>
      </c>
      <c r="AY26" s="109">
        <v>204.6</v>
      </c>
      <c r="AZ26" s="109">
        <v>165.5</v>
      </c>
      <c r="BA26" s="109">
        <v>213.1</v>
      </c>
      <c r="BB26" s="109">
        <v>217</v>
      </c>
      <c r="BC26" s="109">
        <v>176.4</v>
      </c>
      <c r="BD26" s="109">
        <v>205.6</v>
      </c>
      <c r="BE26" s="109">
        <v>178</v>
      </c>
      <c r="BF26" s="109">
        <v>217.4</v>
      </c>
      <c r="BG26" s="109">
        <v>216.6</v>
      </c>
      <c r="BH26" s="109"/>
      <c r="BI26" s="109">
        <v>218.9</v>
      </c>
      <c r="BJ26" s="109">
        <v>173.1</v>
      </c>
      <c r="BK26" s="109">
        <v>177.2</v>
      </c>
      <c r="BL26" s="109">
        <v>185.7</v>
      </c>
      <c r="BM26" s="109">
        <v>222.4</v>
      </c>
      <c r="BN26" s="109">
        <v>190.1</v>
      </c>
      <c r="BO26" s="109">
        <v>213.4</v>
      </c>
      <c r="BP26" s="109">
        <v>196</v>
      </c>
      <c r="BQ26" s="109">
        <v>169.9</v>
      </c>
      <c r="BR26" s="109">
        <v>199.1</v>
      </c>
      <c r="BS26" s="109">
        <v>206.8</v>
      </c>
      <c r="BT26" s="109">
        <v>213.8</v>
      </c>
      <c r="BU26" s="109">
        <v>211.6</v>
      </c>
      <c r="BV26" s="109">
        <v>129.69999999999999</v>
      </c>
      <c r="BW26" s="109"/>
      <c r="BX26" s="109">
        <v>193.1</v>
      </c>
      <c r="BY26" s="109">
        <v>195.4</v>
      </c>
      <c r="BZ26" s="109">
        <v>193</v>
      </c>
      <c r="CA26" s="109">
        <v>190.9</v>
      </c>
      <c r="CB26" s="109">
        <v>200.3</v>
      </c>
      <c r="CC26" s="109">
        <v>195.8</v>
      </c>
      <c r="CD26" s="109">
        <v>215.1</v>
      </c>
      <c r="CE26" s="109">
        <v>167.8</v>
      </c>
      <c r="CF26" s="109">
        <v>194.5</v>
      </c>
      <c r="CG26" s="109">
        <v>220</v>
      </c>
      <c r="CH26" s="109">
        <v>207.1</v>
      </c>
      <c r="CI26" s="109">
        <v>220.7</v>
      </c>
      <c r="CJ26" s="109">
        <v>200.3</v>
      </c>
      <c r="CK26" s="109">
        <v>220.6</v>
      </c>
      <c r="CL26" s="109">
        <v>175</v>
      </c>
      <c r="CM26" s="109">
        <v>147.9</v>
      </c>
      <c r="CN26" s="109">
        <v>128.19999999999999</v>
      </c>
      <c r="CO26" s="109">
        <v>153</v>
      </c>
      <c r="CP26" s="109">
        <v>183.2</v>
      </c>
      <c r="CQ26" s="109">
        <v>220.4</v>
      </c>
      <c r="CR26" s="109"/>
      <c r="CS26" s="109">
        <v>197.9</v>
      </c>
      <c r="CT26" s="109">
        <v>210.7</v>
      </c>
      <c r="CU26" s="109">
        <v>199.7</v>
      </c>
      <c r="CV26" s="109">
        <v>200.5</v>
      </c>
      <c r="CW26" s="109">
        <v>198.5</v>
      </c>
      <c r="CX26" s="109">
        <v>206.9</v>
      </c>
    </row>
    <row r="27" spans="1:102" x14ac:dyDescent="0.25">
      <c r="A27" s="106">
        <v>2018</v>
      </c>
      <c r="B27" s="109">
        <v>149.5</v>
      </c>
      <c r="C27" s="109">
        <v>171.6</v>
      </c>
      <c r="D27" s="109">
        <v>198.4</v>
      </c>
      <c r="E27" s="109"/>
      <c r="F27" s="109">
        <v>180</v>
      </c>
      <c r="G27" s="109">
        <v>214.6</v>
      </c>
      <c r="H27" s="109">
        <v>206.2</v>
      </c>
      <c r="I27" s="109">
        <v>193.7</v>
      </c>
      <c r="J27" s="109">
        <v>212.4</v>
      </c>
      <c r="K27" s="109">
        <v>207.1</v>
      </c>
      <c r="L27" s="109">
        <v>193.1</v>
      </c>
      <c r="M27" s="109">
        <v>211.3</v>
      </c>
      <c r="N27" s="109">
        <v>193.3</v>
      </c>
      <c r="O27" s="109">
        <v>208.4</v>
      </c>
      <c r="P27" s="109">
        <v>169.5</v>
      </c>
      <c r="Q27" s="109">
        <v>222.3</v>
      </c>
      <c r="R27" s="109">
        <v>184.4</v>
      </c>
      <c r="S27" s="109">
        <v>213.3</v>
      </c>
      <c r="T27" s="109">
        <v>192.9</v>
      </c>
      <c r="U27" s="109">
        <v>161.80000000000001</v>
      </c>
      <c r="V27" s="109">
        <v>158.5</v>
      </c>
      <c r="W27" s="109">
        <v>201.5</v>
      </c>
      <c r="X27" s="109">
        <v>210.9</v>
      </c>
      <c r="Y27" s="109">
        <v>214</v>
      </c>
      <c r="Z27" s="109">
        <v>174</v>
      </c>
      <c r="AA27" s="109"/>
      <c r="AB27" s="109">
        <v>172.5</v>
      </c>
      <c r="AC27" s="109">
        <v>224.8</v>
      </c>
      <c r="AD27" s="109">
        <v>195.4</v>
      </c>
      <c r="AE27" s="109">
        <v>160.4</v>
      </c>
      <c r="AF27" s="109">
        <v>211.8</v>
      </c>
      <c r="AG27" s="109">
        <v>155.80000000000001</v>
      </c>
      <c r="AH27" s="109">
        <v>200.1</v>
      </c>
      <c r="AI27" s="109">
        <v>184.4</v>
      </c>
      <c r="AJ27" s="109">
        <v>204.3</v>
      </c>
      <c r="AK27" s="109">
        <v>195.1</v>
      </c>
      <c r="AL27" s="109">
        <v>201.3</v>
      </c>
      <c r="AM27" s="109">
        <v>225.2</v>
      </c>
      <c r="AN27" s="109">
        <v>192.2</v>
      </c>
      <c r="AO27" s="109">
        <v>188.9</v>
      </c>
      <c r="AP27" s="109">
        <v>176.7</v>
      </c>
      <c r="AQ27" s="109">
        <v>216.6</v>
      </c>
      <c r="AR27" s="109">
        <v>176</v>
      </c>
      <c r="AS27" s="109">
        <v>189.7</v>
      </c>
      <c r="AT27" s="109">
        <v>185.5</v>
      </c>
      <c r="AU27" s="109">
        <v>162.30000000000001</v>
      </c>
      <c r="AV27" s="109">
        <v>222.2</v>
      </c>
      <c r="AW27" s="109">
        <v>211.7</v>
      </c>
      <c r="AX27" s="109">
        <v>202.4</v>
      </c>
      <c r="AY27" s="109">
        <v>218.6</v>
      </c>
      <c r="AZ27" s="109">
        <v>198.8</v>
      </c>
      <c r="BA27" s="109">
        <v>212.3</v>
      </c>
      <c r="BB27" s="109">
        <v>208.9</v>
      </c>
      <c r="BC27" s="109">
        <v>203.7</v>
      </c>
      <c r="BD27" s="109">
        <v>180.2</v>
      </c>
      <c r="BE27" s="109">
        <v>201.3</v>
      </c>
      <c r="BF27" s="109">
        <v>215.4</v>
      </c>
      <c r="BG27" s="109">
        <v>196.5</v>
      </c>
      <c r="BH27" s="109"/>
      <c r="BI27" s="109">
        <v>193</v>
      </c>
      <c r="BJ27" s="109">
        <v>167.8</v>
      </c>
      <c r="BK27" s="109">
        <v>207.7</v>
      </c>
      <c r="BL27" s="109">
        <v>190.2</v>
      </c>
      <c r="BM27" s="109">
        <v>226</v>
      </c>
      <c r="BN27" s="109"/>
      <c r="BO27" s="109">
        <v>193.3</v>
      </c>
      <c r="BP27" s="109">
        <v>181.4</v>
      </c>
      <c r="BQ27" s="109">
        <v>167</v>
      </c>
      <c r="BR27" s="109">
        <v>191.5</v>
      </c>
      <c r="BS27" s="109">
        <v>209.6</v>
      </c>
      <c r="BT27" s="109">
        <v>201.6</v>
      </c>
      <c r="BU27" s="109">
        <v>180.2</v>
      </c>
      <c r="BV27" s="109">
        <v>516.20000000000005</v>
      </c>
      <c r="BW27" s="109"/>
      <c r="BX27" s="109">
        <v>188.1</v>
      </c>
      <c r="BY27" s="109">
        <v>157.9</v>
      </c>
      <c r="BZ27" s="109">
        <v>213.8</v>
      </c>
      <c r="CA27" s="109">
        <v>179.2</v>
      </c>
      <c r="CB27" s="109">
        <v>186.2</v>
      </c>
      <c r="CC27" s="109"/>
      <c r="CD27" s="109">
        <v>218.7</v>
      </c>
      <c r="CE27" s="109">
        <v>153.30000000000001</v>
      </c>
      <c r="CF27" s="109">
        <v>213.5</v>
      </c>
      <c r="CG27" s="109">
        <v>214</v>
      </c>
      <c r="CH27" s="109">
        <v>189.1</v>
      </c>
      <c r="CI27" s="109">
        <v>211.9</v>
      </c>
      <c r="CJ27" s="109">
        <v>192.3</v>
      </c>
      <c r="CK27" s="109">
        <v>224.3</v>
      </c>
      <c r="CL27" s="109">
        <v>154.4</v>
      </c>
      <c r="CM27" s="109">
        <v>155.80000000000001</v>
      </c>
      <c r="CN27" s="109">
        <v>180.9</v>
      </c>
      <c r="CO27" s="109"/>
      <c r="CP27" s="109">
        <v>163.6</v>
      </c>
      <c r="CQ27" s="109">
        <v>214.3</v>
      </c>
      <c r="CR27" s="109">
        <v>171.6</v>
      </c>
      <c r="CS27" s="109">
        <v>188.1</v>
      </c>
      <c r="CT27" s="109">
        <v>180.8</v>
      </c>
      <c r="CU27" s="109">
        <v>198.1</v>
      </c>
      <c r="CV27" s="109">
        <v>219.3</v>
      </c>
      <c r="CW27" s="109">
        <v>180</v>
      </c>
      <c r="CX27" s="109">
        <v>180.5</v>
      </c>
    </row>
    <row r="28" spans="1:102" x14ac:dyDescent="0.25">
      <c r="A28" s="106">
        <v>2019</v>
      </c>
      <c r="B28" s="109">
        <v>176.6</v>
      </c>
      <c r="C28" s="109"/>
      <c r="D28" s="109">
        <v>187.2</v>
      </c>
      <c r="E28" s="109">
        <v>166.8</v>
      </c>
      <c r="F28" s="109">
        <v>216</v>
      </c>
      <c r="G28" s="109">
        <v>197.6</v>
      </c>
      <c r="H28" s="109">
        <v>205.1</v>
      </c>
      <c r="I28" s="109">
        <v>194.8</v>
      </c>
      <c r="J28" s="109">
        <v>212.5</v>
      </c>
      <c r="K28" s="109">
        <v>218.9</v>
      </c>
      <c r="L28" s="109">
        <v>190.8</v>
      </c>
      <c r="M28" s="109">
        <v>209.5</v>
      </c>
      <c r="N28" s="109">
        <v>198.8</v>
      </c>
      <c r="O28" s="109">
        <v>219.7</v>
      </c>
      <c r="P28" s="109">
        <v>200.3</v>
      </c>
      <c r="Q28" s="109">
        <v>193.7</v>
      </c>
      <c r="R28" s="109">
        <v>191.8</v>
      </c>
      <c r="S28" s="109">
        <v>208.9</v>
      </c>
      <c r="T28" s="109">
        <v>212.1</v>
      </c>
      <c r="U28" s="109"/>
      <c r="V28" s="109">
        <v>185.5</v>
      </c>
      <c r="W28" s="109">
        <v>197.5</v>
      </c>
      <c r="X28" s="109">
        <v>196.1</v>
      </c>
      <c r="Y28" s="109">
        <v>234.7</v>
      </c>
      <c r="Z28" s="109">
        <v>195</v>
      </c>
      <c r="AA28" s="109">
        <v>160</v>
      </c>
      <c r="AB28" s="109"/>
      <c r="AC28" s="109">
        <v>204.6</v>
      </c>
      <c r="AD28" s="109">
        <v>176.9</v>
      </c>
      <c r="AE28" s="109">
        <v>170</v>
      </c>
      <c r="AF28" s="109">
        <v>216.4</v>
      </c>
      <c r="AG28" s="109"/>
      <c r="AH28" s="109">
        <v>200.5</v>
      </c>
      <c r="AI28" s="109">
        <v>202.9</v>
      </c>
      <c r="AJ28" s="109">
        <v>202.7</v>
      </c>
      <c r="AK28" s="109"/>
      <c r="AL28" s="109">
        <v>201.4</v>
      </c>
      <c r="AM28" s="109">
        <v>209.8</v>
      </c>
      <c r="AN28" s="109">
        <v>196.7</v>
      </c>
      <c r="AO28" s="109">
        <v>198.2</v>
      </c>
      <c r="AP28" s="109">
        <v>193.3</v>
      </c>
      <c r="AQ28" s="109">
        <v>200.2</v>
      </c>
      <c r="AR28" s="109"/>
      <c r="AS28" s="109">
        <v>164.5</v>
      </c>
      <c r="AT28" s="109">
        <v>194.2</v>
      </c>
      <c r="AU28" s="109">
        <v>198.7</v>
      </c>
      <c r="AV28" s="109"/>
      <c r="AW28" s="109">
        <v>190.6</v>
      </c>
      <c r="AX28" s="109">
        <v>185.5</v>
      </c>
      <c r="AY28" s="109">
        <v>209.3</v>
      </c>
      <c r="AZ28" s="109">
        <v>162.69999999999999</v>
      </c>
      <c r="BA28" s="109">
        <v>181.3</v>
      </c>
      <c r="BB28" s="109">
        <v>203</v>
      </c>
      <c r="BC28" s="109">
        <v>175.5</v>
      </c>
      <c r="BD28" s="109">
        <v>198.7</v>
      </c>
      <c r="BE28" s="109">
        <v>172.5</v>
      </c>
      <c r="BF28" s="109">
        <v>223.7</v>
      </c>
      <c r="BG28" s="109">
        <v>174.6</v>
      </c>
      <c r="BH28" s="109"/>
      <c r="BI28" s="109">
        <v>186.6</v>
      </c>
      <c r="BJ28" s="109">
        <v>175.7</v>
      </c>
      <c r="BK28" s="109">
        <v>189.9</v>
      </c>
      <c r="BL28" s="109">
        <v>170.7</v>
      </c>
      <c r="BM28" s="109">
        <v>221.9</v>
      </c>
      <c r="BN28" s="109">
        <v>202.9</v>
      </c>
      <c r="BO28" s="109">
        <v>194.5</v>
      </c>
      <c r="BP28" s="109">
        <v>203.9</v>
      </c>
      <c r="BQ28" s="109">
        <v>162.30000000000001</v>
      </c>
      <c r="BR28" s="109">
        <v>204.8</v>
      </c>
      <c r="BS28" s="109">
        <v>173.2</v>
      </c>
      <c r="BT28" s="109">
        <v>204.9</v>
      </c>
      <c r="BU28" s="109">
        <v>182.5</v>
      </c>
      <c r="BV28" s="109">
        <v>743.1</v>
      </c>
      <c r="BW28" s="109"/>
      <c r="BX28" s="109">
        <v>191.4</v>
      </c>
      <c r="BY28" s="109">
        <v>198.3</v>
      </c>
      <c r="BZ28" s="109">
        <v>217.8</v>
      </c>
      <c r="CA28" s="109"/>
      <c r="CB28" s="109">
        <v>196.7</v>
      </c>
      <c r="CC28" s="109">
        <v>208</v>
      </c>
      <c r="CD28" s="109">
        <v>200.3</v>
      </c>
      <c r="CE28" s="109"/>
      <c r="CF28" s="109">
        <v>220.6</v>
      </c>
      <c r="CG28" s="109">
        <v>189.3</v>
      </c>
      <c r="CH28" s="109">
        <v>217.3</v>
      </c>
      <c r="CI28" s="109">
        <v>192.2</v>
      </c>
      <c r="CJ28" s="109">
        <v>189.3</v>
      </c>
      <c r="CK28" s="109">
        <v>204.8</v>
      </c>
      <c r="CL28" s="109">
        <v>161.69999999999999</v>
      </c>
      <c r="CM28" s="109">
        <v>168.9</v>
      </c>
      <c r="CN28" s="109">
        <v>171</v>
      </c>
      <c r="CO28" s="109">
        <v>176.5</v>
      </c>
      <c r="CP28" s="109"/>
      <c r="CQ28" s="109">
        <v>178.9</v>
      </c>
      <c r="CR28" s="109">
        <v>151.5</v>
      </c>
      <c r="CS28" s="109">
        <v>202.9</v>
      </c>
      <c r="CT28" s="109">
        <v>198.8</v>
      </c>
      <c r="CU28" s="109">
        <v>200.4</v>
      </c>
      <c r="CV28" s="109">
        <v>218.2</v>
      </c>
      <c r="CW28" s="109">
        <v>196.5</v>
      </c>
      <c r="CX28" s="109">
        <v>197</v>
      </c>
    </row>
    <row r="29" spans="1:102" x14ac:dyDescent="0.25">
      <c r="A29" s="106">
        <v>2020</v>
      </c>
      <c r="B29" s="109">
        <v>168.7</v>
      </c>
      <c r="C29" s="109">
        <v>173.3</v>
      </c>
      <c r="D29" s="109">
        <v>196.3</v>
      </c>
      <c r="E29" s="109">
        <v>143.6</v>
      </c>
      <c r="F29" s="109">
        <v>170.8</v>
      </c>
      <c r="G29" s="109">
        <v>144.80000000000001</v>
      </c>
      <c r="H29" s="109">
        <v>169.8</v>
      </c>
      <c r="I29" s="109">
        <v>160.69999999999999</v>
      </c>
      <c r="J29" s="109">
        <v>187.6</v>
      </c>
      <c r="K29" s="109">
        <v>188.3</v>
      </c>
      <c r="L29" s="109">
        <v>183.9</v>
      </c>
      <c r="M29" s="109">
        <v>192.8</v>
      </c>
      <c r="N29" s="109">
        <v>159.6</v>
      </c>
      <c r="O29" s="109">
        <v>150.6</v>
      </c>
      <c r="P29" s="109">
        <v>177.5</v>
      </c>
      <c r="Q29" s="109">
        <v>153.30000000000001</v>
      </c>
      <c r="R29" s="109">
        <v>182.5</v>
      </c>
      <c r="S29" s="109">
        <v>185.7</v>
      </c>
      <c r="T29" s="109">
        <v>185.7</v>
      </c>
      <c r="U29" s="109">
        <v>155.19999999999999</v>
      </c>
      <c r="V29" s="109">
        <v>168.1</v>
      </c>
      <c r="W29" s="109">
        <v>191.1</v>
      </c>
      <c r="X29" s="109">
        <v>178.4</v>
      </c>
      <c r="Y29" s="109">
        <v>181.2</v>
      </c>
      <c r="Z29" s="109">
        <v>139.69999999999999</v>
      </c>
      <c r="AA29" s="109">
        <v>170</v>
      </c>
      <c r="AB29" s="109">
        <v>159.30000000000001</v>
      </c>
      <c r="AC29" s="109">
        <v>190.4</v>
      </c>
      <c r="AD29" s="109">
        <v>190.2</v>
      </c>
      <c r="AE29" s="109">
        <v>182.2</v>
      </c>
      <c r="AF29" s="109">
        <v>197.1</v>
      </c>
      <c r="AG29" s="109">
        <v>186.1</v>
      </c>
      <c r="AH29" s="109">
        <v>180.1</v>
      </c>
      <c r="AI29" s="109">
        <v>187.4</v>
      </c>
      <c r="AJ29" s="109">
        <v>180.1</v>
      </c>
      <c r="AK29" s="109">
        <v>194.8</v>
      </c>
      <c r="AL29" s="109">
        <v>153.80000000000001</v>
      </c>
      <c r="AM29" s="109">
        <v>182.7</v>
      </c>
      <c r="AN29" s="109">
        <v>151.30000000000001</v>
      </c>
      <c r="AO29" s="109">
        <v>166.2</v>
      </c>
      <c r="AP29" s="109">
        <v>200</v>
      </c>
      <c r="AQ29" s="109">
        <v>155.69999999999999</v>
      </c>
      <c r="AR29" s="109">
        <v>180.2</v>
      </c>
      <c r="AS29" s="109">
        <v>172</v>
      </c>
      <c r="AT29" s="109">
        <v>188.6</v>
      </c>
      <c r="AU29" s="109">
        <v>188.4</v>
      </c>
      <c r="AV29" s="109">
        <v>188.2</v>
      </c>
      <c r="AW29" s="109">
        <v>151.1</v>
      </c>
      <c r="AX29" s="109">
        <v>185.6</v>
      </c>
      <c r="AY29" s="109"/>
      <c r="AZ29" s="109">
        <v>167.3</v>
      </c>
      <c r="BA29" s="109">
        <v>161.80000000000001</v>
      </c>
      <c r="BB29" s="109">
        <v>171.6</v>
      </c>
      <c r="BC29" s="109">
        <v>163.5</v>
      </c>
      <c r="BD29" s="109">
        <v>190.7</v>
      </c>
      <c r="BE29" s="109">
        <v>174.3</v>
      </c>
      <c r="BF29" s="109">
        <v>164.9</v>
      </c>
      <c r="BG29" s="109">
        <v>181.6</v>
      </c>
      <c r="BH29" s="109">
        <v>149.19999999999999</v>
      </c>
      <c r="BI29" s="109">
        <v>197</v>
      </c>
      <c r="BJ29" s="109">
        <v>172</v>
      </c>
      <c r="BK29" s="109">
        <v>180.8</v>
      </c>
      <c r="BL29" s="109"/>
      <c r="BM29" s="109"/>
      <c r="BN29" s="109">
        <v>182.2</v>
      </c>
      <c r="BO29" s="109">
        <v>203.3</v>
      </c>
      <c r="BP29" s="109">
        <v>178.4</v>
      </c>
      <c r="BQ29" s="109">
        <v>153.80000000000001</v>
      </c>
      <c r="BR29" s="109">
        <v>184.6</v>
      </c>
      <c r="BS29" s="109">
        <v>172.8</v>
      </c>
      <c r="BT29" s="109">
        <v>199.5</v>
      </c>
      <c r="BU29" s="109">
        <v>185.3</v>
      </c>
      <c r="BV29" s="109"/>
      <c r="BW29" s="109">
        <v>175.4</v>
      </c>
      <c r="BX29" s="109">
        <v>181.6</v>
      </c>
      <c r="BY29" s="109">
        <v>181.1</v>
      </c>
      <c r="BZ29" s="109"/>
      <c r="CA29" s="109">
        <v>186.2</v>
      </c>
      <c r="CB29" s="109">
        <v>150.19999999999999</v>
      </c>
      <c r="CC29" s="109">
        <v>176.3</v>
      </c>
      <c r="CD29" s="109">
        <v>138.19999999999999</v>
      </c>
      <c r="CE29" s="109">
        <v>159.1</v>
      </c>
      <c r="CF29" s="109">
        <v>161</v>
      </c>
      <c r="CG29" s="109">
        <v>181.3</v>
      </c>
      <c r="CH29" s="109">
        <v>190.5</v>
      </c>
      <c r="CI29" s="109">
        <v>201.8</v>
      </c>
      <c r="CJ29" s="109">
        <v>148.4</v>
      </c>
      <c r="CK29" s="109">
        <v>132.69999999999999</v>
      </c>
      <c r="CL29" s="109">
        <v>166.2</v>
      </c>
      <c r="CM29" s="109">
        <v>179.7</v>
      </c>
      <c r="CN29" s="109">
        <v>153.5</v>
      </c>
      <c r="CO29" s="109">
        <v>170.6</v>
      </c>
      <c r="CP29" s="109">
        <v>168</v>
      </c>
      <c r="CQ29" s="109">
        <v>185.4</v>
      </c>
      <c r="CR29" s="109">
        <v>168.8</v>
      </c>
      <c r="CS29" s="109">
        <v>173.1</v>
      </c>
      <c r="CT29" s="109">
        <v>207.1</v>
      </c>
      <c r="CU29" s="109">
        <v>178.2</v>
      </c>
      <c r="CV29" s="109">
        <v>191</v>
      </c>
      <c r="CW29" s="109">
        <v>205.7</v>
      </c>
      <c r="CX29" s="109">
        <v>186</v>
      </c>
    </row>
    <row r="30" spans="1:102" x14ac:dyDescent="0.25">
      <c r="A30" s="106">
        <v>2021</v>
      </c>
      <c r="B30" s="109"/>
      <c r="C30" s="109"/>
      <c r="D30" s="109">
        <v>198.5</v>
      </c>
      <c r="E30" s="109">
        <v>171.6</v>
      </c>
      <c r="F30" s="109">
        <v>216</v>
      </c>
      <c r="G30" s="109">
        <v>211.7</v>
      </c>
      <c r="H30" s="109">
        <v>193.6</v>
      </c>
      <c r="I30" s="109">
        <v>208.4</v>
      </c>
      <c r="J30" s="109">
        <v>200.1</v>
      </c>
      <c r="K30" s="109">
        <v>209</v>
      </c>
      <c r="L30" s="109">
        <v>203.9</v>
      </c>
      <c r="M30" s="109">
        <v>204.5</v>
      </c>
      <c r="N30" s="109">
        <v>217.8</v>
      </c>
      <c r="O30" s="109">
        <v>218.3</v>
      </c>
      <c r="P30" s="109">
        <v>212.4</v>
      </c>
      <c r="Q30" s="109">
        <v>207.1</v>
      </c>
      <c r="R30" s="109">
        <v>200</v>
      </c>
      <c r="S30" s="109"/>
      <c r="T30" s="109">
        <v>208.2</v>
      </c>
      <c r="U30" s="109"/>
      <c r="V30" s="109">
        <v>203.3</v>
      </c>
      <c r="W30" s="109">
        <v>195.3</v>
      </c>
      <c r="X30" s="109">
        <v>206.5</v>
      </c>
      <c r="Y30" s="109">
        <v>218.5</v>
      </c>
      <c r="Z30" s="109">
        <v>209.9</v>
      </c>
      <c r="AA30" s="109">
        <v>152.5</v>
      </c>
      <c r="AB30" s="109"/>
      <c r="AC30" s="109">
        <v>218</v>
      </c>
      <c r="AD30" s="109"/>
      <c r="AE30" s="109">
        <v>177.7</v>
      </c>
      <c r="AF30" s="109">
        <v>217.2</v>
      </c>
      <c r="AG30" s="109">
        <v>182.5</v>
      </c>
      <c r="AH30" s="109">
        <v>205.6</v>
      </c>
      <c r="AI30" s="109">
        <v>204.4</v>
      </c>
      <c r="AJ30" s="109">
        <v>198.9</v>
      </c>
      <c r="AK30" s="109">
        <v>206.7</v>
      </c>
      <c r="AL30" s="109">
        <v>220.5</v>
      </c>
      <c r="AM30" s="109">
        <v>209.4</v>
      </c>
      <c r="AN30" s="109">
        <v>220</v>
      </c>
      <c r="AO30" s="109"/>
      <c r="AP30" s="109">
        <v>209.8</v>
      </c>
      <c r="AQ30" s="109">
        <v>193.2</v>
      </c>
      <c r="AR30" s="109"/>
      <c r="AS30" s="109">
        <v>167.7</v>
      </c>
      <c r="AT30" s="109">
        <v>207.3</v>
      </c>
      <c r="AU30" s="109">
        <v>205.4</v>
      </c>
      <c r="AV30" s="109">
        <v>226.8</v>
      </c>
      <c r="AW30" s="109"/>
      <c r="AX30" s="109">
        <v>191.2</v>
      </c>
      <c r="AY30" s="109">
        <v>221.7</v>
      </c>
      <c r="AZ30" s="109">
        <v>163.30000000000001</v>
      </c>
      <c r="BA30" s="109"/>
      <c r="BB30" s="109"/>
      <c r="BC30" s="109">
        <v>176.5</v>
      </c>
      <c r="BD30" s="109">
        <v>190.7</v>
      </c>
      <c r="BE30" s="109">
        <v>160.4</v>
      </c>
      <c r="BF30" s="109"/>
      <c r="BG30" s="109">
        <v>189.5</v>
      </c>
      <c r="BH30" s="109">
        <v>166.1</v>
      </c>
      <c r="BI30" s="109">
        <v>216.7</v>
      </c>
      <c r="BJ30" s="109">
        <v>195.6</v>
      </c>
      <c r="BK30" s="109">
        <v>200.5</v>
      </c>
      <c r="BL30" s="109">
        <v>199.1</v>
      </c>
      <c r="BM30" s="109">
        <v>211.5</v>
      </c>
      <c r="BN30" s="109">
        <v>209.8</v>
      </c>
      <c r="BO30" s="109">
        <v>203.3</v>
      </c>
      <c r="BP30" s="109">
        <v>197.7</v>
      </c>
      <c r="BQ30" s="109">
        <v>166.1</v>
      </c>
      <c r="BR30" s="109">
        <v>204.9</v>
      </c>
      <c r="BS30" s="109">
        <v>204.5</v>
      </c>
      <c r="BT30" s="109">
        <v>213.5</v>
      </c>
      <c r="BU30" s="109">
        <v>208</v>
      </c>
      <c r="BW30" s="109">
        <v>203.8</v>
      </c>
      <c r="BX30" s="109">
        <v>206.9</v>
      </c>
      <c r="BY30" s="109">
        <v>190.1</v>
      </c>
      <c r="BZ30" s="109">
        <v>190.9</v>
      </c>
      <c r="CA30" s="109">
        <v>213.9</v>
      </c>
      <c r="CB30" s="109">
        <v>217.5</v>
      </c>
      <c r="CC30" s="109">
        <v>216.3</v>
      </c>
      <c r="CD30" s="109">
        <v>201</v>
      </c>
      <c r="CE30" s="109">
        <v>175.8</v>
      </c>
      <c r="CF30" s="109">
        <v>231</v>
      </c>
      <c r="CG30" s="109">
        <v>206.8</v>
      </c>
      <c r="CH30" s="109"/>
      <c r="CI30" s="109">
        <v>220.6</v>
      </c>
      <c r="CJ30" s="109">
        <v>201.2</v>
      </c>
      <c r="CK30" s="109">
        <v>213.9</v>
      </c>
      <c r="CL30" s="109">
        <v>192</v>
      </c>
      <c r="CM30" s="109">
        <v>185.2</v>
      </c>
      <c r="CN30" s="109">
        <v>162.5</v>
      </c>
      <c r="CO30" s="109">
        <v>178</v>
      </c>
      <c r="CP30" s="109"/>
      <c r="CQ30" s="109"/>
      <c r="CR30" s="109">
        <v>177</v>
      </c>
      <c r="CS30" s="109">
        <v>216.2</v>
      </c>
      <c r="CT30" s="109">
        <v>197.6</v>
      </c>
      <c r="CU30" s="109">
        <v>199.3</v>
      </c>
      <c r="CV30" s="109">
        <v>206.7</v>
      </c>
      <c r="CW30" s="109">
        <v>207.4</v>
      </c>
      <c r="CX30" s="109">
        <v>192.2</v>
      </c>
    </row>
    <row r="31" spans="1:102" x14ac:dyDescent="0.25">
      <c r="A31" s="106">
        <v>2022</v>
      </c>
      <c r="B31" s="109">
        <v>164.2</v>
      </c>
      <c r="C31" s="109"/>
      <c r="D31" s="109">
        <v>215.9</v>
      </c>
      <c r="E31" s="109">
        <v>146.1</v>
      </c>
      <c r="F31" s="109">
        <v>197.9</v>
      </c>
      <c r="G31" s="109">
        <v>221.7</v>
      </c>
      <c r="H31" s="109">
        <v>202.5</v>
      </c>
      <c r="I31" s="109">
        <v>202.4</v>
      </c>
      <c r="J31" s="109">
        <v>210.8</v>
      </c>
      <c r="K31" s="109">
        <v>209.7</v>
      </c>
      <c r="L31" s="109">
        <v>197</v>
      </c>
      <c r="M31" s="109">
        <v>212.4</v>
      </c>
      <c r="N31" s="109">
        <v>202.3</v>
      </c>
      <c r="O31" s="109">
        <v>195.7</v>
      </c>
      <c r="P31" s="109">
        <v>179.2</v>
      </c>
      <c r="Q31" s="109">
        <v>221.4</v>
      </c>
      <c r="R31" s="109">
        <v>216.9</v>
      </c>
      <c r="S31" s="109">
        <v>198.8</v>
      </c>
      <c r="T31" s="109">
        <v>214.6</v>
      </c>
      <c r="U31" s="109"/>
      <c r="V31" s="109">
        <v>191.5</v>
      </c>
      <c r="W31" s="109">
        <v>215.4</v>
      </c>
      <c r="X31" s="109">
        <v>225.2</v>
      </c>
      <c r="Y31" s="109">
        <v>216.4</v>
      </c>
      <c r="Z31" s="109">
        <v>187.2</v>
      </c>
      <c r="AA31" s="109">
        <v>154.9</v>
      </c>
      <c r="AB31" s="109">
        <v>148.69999999999999</v>
      </c>
      <c r="AC31" s="109">
        <v>230.8</v>
      </c>
      <c r="AD31" s="109">
        <v>194.8</v>
      </c>
      <c r="AE31" s="109">
        <v>203.4</v>
      </c>
      <c r="AF31" s="109">
        <v>223.7</v>
      </c>
      <c r="AG31" s="109">
        <v>213.7</v>
      </c>
      <c r="AH31" s="109">
        <v>209.8</v>
      </c>
      <c r="AI31" s="109">
        <v>204.6</v>
      </c>
      <c r="AJ31" s="109">
        <v>220.1</v>
      </c>
      <c r="AK31" s="109">
        <v>191.6</v>
      </c>
      <c r="AL31" s="109">
        <v>197.3</v>
      </c>
      <c r="AM31" s="109">
        <v>207.5</v>
      </c>
      <c r="AN31" s="109">
        <v>193.6</v>
      </c>
      <c r="AO31" s="109">
        <v>208.6</v>
      </c>
      <c r="AP31" s="109">
        <v>211.5</v>
      </c>
      <c r="AQ31" s="109">
        <v>215.6</v>
      </c>
      <c r="AR31" s="109">
        <v>172.4</v>
      </c>
      <c r="AS31" s="109">
        <v>167.7</v>
      </c>
      <c r="AT31" s="109">
        <v>217.3</v>
      </c>
      <c r="AU31" s="109">
        <v>195.5</v>
      </c>
      <c r="AV31" s="109">
        <v>221.2</v>
      </c>
      <c r="AW31" s="109">
        <v>205.9</v>
      </c>
      <c r="AX31" s="109">
        <v>219.2</v>
      </c>
      <c r="AY31" s="109">
        <v>203.6</v>
      </c>
      <c r="AZ31" s="109">
        <v>178</v>
      </c>
      <c r="BA31" s="109">
        <v>205.2</v>
      </c>
      <c r="BB31" s="109">
        <v>218.2</v>
      </c>
      <c r="BC31" s="109">
        <v>170.4</v>
      </c>
      <c r="BD31" s="109">
        <v>197.6</v>
      </c>
      <c r="BE31" s="109">
        <v>178.2</v>
      </c>
      <c r="BF31" s="109">
        <v>215</v>
      </c>
      <c r="BG31" s="109">
        <v>196.3</v>
      </c>
      <c r="BH31" s="109">
        <v>139.5</v>
      </c>
      <c r="BI31" s="109">
        <v>190.8</v>
      </c>
      <c r="BJ31" s="109">
        <v>166.9</v>
      </c>
      <c r="BK31" s="109">
        <v>186.3</v>
      </c>
      <c r="BL31" s="109">
        <v>175.2</v>
      </c>
      <c r="BM31" s="109">
        <v>214.1</v>
      </c>
      <c r="BN31" s="109">
        <v>191.1</v>
      </c>
      <c r="BO31" s="109">
        <v>217.9</v>
      </c>
      <c r="BP31" s="109">
        <v>168.6</v>
      </c>
      <c r="BQ31" s="109">
        <v>145.4</v>
      </c>
      <c r="BR31" s="109">
        <v>187.8</v>
      </c>
      <c r="BS31" s="109">
        <v>213.1</v>
      </c>
      <c r="BT31" s="109">
        <v>201.2</v>
      </c>
      <c r="BU31" s="109">
        <v>197.6</v>
      </c>
      <c r="BW31" s="109">
        <v>149.9</v>
      </c>
      <c r="BX31" s="109">
        <v>174.5</v>
      </c>
      <c r="BY31" s="109">
        <v>195.9</v>
      </c>
      <c r="BZ31" s="109">
        <v>171.8</v>
      </c>
      <c r="CA31" s="109">
        <v>198.3</v>
      </c>
      <c r="CB31" s="109">
        <v>188.6</v>
      </c>
      <c r="CC31" s="109">
        <v>195</v>
      </c>
      <c r="CD31" s="109">
        <v>193.3</v>
      </c>
      <c r="CE31" s="109">
        <v>151.80000000000001</v>
      </c>
      <c r="CF31" s="109">
        <v>212.4</v>
      </c>
      <c r="CG31" s="109">
        <v>216.2</v>
      </c>
      <c r="CH31" s="109">
        <v>209</v>
      </c>
      <c r="CI31" s="109">
        <v>196.9</v>
      </c>
      <c r="CJ31" s="109">
        <v>207.1</v>
      </c>
      <c r="CK31" s="109">
        <v>203.3</v>
      </c>
      <c r="CL31" s="109">
        <v>172.1</v>
      </c>
      <c r="CM31" s="109">
        <v>149.4</v>
      </c>
      <c r="CN31" s="109">
        <v>151.9</v>
      </c>
      <c r="CO31" s="109">
        <v>170.8</v>
      </c>
      <c r="CP31" s="109">
        <v>157.80000000000001</v>
      </c>
      <c r="CQ31" s="109">
        <v>185.7</v>
      </c>
      <c r="CR31" s="109">
        <v>170.1</v>
      </c>
      <c r="CS31" s="109">
        <v>201.5</v>
      </c>
      <c r="CT31" s="109">
        <v>217.6</v>
      </c>
      <c r="CU31" s="109">
        <v>212.4</v>
      </c>
      <c r="CV31" s="109">
        <v>200.2</v>
      </c>
      <c r="CW31" s="109">
        <v>219.5</v>
      </c>
      <c r="CX31" s="109">
        <v>209.7</v>
      </c>
    </row>
    <row r="32" spans="1:102" x14ac:dyDescent="0.25">
      <c r="A32" t="s">
        <v>278</v>
      </c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  <c r="L32">
        <v>11</v>
      </c>
      <c r="M32">
        <v>12</v>
      </c>
      <c r="N32">
        <v>13</v>
      </c>
      <c r="O32">
        <v>14</v>
      </c>
      <c r="P32">
        <v>15</v>
      </c>
      <c r="Q32">
        <v>16</v>
      </c>
      <c r="R32">
        <v>17</v>
      </c>
      <c r="S32">
        <v>18</v>
      </c>
      <c r="T32">
        <v>19</v>
      </c>
      <c r="U32">
        <v>20</v>
      </c>
      <c r="V32">
        <v>21</v>
      </c>
      <c r="W32">
        <v>22</v>
      </c>
      <c r="X32">
        <v>23</v>
      </c>
      <c r="Y32">
        <v>24</v>
      </c>
      <c r="Z32">
        <v>25</v>
      </c>
      <c r="AA32">
        <v>26</v>
      </c>
      <c r="AB32">
        <v>27</v>
      </c>
      <c r="AC32">
        <v>28</v>
      </c>
      <c r="AD32">
        <v>29</v>
      </c>
      <c r="AE32">
        <v>30</v>
      </c>
      <c r="AF32">
        <v>31</v>
      </c>
      <c r="AG32">
        <v>32</v>
      </c>
      <c r="AH32">
        <v>33</v>
      </c>
      <c r="AI32">
        <v>34</v>
      </c>
      <c r="AJ32">
        <v>35</v>
      </c>
      <c r="AK32">
        <v>36</v>
      </c>
      <c r="AL32">
        <v>37</v>
      </c>
      <c r="AM32">
        <v>38</v>
      </c>
      <c r="AN32">
        <v>39</v>
      </c>
      <c r="AO32">
        <v>40</v>
      </c>
      <c r="AP32">
        <v>41</v>
      </c>
      <c r="AQ32">
        <v>42</v>
      </c>
      <c r="AR32">
        <v>43</v>
      </c>
      <c r="AS32">
        <v>44</v>
      </c>
      <c r="AT32">
        <v>45</v>
      </c>
      <c r="AU32">
        <v>46</v>
      </c>
      <c r="AV32">
        <v>47</v>
      </c>
      <c r="AW32">
        <v>48</v>
      </c>
      <c r="AX32">
        <v>49</v>
      </c>
      <c r="AY32">
        <v>50</v>
      </c>
      <c r="AZ32">
        <v>51</v>
      </c>
      <c r="BA32">
        <v>52</v>
      </c>
      <c r="BB32">
        <v>53</v>
      </c>
      <c r="BC32">
        <v>54</v>
      </c>
      <c r="BD32">
        <v>55</v>
      </c>
      <c r="BE32">
        <v>56</v>
      </c>
      <c r="BF32">
        <v>57</v>
      </c>
      <c r="BG32">
        <v>58</v>
      </c>
      <c r="BH32">
        <v>59</v>
      </c>
      <c r="BI32">
        <v>60</v>
      </c>
      <c r="BJ32">
        <v>61</v>
      </c>
      <c r="BK32">
        <v>62</v>
      </c>
      <c r="BL32">
        <v>63</v>
      </c>
      <c r="BM32">
        <v>64</v>
      </c>
      <c r="BN32">
        <v>65</v>
      </c>
      <c r="BO32">
        <v>66</v>
      </c>
      <c r="BP32">
        <v>67</v>
      </c>
      <c r="BQ32">
        <v>68</v>
      </c>
      <c r="BR32">
        <v>69</v>
      </c>
      <c r="BS32">
        <v>70</v>
      </c>
      <c r="BT32">
        <v>71</v>
      </c>
      <c r="BU32">
        <v>72</v>
      </c>
      <c r="BV32">
        <v>73</v>
      </c>
      <c r="BW32">
        <v>74</v>
      </c>
      <c r="BX32">
        <v>75</v>
      </c>
      <c r="BY32">
        <v>76</v>
      </c>
      <c r="BZ32">
        <v>77</v>
      </c>
      <c r="CA32">
        <v>78</v>
      </c>
      <c r="CB32">
        <v>79</v>
      </c>
      <c r="CC32">
        <v>80</v>
      </c>
      <c r="CD32">
        <v>81</v>
      </c>
      <c r="CE32">
        <v>82</v>
      </c>
      <c r="CF32">
        <v>83</v>
      </c>
      <c r="CG32">
        <v>84</v>
      </c>
      <c r="CH32">
        <v>85</v>
      </c>
      <c r="CI32">
        <v>86</v>
      </c>
      <c r="CJ32">
        <v>87</v>
      </c>
      <c r="CK32">
        <v>88</v>
      </c>
      <c r="CL32">
        <v>89</v>
      </c>
      <c r="CM32">
        <v>90</v>
      </c>
      <c r="CN32">
        <v>91</v>
      </c>
      <c r="CO32">
        <v>92</v>
      </c>
      <c r="CP32">
        <v>93</v>
      </c>
      <c r="CQ32">
        <v>94</v>
      </c>
      <c r="CR32">
        <v>95</v>
      </c>
      <c r="CS32">
        <v>96</v>
      </c>
      <c r="CT32">
        <v>97</v>
      </c>
      <c r="CU32">
        <v>98</v>
      </c>
      <c r="CV32">
        <v>99</v>
      </c>
      <c r="CW32">
        <v>100</v>
      </c>
      <c r="CX32">
        <v>101</v>
      </c>
    </row>
    <row r="34" spans="1:10" x14ac:dyDescent="0.25">
      <c r="A34" t="s">
        <v>252</v>
      </c>
      <c r="B34">
        <f>VLOOKUP('Sensitivity Analysis'!B7,'Historic Yields C'!$E$73:$F$172,2,0)</f>
        <v>44</v>
      </c>
    </row>
    <row r="35" spans="1:10" x14ac:dyDescent="0.25">
      <c r="A35" t="s">
        <v>251</v>
      </c>
      <c r="B35">
        <f>'Sensitivity Analysis'!B13</f>
        <v>225.3</v>
      </c>
      <c r="C35">
        <f>'Sensitivity Analysis'!C13</f>
        <v>212</v>
      </c>
      <c r="D35">
        <f>'Sensitivity Analysis'!D13</f>
        <v>200.2</v>
      </c>
      <c r="E35">
        <f>'Sensitivity Analysis'!E13</f>
        <v>189.7</v>
      </c>
      <c r="F35">
        <f>'Sensitivity Analysis'!F13</f>
        <v>180.2</v>
      </c>
      <c r="G35">
        <f>'Sensitivity Analysis'!G13</f>
        <v>171.6</v>
      </c>
      <c r="H35">
        <f>'Sensitivity Analysis'!H13</f>
        <v>163.80000000000001</v>
      </c>
      <c r="I35">
        <f>'Sensitivity Analysis'!I13</f>
        <v>156.69999999999999</v>
      </c>
      <c r="J35">
        <f>'Sensitivity Analysis'!J13</f>
        <v>150.19999999999999</v>
      </c>
    </row>
    <row r="36" spans="1:10" x14ac:dyDescent="0.25">
      <c r="A36">
        <v>1</v>
      </c>
      <c r="B36">
        <f t="shared" ref="B36:J45" si="0">IF(INDEX($B$2:$CX$31,$A36,$B$34)&gt;0,IF(INDEX($B$2:$CX$31,$A36,$B$34)&lt;B$35,1,0),"N/A")</f>
        <v>1</v>
      </c>
      <c r="C36">
        <f t="shared" si="0"/>
        <v>1</v>
      </c>
      <c r="D36">
        <f t="shared" si="0"/>
        <v>1</v>
      </c>
      <c r="E36">
        <f t="shared" si="0"/>
        <v>1</v>
      </c>
      <c r="F36">
        <f t="shared" si="0"/>
        <v>1</v>
      </c>
      <c r="G36">
        <f t="shared" si="0"/>
        <v>1</v>
      </c>
      <c r="H36">
        <f t="shared" si="0"/>
        <v>1</v>
      </c>
      <c r="I36">
        <f t="shared" si="0"/>
        <v>1</v>
      </c>
      <c r="J36">
        <f t="shared" si="0"/>
        <v>1</v>
      </c>
    </row>
    <row r="37" spans="1:10" x14ac:dyDescent="0.25">
      <c r="A37">
        <f t="shared" ref="A37:A65" si="1">A36+1</f>
        <v>2</v>
      </c>
      <c r="B37">
        <f t="shared" si="0"/>
        <v>1</v>
      </c>
      <c r="C37">
        <f t="shared" si="0"/>
        <v>1</v>
      </c>
      <c r="D37">
        <f t="shared" si="0"/>
        <v>1</v>
      </c>
      <c r="E37">
        <f t="shared" si="0"/>
        <v>1</v>
      </c>
      <c r="F37">
        <f t="shared" si="0"/>
        <v>1</v>
      </c>
      <c r="G37">
        <f t="shared" si="0"/>
        <v>1</v>
      </c>
      <c r="H37">
        <f t="shared" si="0"/>
        <v>1</v>
      </c>
      <c r="I37">
        <f t="shared" si="0"/>
        <v>0</v>
      </c>
      <c r="J37">
        <f t="shared" si="0"/>
        <v>0</v>
      </c>
    </row>
    <row r="38" spans="1:10" x14ac:dyDescent="0.25">
      <c r="A38">
        <f t="shared" si="1"/>
        <v>3</v>
      </c>
      <c r="B38">
        <f t="shared" si="0"/>
        <v>1</v>
      </c>
      <c r="C38">
        <f t="shared" si="0"/>
        <v>1</v>
      </c>
      <c r="D38">
        <f t="shared" si="0"/>
        <v>1</v>
      </c>
      <c r="E38">
        <f t="shared" si="0"/>
        <v>1</v>
      </c>
      <c r="F38">
        <f t="shared" si="0"/>
        <v>1</v>
      </c>
      <c r="G38">
        <f t="shared" si="0"/>
        <v>1</v>
      </c>
      <c r="H38">
        <f t="shared" si="0"/>
        <v>1</v>
      </c>
      <c r="I38">
        <f t="shared" si="0"/>
        <v>1</v>
      </c>
      <c r="J38">
        <f t="shared" si="0"/>
        <v>1</v>
      </c>
    </row>
    <row r="39" spans="1:10" x14ac:dyDescent="0.25">
      <c r="A39">
        <f t="shared" si="1"/>
        <v>4</v>
      </c>
      <c r="B39">
        <f t="shared" si="0"/>
        <v>1</v>
      </c>
      <c r="C39">
        <f t="shared" si="0"/>
        <v>1</v>
      </c>
      <c r="D39">
        <f t="shared" si="0"/>
        <v>1</v>
      </c>
      <c r="E39">
        <f t="shared" si="0"/>
        <v>1</v>
      </c>
      <c r="F39">
        <f t="shared" si="0"/>
        <v>1</v>
      </c>
      <c r="G39">
        <f t="shared" si="0"/>
        <v>1</v>
      </c>
      <c r="H39">
        <f t="shared" si="0"/>
        <v>1</v>
      </c>
      <c r="I39">
        <f t="shared" si="0"/>
        <v>1</v>
      </c>
      <c r="J39">
        <f t="shared" si="0"/>
        <v>1</v>
      </c>
    </row>
    <row r="40" spans="1:10" x14ac:dyDescent="0.25">
      <c r="A40">
        <f t="shared" si="1"/>
        <v>5</v>
      </c>
      <c r="B40">
        <f t="shared" si="0"/>
        <v>1</v>
      </c>
      <c r="C40">
        <f t="shared" si="0"/>
        <v>1</v>
      </c>
      <c r="D40">
        <f t="shared" si="0"/>
        <v>1</v>
      </c>
      <c r="E40">
        <f t="shared" si="0"/>
        <v>1</v>
      </c>
      <c r="F40">
        <f t="shared" si="0"/>
        <v>1</v>
      </c>
      <c r="G40">
        <f t="shared" si="0"/>
        <v>1</v>
      </c>
      <c r="H40">
        <f t="shared" si="0"/>
        <v>1</v>
      </c>
      <c r="I40">
        <f t="shared" si="0"/>
        <v>1</v>
      </c>
      <c r="J40">
        <f t="shared" si="0"/>
        <v>1</v>
      </c>
    </row>
    <row r="41" spans="1:10" x14ac:dyDescent="0.25">
      <c r="A41">
        <f t="shared" si="1"/>
        <v>6</v>
      </c>
      <c r="B41">
        <f t="shared" si="0"/>
        <v>1</v>
      </c>
      <c r="C41">
        <f t="shared" si="0"/>
        <v>1</v>
      </c>
      <c r="D41">
        <f t="shared" si="0"/>
        <v>1</v>
      </c>
      <c r="E41">
        <f t="shared" si="0"/>
        <v>1</v>
      </c>
      <c r="F41">
        <f t="shared" si="0"/>
        <v>1</v>
      </c>
      <c r="G41">
        <f t="shared" si="0"/>
        <v>1</v>
      </c>
      <c r="H41">
        <f t="shared" si="0"/>
        <v>1</v>
      </c>
      <c r="I41">
        <f t="shared" si="0"/>
        <v>1</v>
      </c>
      <c r="J41">
        <f t="shared" si="0"/>
        <v>1</v>
      </c>
    </row>
    <row r="42" spans="1:10" x14ac:dyDescent="0.25">
      <c r="A42">
        <f t="shared" si="1"/>
        <v>7</v>
      </c>
      <c r="B42">
        <f t="shared" si="0"/>
        <v>1</v>
      </c>
      <c r="C42">
        <f t="shared" si="0"/>
        <v>1</v>
      </c>
      <c r="D42">
        <f t="shared" si="0"/>
        <v>1</v>
      </c>
      <c r="E42">
        <f t="shared" si="0"/>
        <v>1</v>
      </c>
      <c r="F42">
        <f t="shared" si="0"/>
        <v>1</v>
      </c>
      <c r="G42">
        <f t="shared" si="0"/>
        <v>1</v>
      </c>
      <c r="H42">
        <f t="shared" si="0"/>
        <v>1</v>
      </c>
      <c r="I42">
        <f t="shared" si="0"/>
        <v>1</v>
      </c>
      <c r="J42">
        <f t="shared" si="0"/>
        <v>1</v>
      </c>
    </row>
    <row r="43" spans="1:10" x14ac:dyDescent="0.25">
      <c r="A43">
        <f t="shared" si="1"/>
        <v>8</v>
      </c>
      <c r="B43">
        <f t="shared" si="0"/>
        <v>1</v>
      </c>
      <c r="C43">
        <f t="shared" si="0"/>
        <v>1</v>
      </c>
      <c r="D43">
        <f t="shared" si="0"/>
        <v>1</v>
      </c>
      <c r="E43">
        <f t="shared" si="0"/>
        <v>1</v>
      </c>
      <c r="F43">
        <f t="shared" si="0"/>
        <v>1</v>
      </c>
      <c r="G43">
        <f t="shared" si="0"/>
        <v>1</v>
      </c>
      <c r="H43">
        <f t="shared" si="0"/>
        <v>1</v>
      </c>
      <c r="I43">
        <f t="shared" si="0"/>
        <v>1</v>
      </c>
      <c r="J43">
        <f t="shared" si="0"/>
        <v>1</v>
      </c>
    </row>
    <row r="44" spans="1:10" x14ac:dyDescent="0.25">
      <c r="A44">
        <f t="shared" si="1"/>
        <v>9</v>
      </c>
      <c r="B44">
        <f t="shared" si="0"/>
        <v>1</v>
      </c>
      <c r="C44">
        <f t="shared" si="0"/>
        <v>1</v>
      </c>
      <c r="D44">
        <f t="shared" si="0"/>
        <v>1</v>
      </c>
      <c r="E44">
        <f t="shared" si="0"/>
        <v>1</v>
      </c>
      <c r="F44">
        <f t="shared" si="0"/>
        <v>1</v>
      </c>
      <c r="G44">
        <f t="shared" si="0"/>
        <v>1</v>
      </c>
      <c r="H44">
        <f t="shared" si="0"/>
        <v>1</v>
      </c>
      <c r="I44">
        <f t="shared" si="0"/>
        <v>1</v>
      </c>
      <c r="J44">
        <f t="shared" si="0"/>
        <v>1</v>
      </c>
    </row>
    <row r="45" spans="1:10" x14ac:dyDescent="0.25">
      <c r="A45">
        <f t="shared" si="1"/>
        <v>10</v>
      </c>
      <c r="B45">
        <f t="shared" si="0"/>
        <v>1</v>
      </c>
      <c r="C45">
        <f t="shared" si="0"/>
        <v>1</v>
      </c>
      <c r="D45">
        <f t="shared" si="0"/>
        <v>1</v>
      </c>
      <c r="E45">
        <f t="shared" si="0"/>
        <v>1</v>
      </c>
      <c r="F45">
        <f t="shared" si="0"/>
        <v>1</v>
      </c>
      <c r="G45">
        <f t="shared" si="0"/>
        <v>1</v>
      </c>
      <c r="H45">
        <f t="shared" si="0"/>
        <v>1</v>
      </c>
      <c r="I45">
        <f t="shared" si="0"/>
        <v>0</v>
      </c>
      <c r="J45">
        <f t="shared" si="0"/>
        <v>0</v>
      </c>
    </row>
    <row r="46" spans="1:10" x14ac:dyDescent="0.25">
      <c r="A46">
        <f t="shared" si="1"/>
        <v>11</v>
      </c>
      <c r="B46">
        <f t="shared" ref="B46:J55" si="2">IF(INDEX($B$2:$CX$31,$A46,$B$34)&gt;0,IF(INDEX($B$2:$CX$31,$A46,$B$34)&lt;B$35,1,0),"N/A")</f>
        <v>1</v>
      </c>
      <c r="C46">
        <f t="shared" si="2"/>
        <v>1</v>
      </c>
      <c r="D46">
        <f t="shared" si="2"/>
        <v>1</v>
      </c>
      <c r="E46">
        <f t="shared" si="2"/>
        <v>1</v>
      </c>
      <c r="F46">
        <f t="shared" si="2"/>
        <v>1</v>
      </c>
      <c r="G46">
        <f t="shared" si="2"/>
        <v>1</v>
      </c>
      <c r="H46">
        <f t="shared" si="2"/>
        <v>1</v>
      </c>
      <c r="I46">
        <f t="shared" si="2"/>
        <v>0</v>
      </c>
      <c r="J46">
        <f t="shared" si="2"/>
        <v>0</v>
      </c>
    </row>
    <row r="47" spans="1:10" x14ac:dyDescent="0.25">
      <c r="A47">
        <f t="shared" si="1"/>
        <v>12</v>
      </c>
      <c r="B47">
        <f t="shared" si="2"/>
        <v>1</v>
      </c>
      <c r="C47">
        <f t="shared" si="2"/>
        <v>1</v>
      </c>
      <c r="D47">
        <f t="shared" si="2"/>
        <v>1</v>
      </c>
      <c r="E47">
        <f t="shared" si="2"/>
        <v>1</v>
      </c>
      <c r="F47">
        <f t="shared" si="2"/>
        <v>0</v>
      </c>
      <c r="G47">
        <f t="shared" si="2"/>
        <v>0</v>
      </c>
      <c r="H47">
        <f t="shared" si="2"/>
        <v>0</v>
      </c>
      <c r="I47">
        <f t="shared" si="2"/>
        <v>0</v>
      </c>
      <c r="J47">
        <f t="shared" si="2"/>
        <v>0</v>
      </c>
    </row>
    <row r="48" spans="1:10" x14ac:dyDescent="0.25">
      <c r="A48">
        <f t="shared" si="1"/>
        <v>13</v>
      </c>
      <c r="B48">
        <f t="shared" si="2"/>
        <v>1</v>
      </c>
      <c r="C48">
        <f t="shared" si="2"/>
        <v>1</v>
      </c>
      <c r="D48">
        <f t="shared" si="2"/>
        <v>1</v>
      </c>
      <c r="E48">
        <f t="shared" si="2"/>
        <v>1</v>
      </c>
      <c r="F48">
        <f t="shared" si="2"/>
        <v>1</v>
      </c>
      <c r="G48">
        <f t="shared" si="2"/>
        <v>1</v>
      </c>
      <c r="H48">
        <f t="shared" si="2"/>
        <v>1</v>
      </c>
      <c r="I48">
        <f t="shared" si="2"/>
        <v>1</v>
      </c>
      <c r="J48">
        <f t="shared" si="2"/>
        <v>0</v>
      </c>
    </row>
    <row r="49" spans="1:10" x14ac:dyDescent="0.25">
      <c r="A49">
        <f t="shared" si="1"/>
        <v>14</v>
      </c>
      <c r="B49">
        <f t="shared" si="2"/>
        <v>1</v>
      </c>
      <c r="C49">
        <f t="shared" si="2"/>
        <v>1</v>
      </c>
      <c r="D49">
        <f t="shared" si="2"/>
        <v>1</v>
      </c>
      <c r="E49">
        <f t="shared" si="2"/>
        <v>1</v>
      </c>
      <c r="F49">
        <f t="shared" si="2"/>
        <v>1</v>
      </c>
      <c r="G49">
        <f t="shared" si="2"/>
        <v>1</v>
      </c>
      <c r="H49">
        <f t="shared" si="2"/>
        <v>0</v>
      </c>
      <c r="I49">
        <f t="shared" si="2"/>
        <v>0</v>
      </c>
      <c r="J49">
        <f t="shared" si="2"/>
        <v>0</v>
      </c>
    </row>
    <row r="50" spans="1:10" x14ac:dyDescent="0.25">
      <c r="A50">
        <f t="shared" si="1"/>
        <v>15</v>
      </c>
      <c r="B50">
        <f t="shared" si="2"/>
        <v>1</v>
      </c>
      <c r="C50">
        <f t="shared" si="2"/>
        <v>1</v>
      </c>
      <c r="D50">
        <f t="shared" si="2"/>
        <v>1</v>
      </c>
      <c r="E50">
        <f t="shared" si="2"/>
        <v>1</v>
      </c>
      <c r="F50">
        <f t="shared" si="2"/>
        <v>0</v>
      </c>
      <c r="G50">
        <f t="shared" si="2"/>
        <v>0</v>
      </c>
      <c r="H50">
        <f t="shared" si="2"/>
        <v>0</v>
      </c>
      <c r="I50">
        <f t="shared" si="2"/>
        <v>0</v>
      </c>
      <c r="J50">
        <f t="shared" si="2"/>
        <v>0</v>
      </c>
    </row>
    <row r="51" spans="1:10" x14ac:dyDescent="0.25">
      <c r="A51">
        <f t="shared" si="1"/>
        <v>16</v>
      </c>
      <c r="B51">
        <f t="shared" si="2"/>
        <v>1</v>
      </c>
      <c r="C51">
        <f t="shared" si="2"/>
        <v>1</v>
      </c>
      <c r="D51">
        <f t="shared" si="2"/>
        <v>1</v>
      </c>
      <c r="E51">
        <f t="shared" si="2"/>
        <v>1</v>
      </c>
      <c r="F51">
        <f t="shared" si="2"/>
        <v>1</v>
      </c>
      <c r="G51">
        <f t="shared" si="2"/>
        <v>0</v>
      </c>
      <c r="H51">
        <f t="shared" si="2"/>
        <v>0</v>
      </c>
      <c r="I51">
        <f t="shared" si="2"/>
        <v>0</v>
      </c>
      <c r="J51">
        <f t="shared" si="2"/>
        <v>0</v>
      </c>
    </row>
    <row r="52" spans="1:10" x14ac:dyDescent="0.25">
      <c r="A52">
        <f t="shared" si="1"/>
        <v>17</v>
      </c>
      <c r="B52">
        <f t="shared" si="2"/>
        <v>1</v>
      </c>
      <c r="C52">
        <f t="shared" si="2"/>
        <v>1</v>
      </c>
      <c r="D52">
        <f t="shared" si="2"/>
        <v>1</v>
      </c>
      <c r="E52">
        <f t="shared" si="2"/>
        <v>1</v>
      </c>
      <c r="F52">
        <f t="shared" si="2"/>
        <v>1</v>
      </c>
      <c r="G52">
        <f t="shared" si="2"/>
        <v>1</v>
      </c>
      <c r="H52">
        <f t="shared" si="2"/>
        <v>1</v>
      </c>
      <c r="I52">
        <f t="shared" si="2"/>
        <v>1</v>
      </c>
      <c r="J52">
        <f t="shared" si="2"/>
        <v>0</v>
      </c>
    </row>
    <row r="53" spans="1:10" x14ac:dyDescent="0.25">
      <c r="A53">
        <f t="shared" si="1"/>
        <v>18</v>
      </c>
      <c r="B53">
        <f t="shared" si="2"/>
        <v>1</v>
      </c>
      <c r="C53">
        <f t="shared" si="2"/>
        <v>1</v>
      </c>
      <c r="D53">
        <f t="shared" si="2"/>
        <v>1</v>
      </c>
      <c r="E53">
        <f t="shared" si="2"/>
        <v>1</v>
      </c>
      <c r="F53">
        <f t="shared" si="2"/>
        <v>1</v>
      </c>
      <c r="G53">
        <f t="shared" si="2"/>
        <v>1</v>
      </c>
      <c r="H53">
        <f t="shared" si="2"/>
        <v>1</v>
      </c>
      <c r="I53">
        <f t="shared" si="2"/>
        <v>1</v>
      </c>
      <c r="J53">
        <f t="shared" si="2"/>
        <v>1</v>
      </c>
    </row>
    <row r="54" spans="1:10" x14ac:dyDescent="0.25">
      <c r="A54">
        <f t="shared" si="1"/>
        <v>19</v>
      </c>
      <c r="B54">
        <f t="shared" si="2"/>
        <v>1</v>
      </c>
      <c r="C54">
        <f t="shared" si="2"/>
        <v>1</v>
      </c>
      <c r="D54">
        <f t="shared" si="2"/>
        <v>1</v>
      </c>
      <c r="E54">
        <f t="shared" si="2"/>
        <v>1</v>
      </c>
      <c r="F54">
        <f t="shared" si="2"/>
        <v>1</v>
      </c>
      <c r="G54">
        <f t="shared" si="2"/>
        <v>1</v>
      </c>
      <c r="H54">
        <f t="shared" si="2"/>
        <v>1</v>
      </c>
      <c r="I54">
        <f t="shared" si="2"/>
        <v>1</v>
      </c>
      <c r="J54">
        <f t="shared" si="2"/>
        <v>1</v>
      </c>
    </row>
    <row r="55" spans="1:10" x14ac:dyDescent="0.25">
      <c r="A55">
        <f t="shared" si="1"/>
        <v>20</v>
      </c>
      <c r="B55">
        <f t="shared" si="2"/>
        <v>1</v>
      </c>
      <c r="C55">
        <f t="shared" si="2"/>
        <v>1</v>
      </c>
      <c r="D55">
        <f t="shared" si="2"/>
        <v>1</v>
      </c>
      <c r="E55">
        <f t="shared" si="2"/>
        <v>1</v>
      </c>
      <c r="F55">
        <f t="shared" si="2"/>
        <v>1</v>
      </c>
      <c r="G55">
        <f t="shared" si="2"/>
        <v>1</v>
      </c>
      <c r="H55">
        <f t="shared" si="2"/>
        <v>1</v>
      </c>
      <c r="I55">
        <f t="shared" si="2"/>
        <v>1</v>
      </c>
      <c r="J55">
        <f t="shared" si="2"/>
        <v>1</v>
      </c>
    </row>
    <row r="56" spans="1:10" x14ac:dyDescent="0.25">
      <c r="A56">
        <f t="shared" si="1"/>
        <v>21</v>
      </c>
      <c r="B56">
        <f t="shared" ref="B56:J65" si="3">IF(INDEX($B$2:$CX$31,$A56,$B$34)&gt;0,IF(INDEX($B$2:$CX$31,$A56,$B$34)&lt;B$35,1,0),"N/A")</f>
        <v>1</v>
      </c>
      <c r="C56">
        <f t="shared" si="3"/>
        <v>1</v>
      </c>
      <c r="D56">
        <f t="shared" si="3"/>
        <v>1</v>
      </c>
      <c r="E56">
        <f t="shared" si="3"/>
        <v>1</v>
      </c>
      <c r="F56">
        <f t="shared" si="3"/>
        <v>1</v>
      </c>
      <c r="G56">
        <f t="shared" si="3"/>
        <v>1</v>
      </c>
      <c r="H56">
        <f t="shared" si="3"/>
        <v>1</v>
      </c>
      <c r="I56">
        <f t="shared" si="3"/>
        <v>0</v>
      </c>
      <c r="J56">
        <f t="shared" si="3"/>
        <v>0</v>
      </c>
    </row>
    <row r="57" spans="1:10" x14ac:dyDescent="0.25">
      <c r="A57">
        <f t="shared" si="1"/>
        <v>22</v>
      </c>
      <c r="B57">
        <f t="shared" si="3"/>
        <v>1</v>
      </c>
      <c r="C57">
        <f t="shared" si="3"/>
        <v>1</v>
      </c>
      <c r="D57">
        <f t="shared" si="3"/>
        <v>1</v>
      </c>
      <c r="E57">
        <f t="shared" si="3"/>
        <v>0</v>
      </c>
      <c r="F57">
        <f t="shared" si="3"/>
        <v>0</v>
      </c>
      <c r="G57">
        <f t="shared" si="3"/>
        <v>0</v>
      </c>
      <c r="H57">
        <f t="shared" si="3"/>
        <v>0</v>
      </c>
      <c r="I57">
        <f t="shared" si="3"/>
        <v>0</v>
      </c>
      <c r="J57">
        <f t="shared" si="3"/>
        <v>0</v>
      </c>
    </row>
    <row r="58" spans="1:10" x14ac:dyDescent="0.25">
      <c r="A58">
        <f t="shared" si="1"/>
        <v>23</v>
      </c>
      <c r="B58">
        <f t="shared" si="3"/>
        <v>1</v>
      </c>
      <c r="C58">
        <f t="shared" si="3"/>
        <v>1</v>
      </c>
      <c r="D58">
        <f t="shared" si="3"/>
        <v>1</v>
      </c>
      <c r="E58">
        <f t="shared" si="3"/>
        <v>1</v>
      </c>
      <c r="F58">
        <f t="shared" si="3"/>
        <v>1</v>
      </c>
      <c r="G58">
        <f t="shared" si="3"/>
        <v>0</v>
      </c>
      <c r="H58">
        <f t="shared" si="3"/>
        <v>0</v>
      </c>
      <c r="I58">
        <f t="shared" si="3"/>
        <v>0</v>
      </c>
      <c r="J58">
        <f t="shared" si="3"/>
        <v>0</v>
      </c>
    </row>
    <row r="59" spans="1:10" x14ac:dyDescent="0.25">
      <c r="A59">
        <f t="shared" si="1"/>
        <v>24</v>
      </c>
      <c r="B59">
        <f t="shared" si="3"/>
        <v>1</v>
      </c>
      <c r="C59">
        <f t="shared" si="3"/>
        <v>1</v>
      </c>
      <c r="D59">
        <f t="shared" si="3"/>
        <v>1</v>
      </c>
      <c r="E59">
        <f t="shared" si="3"/>
        <v>0</v>
      </c>
      <c r="F59">
        <f t="shared" si="3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</row>
    <row r="60" spans="1:10" x14ac:dyDescent="0.25">
      <c r="A60">
        <f t="shared" si="1"/>
        <v>25</v>
      </c>
      <c r="B60">
        <f t="shared" si="3"/>
        <v>1</v>
      </c>
      <c r="C60">
        <f t="shared" si="3"/>
        <v>1</v>
      </c>
      <c r="D60">
        <f t="shared" si="3"/>
        <v>1</v>
      </c>
      <c r="E60">
        <f t="shared" si="3"/>
        <v>0</v>
      </c>
      <c r="F60">
        <f t="shared" si="3"/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</row>
    <row r="61" spans="1:10" x14ac:dyDescent="0.25">
      <c r="A61">
        <f t="shared" si="1"/>
        <v>26</v>
      </c>
      <c r="B61">
        <f t="shared" si="3"/>
        <v>1</v>
      </c>
      <c r="C61">
        <f t="shared" si="3"/>
        <v>1</v>
      </c>
      <c r="D61">
        <f t="shared" si="3"/>
        <v>1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</row>
    <row r="62" spans="1:10" x14ac:dyDescent="0.25">
      <c r="A62">
        <f t="shared" si="1"/>
        <v>27</v>
      </c>
      <c r="B62">
        <f t="shared" si="3"/>
        <v>1</v>
      </c>
      <c r="C62">
        <f t="shared" si="3"/>
        <v>1</v>
      </c>
      <c r="D62">
        <f t="shared" si="3"/>
        <v>1</v>
      </c>
      <c r="E62">
        <f t="shared" si="3"/>
        <v>1</v>
      </c>
      <c r="F62">
        <f t="shared" si="3"/>
        <v>1</v>
      </c>
      <c r="G62">
        <f t="shared" si="3"/>
        <v>1</v>
      </c>
      <c r="H62">
        <f t="shared" si="3"/>
        <v>0</v>
      </c>
      <c r="I62">
        <f t="shared" si="3"/>
        <v>0</v>
      </c>
      <c r="J62">
        <f t="shared" si="3"/>
        <v>0</v>
      </c>
    </row>
    <row r="63" spans="1:10" x14ac:dyDescent="0.25">
      <c r="A63">
        <f t="shared" si="1"/>
        <v>28</v>
      </c>
      <c r="B63">
        <f t="shared" si="3"/>
        <v>1</v>
      </c>
      <c r="C63">
        <f t="shared" si="3"/>
        <v>1</v>
      </c>
      <c r="D63">
        <f t="shared" si="3"/>
        <v>1</v>
      </c>
      <c r="E63">
        <f t="shared" si="3"/>
        <v>1</v>
      </c>
      <c r="F63">
        <f t="shared" si="3"/>
        <v>1</v>
      </c>
      <c r="G63">
        <f t="shared" si="3"/>
        <v>0</v>
      </c>
      <c r="H63">
        <f t="shared" si="3"/>
        <v>0</v>
      </c>
      <c r="I63">
        <f t="shared" si="3"/>
        <v>0</v>
      </c>
      <c r="J63">
        <f t="shared" si="3"/>
        <v>0</v>
      </c>
    </row>
    <row r="64" spans="1:10" x14ac:dyDescent="0.25">
      <c r="A64">
        <f t="shared" si="1"/>
        <v>29</v>
      </c>
      <c r="B64">
        <f t="shared" si="3"/>
        <v>1</v>
      </c>
      <c r="C64">
        <f t="shared" si="3"/>
        <v>1</v>
      </c>
      <c r="D64">
        <f t="shared" si="3"/>
        <v>1</v>
      </c>
      <c r="E64">
        <f t="shared" si="3"/>
        <v>1</v>
      </c>
      <c r="F64">
        <f t="shared" si="3"/>
        <v>1</v>
      </c>
      <c r="G64">
        <f t="shared" si="3"/>
        <v>1</v>
      </c>
      <c r="H64">
        <f t="shared" si="3"/>
        <v>0</v>
      </c>
      <c r="I64">
        <f t="shared" si="3"/>
        <v>0</v>
      </c>
      <c r="J64">
        <f t="shared" si="3"/>
        <v>0</v>
      </c>
    </row>
    <row r="65" spans="1:10" x14ac:dyDescent="0.25">
      <c r="A65">
        <f t="shared" si="1"/>
        <v>30</v>
      </c>
      <c r="B65">
        <f t="shared" si="3"/>
        <v>1</v>
      </c>
      <c r="C65">
        <f t="shared" si="3"/>
        <v>1</v>
      </c>
      <c r="D65">
        <f t="shared" si="3"/>
        <v>1</v>
      </c>
      <c r="E65">
        <f t="shared" si="3"/>
        <v>1</v>
      </c>
      <c r="F65">
        <f t="shared" si="3"/>
        <v>1</v>
      </c>
      <c r="G65">
        <f t="shared" si="3"/>
        <v>1</v>
      </c>
      <c r="H65">
        <f t="shared" si="3"/>
        <v>0</v>
      </c>
      <c r="I65">
        <f t="shared" si="3"/>
        <v>0</v>
      </c>
      <c r="J65">
        <f t="shared" si="3"/>
        <v>0</v>
      </c>
    </row>
    <row r="67" spans="1:10" x14ac:dyDescent="0.25">
      <c r="A67" t="s">
        <v>254</v>
      </c>
      <c r="B67">
        <f>SUM(B56:B65)/COUNT(B56:B65)</f>
        <v>1</v>
      </c>
      <c r="C67">
        <f>SUM(C56:C65)/COUNT(C56:C65)</f>
        <v>1</v>
      </c>
      <c r="D67">
        <f t="shared" ref="D67:J67" si="4">SUM(D56:D65)/COUNT(D56:D65)</f>
        <v>1</v>
      </c>
      <c r="E67">
        <f t="shared" si="4"/>
        <v>0.6</v>
      </c>
      <c r="F67">
        <f>SUM(F56:F65)/COUNT(F56:F65)</f>
        <v>0.6</v>
      </c>
      <c r="G67">
        <f t="shared" si="4"/>
        <v>0.4</v>
      </c>
      <c r="H67">
        <f t="shared" si="4"/>
        <v>0.1</v>
      </c>
      <c r="I67">
        <f t="shared" si="4"/>
        <v>0</v>
      </c>
      <c r="J67">
        <f t="shared" si="4"/>
        <v>0</v>
      </c>
    </row>
    <row r="68" spans="1:10" x14ac:dyDescent="0.25">
      <c r="A68" t="s">
        <v>255</v>
      </c>
      <c r="B68">
        <f>SUM(B46:B65)/COUNT(B46:B65)</f>
        <v>1</v>
      </c>
      <c r="C68">
        <f t="shared" ref="C68:J68" si="5">SUM(C46:C65)/COUNT(C46:C65)</f>
        <v>1</v>
      </c>
      <c r="D68">
        <f t="shared" si="5"/>
        <v>1</v>
      </c>
      <c r="E68">
        <f t="shared" si="5"/>
        <v>0.8</v>
      </c>
      <c r="F68">
        <f t="shared" si="5"/>
        <v>0.7</v>
      </c>
      <c r="G68">
        <f t="shared" si="5"/>
        <v>0.55000000000000004</v>
      </c>
      <c r="H68">
        <f t="shared" si="5"/>
        <v>0.35</v>
      </c>
      <c r="I68">
        <f t="shared" si="5"/>
        <v>0.25</v>
      </c>
      <c r="J68">
        <f t="shared" si="5"/>
        <v>0.15</v>
      </c>
    </row>
    <row r="69" spans="1:10" x14ac:dyDescent="0.25">
      <c r="A69" t="s">
        <v>256</v>
      </c>
      <c r="B69">
        <f>SUM(B36:B65)/COUNT(B36:B65)</f>
        <v>1</v>
      </c>
      <c r="C69">
        <f t="shared" ref="C69:J69" si="6">SUM(C36:C65)/COUNT(C36:C65)</f>
        <v>1</v>
      </c>
      <c r="D69">
        <f t="shared" si="6"/>
        <v>1</v>
      </c>
      <c r="E69">
        <f t="shared" si="6"/>
        <v>0.8666666666666667</v>
      </c>
      <c r="F69">
        <f t="shared" si="6"/>
        <v>0.8</v>
      </c>
      <c r="G69">
        <f t="shared" si="6"/>
        <v>0.7</v>
      </c>
      <c r="H69">
        <f t="shared" si="6"/>
        <v>0.56666666666666665</v>
      </c>
      <c r="I69">
        <f t="shared" si="6"/>
        <v>0.43333333333333335</v>
      </c>
      <c r="J69">
        <f t="shared" si="6"/>
        <v>0.36666666666666664</v>
      </c>
    </row>
    <row r="72" spans="1:10" x14ac:dyDescent="0.25">
      <c r="F72" t="s">
        <v>253</v>
      </c>
    </row>
    <row r="73" spans="1:10" x14ac:dyDescent="0.25">
      <c r="A73" t="s">
        <v>151</v>
      </c>
      <c r="B73">
        <f t="shared" ref="B73:B104" si="7">+HLOOKUP(A73,$B$1:$CX$32,32,0)</f>
        <v>1</v>
      </c>
      <c r="E73" s="14" t="s">
        <v>4</v>
      </c>
      <c r="F73">
        <f>VLOOKUP(E73,$A$73:$B$172,2,0)</f>
        <v>1</v>
      </c>
    </row>
    <row r="74" spans="1:10" x14ac:dyDescent="0.25">
      <c r="A74" t="s">
        <v>152</v>
      </c>
      <c r="B74">
        <f t="shared" si="7"/>
        <v>2</v>
      </c>
      <c r="E74" s="15" t="s">
        <v>5</v>
      </c>
      <c r="F74">
        <f t="shared" ref="F74:F137" si="8">VLOOKUP(E74,$A$73:$B$172,2,0)</f>
        <v>2</v>
      </c>
    </row>
    <row r="75" spans="1:10" x14ac:dyDescent="0.25">
      <c r="A75" t="s">
        <v>153</v>
      </c>
      <c r="B75">
        <f t="shared" si="7"/>
        <v>3</v>
      </c>
      <c r="E75" s="16" t="s">
        <v>6</v>
      </c>
      <c r="F75">
        <f t="shared" si="8"/>
        <v>3</v>
      </c>
    </row>
    <row r="76" spans="1:10" x14ac:dyDescent="0.25">
      <c r="A76" t="s">
        <v>154</v>
      </c>
      <c r="B76">
        <f t="shared" si="7"/>
        <v>4</v>
      </c>
      <c r="E76" s="15" t="s">
        <v>7</v>
      </c>
      <c r="F76">
        <f t="shared" si="8"/>
        <v>4</v>
      </c>
    </row>
    <row r="77" spans="1:10" x14ac:dyDescent="0.25">
      <c r="A77" t="s">
        <v>155</v>
      </c>
      <c r="B77">
        <f t="shared" si="7"/>
        <v>5</v>
      </c>
      <c r="E77" s="16" t="s">
        <v>8</v>
      </c>
      <c r="F77">
        <f t="shared" si="8"/>
        <v>5</v>
      </c>
    </row>
    <row r="78" spans="1:10" x14ac:dyDescent="0.25">
      <c r="A78" t="s">
        <v>156</v>
      </c>
      <c r="B78">
        <f t="shared" si="7"/>
        <v>6</v>
      </c>
      <c r="E78" s="15" t="s">
        <v>9</v>
      </c>
      <c r="F78">
        <f t="shared" si="8"/>
        <v>6</v>
      </c>
    </row>
    <row r="79" spans="1:10" x14ac:dyDescent="0.25">
      <c r="A79" t="s">
        <v>157</v>
      </c>
      <c r="B79">
        <f t="shared" si="7"/>
        <v>7</v>
      </c>
      <c r="E79" s="16" t="s">
        <v>10</v>
      </c>
      <c r="F79">
        <f t="shared" si="8"/>
        <v>7</v>
      </c>
    </row>
    <row r="80" spans="1:10" x14ac:dyDescent="0.25">
      <c r="A80" t="s">
        <v>158</v>
      </c>
      <c r="B80">
        <f t="shared" si="7"/>
        <v>8</v>
      </c>
      <c r="E80" s="15" t="s">
        <v>11</v>
      </c>
      <c r="F80">
        <f t="shared" si="8"/>
        <v>8</v>
      </c>
    </row>
    <row r="81" spans="1:6" x14ac:dyDescent="0.25">
      <c r="A81" t="s">
        <v>159</v>
      </c>
      <c r="B81">
        <f t="shared" si="7"/>
        <v>9</v>
      </c>
      <c r="E81" s="16" t="s">
        <v>12</v>
      </c>
      <c r="F81">
        <f t="shared" si="8"/>
        <v>9</v>
      </c>
    </row>
    <row r="82" spans="1:6" x14ac:dyDescent="0.25">
      <c r="A82" t="s">
        <v>160</v>
      </c>
      <c r="B82">
        <f t="shared" si="7"/>
        <v>10</v>
      </c>
      <c r="E82" s="15" t="s">
        <v>13</v>
      </c>
      <c r="F82">
        <f t="shared" si="8"/>
        <v>10</v>
      </c>
    </row>
    <row r="83" spans="1:6" x14ac:dyDescent="0.25">
      <c r="A83" t="s">
        <v>161</v>
      </c>
      <c r="B83">
        <f t="shared" si="7"/>
        <v>11</v>
      </c>
      <c r="E83" s="16" t="s">
        <v>14</v>
      </c>
      <c r="F83">
        <f t="shared" si="8"/>
        <v>11</v>
      </c>
    </row>
    <row r="84" spans="1:6" x14ac:dyDescent="0.25">
      <c r="A84" t="s">
        <v>162</v>
      </c>
      <c r="B84">
        <f t="shared" si="7"/>
        <v>12</v>
      </c>
      <c r="E84" s="15" t="s">
        <v>15</v>
      </c>
      <c r="F84">
        <f t="shared" si="8"/>
        <v>12</v>
      </c>
    </row>
    <row r="85" spans="1:6" x14ac:dyDescent="0.25">
      <c r="A85" t="s">
        <v>163</v>
      </c>
      <c r="B85">
        <f t="shared" si="7"/>
        <v>13</v>
      </c>
      <c r="E85" s="16" t="s">
        <v>16</v>
      </c>
      <c r="F85">
        <f t="shared" si="8"/>
        <v>13</v>
      </c>
    </row>
    <row r="86" spans="1:6" x14ac:dyDescent="0.25">
      <c r="A86" t="s">
        <v>164</v>
      </c>
      <c r="B86">
        <f t="shared" si="7"/>
        <v>14</v>
      </c>
      <c r="E86" s="15" t="s">
        <v>17</v>
      </c>
      <c r="F86">
        <f t="shared" si="8"/>
        <v>14</v>
      </c>
    </row>
    <row r="87" spans="1:6" x14ac:dyDescent="0.25">
      <c r="A87" t="s">
        <v>165</v>
      </c>
      <c r="B87">
        <f t="shared" si="7"/>
        <v>15</v>
      </c>
      <c r="E87" s="16" t="s">
        <v>18</v>
      </c>
      <c r="F87">
        <f t="shared" si="8"/>
        <v>15</v>
      </c>
    </row>
    <row r="88" spans="1:6" x14ac:dyDescent="0.25">
      <c r="A88" t="s">
        <v>166</v>
      </c>
      <c r="B88">
        <f t="shared" si="7"/>
        <v>16</v>
      </c>
      <c r="E88" s="15" t="s">
        <v>19</v>
      </c>
      <c r="F88">
        <f t="shared" si="8"/>
        <v>16</v>
      </c>
    </row>
    <row r="89" spans="1:6" x14ac:dyDescent="0.25">
      <c r="A89" t="s">
        <v>167</v>
      </c>
      <c r="B89">
        <f t="shared" si="7"/>
        <v>17</v>
      </c>
      <c r="E89" s="16" t="s">
        <v>20</v>
      </c>
      <c r="F89">
        <f t="shared" si="8"/>
        <v>17</v>
      </c>
    </row>
    <row r="90" spans="1:6" x14ac:dyDescent="0.25">
      <c r="A90" t="s">
        <v>168</v>
      </c>
      <c r="B90">
        <f t="shared" si="7"/>
        <v>18</v>
      </c>
      <c r="E90" s="15" t="s">
        <v>21</v>
      </c>
      <c r="F90">
        <f t="shared" si="8"/>
        <v>18</v>
      </c>
    </row>
    <row r="91" spans="1:6" x14ac:dyDescent="0.25">
      <c r="A91" t="s">
        <v>169</v>
      </c>
      <c r="B91">
        <f t="shared" si="7"/>
        <v>19</v>
      </c>
      <c r="E91" s="16" t="s">
        <v>22</v>
      </c>
      <c r="F91">
        <f t="shared" si="8"/>
        <v>19</v>
      </c>
    </row>
    <row r="92" spans="1:6" x14ac:dyDescent="0.25">
      <c r="A92" t="s">
        <v>170</v>
      </c>
      <c r="B92">
        <f t="shared" si="7"/>
        <v>20</v>
      </c>
      <c r="E92" s="15" t="s">
        <v>23</v>
      </c>
      <c r="F92">
        <f t="shared" si="8"/>
        <v>20</v>
      </c>
    </row>
    <row r="93" spans="1:6" x14ac:dyDescent="0.25">
      <c r="A93" t="s">
        <v>171</v>
      </c>
      <c r="B93">
        <f t="shared" si="7"/>
        <v>21</v>
      </c>
      <c r="E93" s="16" t="s">
        <v>24</v>
      </c>
      <c r="F93">
        <f t="shared" si="8"/>
        <v>21</v>
      </c>
    </row>
    <row r="94" spans="1:6" x14ac:dyDescent="0.25">
      <c r="A94" t="s">
        <v>172</v>
      </c>
      <c r="B94">
        <f t="shared" si="7"/>
        <v>22</v>
      </c>
      <c r="E94" s="15" t="s">
        <v>25</v>
      </c>
      <c r="F94">
        <f t="shared" si="8"/>
        <v>22</v>
      </c>
    </row>
    <row r="95" spans="1:6" x14ac:dyDescent="0.25">
      <c r="A95" t="s">
        <v>173</v>
      </c>
      <c r="B95">
        <f t="shared" si="7"/>
        <v>23</v>
      </c>
      <c r="E95" s="16" t="s">
        <v>26</v>
      </c>
      <c r="F95">
        <f t="shared" si="8"/>
        <v>23</v>
      </c>
    </row>
    <row r="96" spans="1:6" x14ac:dyDescent="0.25">
      <c r="A96" t="s">
        <v>174</v>
      </c>
      <c r="B96">
        <f t="shared" si="7"/>
        <v>24</v>
      </c>
      <c r="E96" s="15" t="s">
        <v>27</v>
      </c>
      <c r="F96">
        <f t="shared" si="8"/>
        <v>24</v>
      </c>
    </row>
    <row r="97" spans="1:6" x14ac:dyDescent="0.25">
      <c r="A97" t="s">
        <v>175</v>
      </c>
      <c r="B97">
        <f t="shared" si="7"/>
        <v>25</v>
      </c>
      <c r="E97" s="16" t="s">
        <v>28</v>
      </c>
      <c r="F97">
        <f t="shared" si="8"/>
        <v>25</v>
      </c>
    </row>
    <row r="98" spans="1:6" x14ac:dyDescent="0.25">
      <c r="A98" t="s">
        <v>176</v>
      </c>
      <c r="B98">
        <f t="shared" si="7"/>
        <v>26</v>
      </c>
      <c r="E98" s="15" t="s">
        <v>29</v>
      </c>
      <c r="F98">
        <f t="shared" si="8"/>
        <v>26</v>
      </c>
    </row>
    <row r="99" spans="1:6" x14ac:dyDescent="0.25">
      <c r="A99" t="s">
        <v>177</v>
      </c>
      <c r="B99">
        <f t="shared" si="7"/>
        <v>27</v>
      </c>
      <c r="E99" s="16" t="s">
        <v>30</v>
      </c>
      <c r="F99">
        <f t="shared" si="8"/>
        <v>27</v>
      </c>
    </row>
    <row r="100" spans="1:6" x14ac:dyDescent="0.25">
      <c r="A100" t="s">
        <v>178</v>
      </c>
      <c r="B100">
        <f t="shared" si="7"/>
        <v>28</v>
      </c>
      <c r="E100" s="15" t="s">
        <v>31</v>
      </c>
      <c r="F100">
        <f t="shared" si="8"/>
        <v>28</v>
      </c>
    </row>
    <row r="101" spans="1:6" x14ac:dyDescent="0.25">
      <c r="A101" t="s">
        <v>179</v>
      </c>
      <c r="B101">
        <f t="shared" si="7"/>
        <v>29</v>
      </c>
      <c r="E101" s="16" t="s">
        <v>32</v>
      </c>
      <c r="F101">
        <f t="shared" si="8"/>
        <v>29</v>
      </c>
    </row>
    <row r="102" spans="1:6" x14ac:dyDescent="0.25">
      <c r="A102" t="s">
        <v>180</v>
      </c>
      <c r="B102">
        <f t="shared" si="7"/>
        <v>30</v>
      </c>
      <c r="E102" s="15" t="s">
        <v>33</v>
      </c>
      <c r="F102">
        <f t="shared" si="8"/>
        <v>30</v>
      </c>
    </row>
    <row r="103" spans="1:6" x14ac:dyDescent="0.25">
      <c r="A103" t="s">
        <v>181</v>
      </c>
      <c r="B103">
        <f t="shared" si="7"/>
        <v>31</v>
      </c>
      <c r="E103" s="16" t="s">
        <v>34</v>
      </c>
      <c r="F103">
        <f t="shared" si="8"/>
        <v>31</v>
      </c>
    </row>
    <row r="104" spans="1:6" x14ac:dyDescent="0.25">
      <c r="A104" t="s">
        <v>182</v>
      </c>
      <c r="B104">
        <f t="shared" si="7"/>
        <v>32</v>
      </c>
      <c r="E104" s="15" t="s">
        <v>35</v>
      </c>
      <c r="F104">
        <f t="shared" si="8"/>
        <v>32</v>
      </c>
    </row>
    <row r="105" spans="1:6" x14ac:dyDescent="0.25">
      <c r="A105" t="s">
        <v>183</v>
      </c>
      <c r="B105">
        <f t="shared" ref="B105:B136" si="9">+HLOOKUP(A105,$B$1:$CX$32,32,0)</f>
        <v>33</v>
      </c>
      <c r="E105" s="16" t="s">
        <v>36</v>
      </c>
      <c r="F105">
        <f t="shared" si="8"/>
        <v>33</v>
      </c>
    </row>
    <row r="106" spans="1:6" x14ac:dyDescent="0.25">
      <c r="A106" t="s">
        <v>184</v>
      </c>
      <c r="B106">
        <f t="shared" si="9"/>
        <v>34</v>
      </c>
      <c r="E106" s="15" t="s">
        <v>37</v>
      </c>
      <c r="F106">
        <f t="shared" si="8"/>
        <v>34</v>
      </c>
    </row>
    <row r="107" spans="1:6" x14ac:dyDescent="0.25">
      <c r="A107" t="s">
        <v>185</v>
      </c>
      <c r="B107">
        <f t="shared" si="9"/>
        <v>35</v>
      </c>
      <c r="E107" s="16" t="s">
        <v>38</v>
      </c>
      <c r="F107">
        <f t="shared" si="8"/>
        <v>35</v>
      </c>
    </row>
    <row r="108" spans="1:6" x14ac:dyDescent="0.25">
      <c r="A108" t="s">
        <v>186</v>
      </c>
      <c r="B108">
        <f t="shared" si="9"/>
        <v>36</v>
      </c>
      <c r="E108" s="15" t="s">
        <v>39</v>
      </c>
      <c r="F108">
        <f t="shared" si="8"/>
        <v>36</v>
      </c>
    </row>
    <row r="109" spans="1:6" x14ac:dyDescent="0.25">
      <c r="A109" t="s">
        <v>187</v>
      </c>
      <c r="B109">
        <f t="shared" si="9"/>
        <v>37</v>
      </c>
      <c r="E109" s="16" t="s">
        <v>40</v>
      </c>
      <c r="F109">
        <f t="shared" si="8"/>
        <v>37</v>
      </c>
    </row>
    <row r="110" spans="1:6" x14ac:dyDescent="0.25">
      <c r="A110" t="s">
        <v>188</v>
      </c>
      <c r="B110">
        <f t="shared" si="9"/>
        <v>38</v>
      </c>
      <c r="E110" s="15" t="s">
        <v>41</v>
      </c>
      <c r="F110">
        <f t="shared" si="8"/>
        <v>38</v>
      </c>
    </row>
    <row r="111" spans="1:6" x14ac:dyDescent="0.25">
      <c r="A111" t="s">
        <v>189</v>
      </c>
      <c r="B111">
        <f t="shared" si="9"/>
        <v>39</v>
      </c>
      <c r="E111" s="16" t="s">
        <v>42</v>
      </c>
      <c r="F111">
        <f t="shared" si="8"/>
        <v>39</v>
      </c>
    </row>
    <row r="112" spans="1:6" x14ac:dyDescent="0.25">
      <c r="A112" t="s">
        <v>190</v>
      </c>
      <c r="B112">
        <f t="shared" si="9"/>
        <v>40</v>
      </c>
      <c r="E112" s="15" t="s">
        <v>43</v>
      </c>
      <c r="F112">
        <f t="shared" si="8"/>
        <v>40</v>
      </c>
    </row>
    <row r="113" spans="1:6" x14ac:dyDescent="0.25">
      <c r="A113" t="s">
        <v>191</v>
      </c>
      <c r="B113">
        <f t="shared" si="9"/>
        <v>41</v>
      </c>
      <c r="E113" s="16" t="s">
        <v>44</v>
      </c>
      <c r="F113">
        <f t="shared" si="8"/>
        <v>41</v>
      </c>
    </row>
    <row r="114" spans="1:6" x14ac:dyDescent="0.25">
      <c r="A114" t="s">
        <v>192</v>
      </c>
      <c r="B114">
        <f t="shared" si="9"/>
        <v>42</v>
      </c>
      <c r="E114" s="15" t="s">
        <v>45</v>
      </c>
      <c r="F114">
        <f t="shared" si="8"/>
        <v>42</v>
      </c>
    </row>
    <row r="115" spans="1:6" x14ac:dyDescent="0.25">
      <c r="A115" t="s">
        <v>193</v>
      </c>
      <c r="B115">
        <f t="shared" si="9"/>
        <v>43</v>
      </c>
      <c r="E115" s="16" t="s">
        <v>46</v>
      </c>
      <c r="F115">
        <f t="shared" si="8"/>
        <v>43</v>
      </c>
    </row>
    <row r="116" spans="1:6" x14ac:dyDescent="0.25">
      <c r="A116" t="s">
        <v>194</v>
      </c>
      <c r="B116">
        <f t="shared" si="9"/>
        <v>44</v>
      </c>
      <c r="E116" s="15" t="s">
        <v>47</v>
      </c>
      <c r="F116">
        <f t="shared" si="8"/>
        <v>44</v>
      </c>
    </row>
    <row r="117" spans="1:6" x14ac:dyDescent="0.25">
      <c r="A117" t="s">
        <v>195</v>
      </c>
      <c r="B117">
        <f t="shared" si="9"/>
        <v>45</v>
      </c>
      <c r="E117" s="16" t="s">
        <v>48</v>
      </c>
      <c r="F117">
        <f t="shared" si="8"/>
        <v>45</v>
      </c>
    </row>
    <row r="118" spans="1:6" x14ac:dyDescent="0.25">
      <c r="A118" t="s">
        <v>196</v>
      </c>
      <c r="B118">
        <f t="shared" si="9"/>
        <v>46</v>
      </c>
      <c r="E118" s="15" t="s">
        <v>49</v>
      </c>
      <c r="F118">
        <f t="shared" si="8"/>
        <v>46</v>
      </c>
    </row>
    <row r="119" spans="1:6" x14ac:dyDescent="0.25">
      <c r="A119" t="s">
        <v>197</v>
      </c>
      <c r="B119">
        <f t="shared" si="9"/>
        <v>47</v>
      </c>
      <c r="E119" s="16" t="s">
        <v>50</v>
      </c>
      <c r="F119">
        <f t="shared" si="8"/>
        <v>47</v>
      </c>
    </row>
    <row r="120" spans="1:6" x14ac:dyDescent="0.25">
      <c r="A120" t="s">
        <v>198</v>
      </c>
      <c r="B120">
        <f t="shared" si="9"/>
        <v>48</v>
      </c>
      <c r="E120" s="15" t="s">
        <v>51</v>
      </c>
      <c r="F120">
        <f t="shared" si="8"/>
        <v>48</v>
      </c>
    </row>
    <row r="121" spans="1:6" x14ac:dyDescent="0.25">
      <c r="A121" t="s">
        <v>199</v>
      </c>
      <c r="B121">
        <f t="shared" si="9"/>
        <v>49</v>
      </c>
      <c r="E121" s="16" t="s">
        <v>52</v>
      </c>
      <c r="F121">
        <f t="shared" si="8"/>
        <v>49</v>
      </c>
    </row>
    <row r="122" spans="1:6" x14ac:dyDescent="0.25">
      <c r="A122" t="s">
        <v>200</v>
      </c>
      <c r="B122">
        <f t="shared" si="9"/>
        <v>50</v>
      </c>
      <c r="E122" s="15" t="s">
        <v>53</v>
      </c>
      <c r="F122">
        <f t="shared" si="8"/>
        <v>50</v>
      </c>
    </row>
    <row r="123" spans="1:6" x14ac:dyDescent="0.25">
      <c r="A123" t="s">
        <v>201</v>
      </c>
      <c r="B123">
        <f t="shared" si="9"/>
        <v>51</v>
      </c>
      <c r="E123" s="16" t="s">
        <v>54</v>
      </c>
      <c r="F123">
        <f t="shared" si="8"/>
        <v>51</v>
      </c>
    </row>
    <row r="124" spans="1:6" x14ac:dyDescent="0.25">
      <c r="A124" t="s">
        <v>202</v>
      </c>
      <c r="B124">
        <f t="shared" si="9"/>
        <v>52</v>
      </c>
      <c r="E124" s="15" t="s">
        <v>55</v>
      </c>
      <c r="F124">
        <f t="shared" si="8"/>
        <v>52</v>
      </c>
    </row>
    <row r="125" spans="1:6" x14ac:dyDescent="0.25">
      <c r="A125" t="s">
        <v>203</v>
      </c>
      <c r="B125">
        <f t="shared" si="9"/>
        <v>53</v>
      </c>
      <c r="E125" s="16" t="s">
        <v>56</v>
      </c>
      <c r="F125">
        <f t="shared" si="8"/>
        <v>53</v>
      </c>
    </row>
    <row r="126" spans="1:6" x14ac:dyDescent="0.25">
      <c r="A126" t="s">
        <v>204</v>
      </c>
      <c r="B126">
        <f t="shared" si="9"/>
        <v>54</v>
      </c>
      <c r="E126" s="15" t="s">
        <v>57</v>
      </c>
      <c r="F126">
        <f t="shared" si="8"/>
        <v>54</v>
      </c>
    </row>
    <row r="127" spans="1:6" x14ac:dyDescent="0.25">
      <c r="A127" t="s">
        <v>205</v>
      </c>
      <c r="B127">
        <f t="shared" si="9"/>
        <v>55</v>
      </c>
      <c r="E127" s="16" t="s">
        <v>58</v>
      </c>
      <c r="F127">
        <f t="shared" si="8"/>
        <v>55</v>
      </c>
    </row>
    <row r="128" spans="1:6" x14ac:dyDescent="0.25">
      <c r="A128" t="s">
        <v>206</v>
      </c>
      <c r="B128">
        <f t="shared" si="9"/>
        <v>56</v>
      </c>
      <c r="E128" s="15" t="s">
        <v>59</v>
      </c>
      <c r="F128">
        <f t="shared" si="8"/>
        <v>56</v>
      </c>
    </row>
    <row r="129" spans="1:6" x14ac:dyDescent="0.25">
      <c r="A129" t="s">
        <v>207</v>
      </c>
      <c r="B129">
        <f t="shared" si="9"/>
        <v>57</v>
      </c>
      <c r="E129" s="16" t="s">
        <v>60</v>
      </c>
      <c r="F129">
        <f t="shared" si="8"/>
        <v>57</v>
      </c>
    </row>
    <row r="130" spans="1:6" x14ac:dyDescent="0.25">
      <c r="A130" t="s">
        <v>208</v>
      </c>
      <c r="B130">
        <f t="shared" si="9"/>
        <v>58</v>
      </c>
      <c r="E130" s="15" t="s">
        <v>61</v>
      </c>
      <c r="F130">
        <f t="shared" si="8"/>
        <v>58</v>
      </c>
    </row>
    <row r="131" spans="1:6" x14ac:dyDescent="0.25">
      <c r="A131" t="s">
        <v>209</v>
      </c>
      <c r="B131">
        <f t="shared" si="9"/>
        <v>59</v>
      </c>
      <c r="E131" s="16" t="s">
        <v>62</v>
      </c>
      <c r="F131">
        <f t="shared" si="8"/>
        <v>59</v>
      </c>
    </row>
    <row r="132" spans="1:6" x14ac:dyDescent="0.25">
      <c r="A132" t="s">
        <v>210</v>
      </c>
      <c r="B132">
        <f t="shared" si="9"/>
        <v>60</v>
      </c>
      <c r="E132" s="15" t="s">
        <v>63</v>
      </c>
      <c r="F132">
        <f t="shared" si="8"/>
        <v>60</v>
      </c>
    </row>
    <row r="133" spans="1:6" x14ac:dyDescent="0.25">
      <c r="A133" t="s">
        <v>211</v>
      </c>
      <c r="B133">
        <f t="shared" si="9"/>
        <v>61</v>
      </c>
      <c r="E133" s="16" t="s">
        <v>64</v>
      </c>
      <c r="F133">
        <f t="shared" si="8"/>
        <v>61</v>
      </c>
    </row>
    <row r="134" spans="1:6" x14ac:dyDescent="0.25">
      <c r="A134" t="s">
        <v>212</v>
      </c>
      <c r="B134">
        <f t="shared" si="9"/>
        <v>62</v>
      </c>
      <c r="E134" s="15" t="s">
        <v>65</v>
      </c>
      <c r="F134">
        <f t="shared" si="8"/>
        <v>62</v>
      </c>
    </row>
    <row r="135" spans="1:6" x14ac:dyDescent="0.25">
      <c r="A135" t="s">
        <v>213</v>
      </c>
      <c r="B135">
        <f t="shared" si="9"/>
        <v>63</v>
      </c>
      <c r="E135" s="16" t="s">
        <v>66</v>
      </c>
      <c r="F135">
        <f t="shared" si="8"/>
        <v>63</v>
      </c>
    </row>
    <row r="136" spans="1:6" x14ac:dyDescent="0.25">
      <c r="A136" t="s">
        <v>214</v>
      </c>
      <c r="B136">
        <f t="shared" si="9"/>
        <v>64</v>
      </c>
      <c r="E136" s="15" t="s">
        <v>67</v>
      </c>
      <c r="F136">
        <f t="shared" si="8"/>
        <v>64</v>
      </c>
    </row>
    <row r="137" spans="1:6" x14ac:dyDescent="0.25">
      <c r="A137" t="s">
        <v>215</v>
      </c>
      <c r="B137">
        <f t="shared" ref="B137:B168" si="10">+HLOOKUP(A137,$B$1:$CX$32,32,0)</f>
        <v>65</v>
      </c>
      <c r="E137" s="16" t="s">
        <v>68</v>
      </c>
      <c r="F137">
        <f t="shared" si="8"/>
        <v>65</v>
      </c>
    </row>
    <row r="138" spans="1:6" x14ac:dyDescent="0.25">
      <c r="A138" t="s">
        <v>216</v>
      </c>
      <c r="B138">
        <f t="shared" si="10"/>
        <v>66</v>
      </c>
      <c r="E138" s="15" t="s">
        <v>69</v>
      </c>
      <c r="F138">
        <f t="shared" ref="F138:F172" si="11">VLOOKUP(E138,$A$73:$B$172,2,0)</f>
        <v>66</v>
      </c>
    </row>
    <row r="139" spans="1:6" x14ac:dyDescent="0.25">
      <c r="A139" t="s">
        <v>217</v>
      </c>
      <c r="B139">
        <f t="shared" si="10"/>
        <v>67</v>
      </c>
      <c r="E139" s="16" t="s">
        <v>70</v>
      </c>
      <c r="F139">
        <f t="shared" si="11"/>
        <v>67</v>
      </c>
    </row>
    <row r="140" spans="1:6" x14ac:dyDescent="0.25">
      <c r="A140" t="s">
        <v>218</v>
      </c>
      <c r="B140">
        <f t="shared" si="10"/>
        <v>68</v>
      </c>
      <c r="E140" s="15" t="s">
        <v>71</v>
      </c>
      <c r="F140">
        <f t="shared" si="11"/>
        <v>68</v>
      </c>
    </row>
    <row r="141" spans="1:6" x14ac:dyDescent="0.25">
      <c r="A141" t="s">
        <v>219</v>
      </c>
      <c r="B141">
        <f t="shared" si="10"/>
        <v>69</v>
      </c>
      <c r="E141" s="16" t="s">
        <v>72</v>
      </c>
      <c r="F141">
        <f t="shared" si="11"/>
        <v>69</v>
      </c>
    </row>
    <row r="142" spans="1:6" x14ac:dyDescent="0.25">
      <c r="A142" t="s">
        <v>220</v>
      </c>
      <c r="B142">
        <f t="shared" si="10"/>
        <v>70</v>
      </c>
      <c r="E142" s="15" t="s">
        <v>73</v>
      </c>
      <c r="F142">
        <f t="shared" si="11"/>
        <v>70</v>
      </c>
    </row>
    <row r="143" spans="1:6" x14ac:dyDescent="0.25">
      <c r="A143" s="111" t="s">
        <v>277</v>
      </c>
      <c r="B143">
        <f t="shared" si="10"/>
        <v>71</v>
      </c>
      <c r="E143" s="16" t="s">
        <v>74</v>
      </c>
      <c r="F143">
        <f>VLOOKUP("O Brien",$A$73:$B$172,2,0)</f>
        <v>71</v>
      </c>
    </row>
    <row r="144" spans="1:6" x14ac:dyDescent="0.25">
      <c r="A144" t="s">
        <v>222</v>
      </c>
      <c r="B144">
        <f t="shared" si="10"/>
        <v>72</v>
      </c>
      <c r="E144" s="15" t="s">
        <v>75</v>
      </c>
      <c r="F144">
        <f t="shared" si="11"/>
        <v>72</v>
      </c>
    </row>
    <row r="145" spans="1:6" x14ac:dyDescent="0.25">
      <c r="A145" t="s">
        <v>223</v>
      </c>
      <c r="B145">
        <f t="shared" si="10"/>
        <v>73</v>
      </c>
      <c r="E145" s="16" t="s">
        <v>76</v>
      </c>
      <c r="F145">
        <f t="shared" si="11"/>
        <v>75</v>
      </c>
    </row>
    <row r="146" spans="1:6" x14ac:dyDescent="0.25">
      <c r="A146" t="s">
        <v>224</v>
      </c>
      <c r="B146">
        <f t="shared" si="10"/>
        <v>75</v>
      </c>
      <c r="E146" s="15" t="s">
        <v>77</v>
      </c>
      <c r="F146">
        <f t="shared" si="11"/>
        <v>76</v>
      </c>
    </row>
    <row r="147" spans="1:6" x14ac:dyDescent="0.25">
      <c r="A147" t="s">
        <v>225</v>
      </c>
      <c r="B147">
        <f t="shared" si="10"/>
        <v>76</v>
      </c>
      <c r="E147" s="16" t="s">
        <v>78</v>
      </c>
      <c r="F147">
        <f t="shared" si="11"/>
        <v>77</v>
      </c>
    </row>
    <row r="148" spans="1:6" x14ac:dyDescent="0.25">
      <c r="A148" t="s">
        <v>226</v>
      </c>
      <c r="B148">
        <f t="shared" si="10"/>
        <v>77</v>
      </c>
      <c r="E148" s="15" t="s">
        <v>79</v>
      </c>
      <c r="F148">
        <f t="shared" si="11"/>
        <v>78</v>
      </c>
    </row>
    <row r="149" spans="1:6" x14ac:dyDescent="0.25">
      <c r="A149" t="s">
        <v>227</v>
      </c>
      <c r="B149">
        <f t="shared" si="10"/>
        <v>78</v>
      </c>
      <c r="E149" s="16" t="s">
        <v>80</v>
      </c>
      <c r="F149">
        <f t="shared" si="11"/>
        <v>79</v>
      </c>
    </row>
    <row r="150" spans="1:6" x14ac:dyDescent="0.25">
      <c r="A150" t="s">
        <v>228</v>
      </c>
      <c r="B150">
        <f t="shared" si="10"/>
        <v>79</v>
      </c>
      <c r="E150" s="15" t="s">
        <v>128</v>
      </c>
      <c r="F150">
        <f>VLOOKUP("Pottawattamie",$A$73:$B$172,2,0)</f>
        <v>80</v>
      </c>
    </row>
    <row r="151" spans="1:6" x14ac:dyDescent="0.25">
      <c r="A151" t="s">
        <v>229</v>
      </c>
      <c r="B151">
        <f t="shared" si="10"/>
        <v>80</v>
      </c>
      <c r="E151" s="16" t="s">
        <v>129</v>
      </c>
      <c r="F151">
        <f>+F150</f>
        <v>80</v>
      </c>
    </row>
    <row r="152" spans="1:6" x14ac:dyDescent="0.25">
      <c r="A152" t="s">
        <v>230</v>
      </c>
      <c r="B152">
        <f t="shared" si="10"/>
        <v>81</v>
      </c>
      <c r="E152" s="15" t="s">
        <v>81</v>
      </c>
      <c r="F152">
        <f t="shared" si="11"/>
        <v>81</v>
      </c>
    </row>
    <row r="153" spans="1:6" x14ac:dyDescent="0.25">
      <c r="A153" t="s">
        <v>231</v>
      </c>
      <c r="B153">
        <f t="shared" si="10"/>
        <v>82</v>
      </c>
      <c r="E153" s="16" t="s">
        <v>82</v>
      </c>
      <c r="F153">
        <f t="shared" si="11"/>
        <v>82</v>
      </c>
    </row>
    <row r="154" spans="1:6" x14ac:dyDescent="0.25">
      <c r="A154" t="s">
        <v>232</v>
      </c>
      <c r="B154">
        <f t="shared" si="10"/>
        <v>83</v>
      </c>
      <c r="E154" s="15" t="s">
        <v>83</v>
      </c>
      <c r="F154">
        <f t="shared" si="11"/>
        <v>83</v>
      </c>
    </row>
    <row r="155" spans="1:6" x14ac:dyDescent="0.25">
      <c r="A155" t="s">
        <v>233</v>
      </c>
      <c r="B155">
        <f t="shared" si="10"/>
        <v>84</v>
      </c>
      <c r="E155" s="16" t="s">
        <v>84</v>
      </c>
      <c r="F155">
        <f t="shared" si="11"/>
        <v>84</v>
      </c>
    </row>
    <row r="156" spans="1:6" x14ac:dyDescent="0.25">
      <c r="A156" t="s">
        <v>234</v>
      </c>
      <c r="B156">
        <f t="shared" si="10"/>
        <v>85</v>
      </c>
      <c r="E156" s="15" t="s">
        <v>85</v>
      </c>
      <c r="F156">
        <f t="shared" si="11"/>
        <v>85</v>
      </c>
    </row>
    <row r="157" spans="1:6" x14ac:dyDescent="0.25">
      <c r="A157" t="s">
        <v>235</v>
      </c>
      <c r="B157">
        <f t="shared" si="10"/>
        <v>86</v>
      </c>
      <c r="E157" s="16" t="s">
        <v>86</v>
      </c>
      <c r="F157">
        <f t="shared" si="11"/>
        <v>86</v>
      </c>
    </row>
    <row r="158" spans="1:6" x14ac:dyDescent="0.25">
      <c r="A158" t="s">
        <v>236</v>
      </c>
      <c r="B158">
        <f t="shared" si="10"/>
        <v>87</v>
      </c>
      <c r="E158" s="15" t="s">
        <v>87</v>
      </c>
      <c r="F158">
        <f t="shared" si="11"/>
        <v>87</v>
      </c>
    </row>
    <row r="159" spans="1:6" x14ac:dyDescent="0.25">
      <c r="A159" t="s">
        <v>237</v>
      </c>
      <c r="B159">
        <f t="shared" si="10"/>
        <v>88</v>
      </c>
      <c r="E159" s="16" t="s">
        <v>88</v>
      </c>
      <c r="F159">
        <f t="shared" si="11"/>
        <v>88</v>
      </c>
    </row>
    <row r="160" spans="1:6" x14ac:dyDescent="0.25">
      <c r="A160" t="s">
        <v>238</v>
      </c>
      <c r="B160">
        <f t="shared" si="10"/>
        <v>89</v>
      </c>
      <c r="E160" s="15" t="s">
        <v>89</v>
      </c>
      <c r="F160">
        <f t="shared" si="11"/>
        <v>89</v>
      </c>
    </row>
    <row r="161" spans="1:6" x14ac:dyDescent="0.25">
      <c r="A161" t="s">
        <v>239</v>
      </c>
      <c r="B161">
        <f t="shared" si="10"/>
        <v>90</v>
      </c>
      <c r="E161" s="16" t="s">
        <v>90</v>
      </c>
      <c r="F161">
        <f t="shared" si="11"/>
        <v>90</v>
      </c>
    </row>
    <row r="162" spans="1:6" x14ac:dyDescent="0.25">
      <c r="A162" t="s">
        <v>240</v>
      </c>
      <c r="B162">
        <f t="shared" si="10"/>
        <v>91</v>
      </c>
      <c r="E162" s="15" t="s">
        <v>91</v>
      </c>
      <c r="F162">
        <f t="shared" si="11"/>
        <v>91</v>
      </c>
    </row>
    <row r="163" spans="1:6" x14ac:dyDescent="0.25">
      <c r="A163" t="s">
        <v>241</v>
      </c>
      <c r="B163">
        <f t="shared" si="10"/>
        <v>92</v>
      </c>
      <c r="E163" s="16" t="s">
        <v>92</v>
      </c>
      <c r="F163">
        <f t="shared" si="11"/>
        <v>92</v>
      </c>
    </row>
    <row r="164" spans="1:6" x14ac:dyDescent="0.25">
      <c r="A164" t="s">
        <v>242</v>
      </c>
      <c r="B164">
        <f t="shared" si="10"/>
        <v>93</v>
      </c>
      <c r="E164" s="15" t="s">
        <v>93</v>
      </c>
      <c r="F164">
        <f t="shared" si="11"/>
        <v>93</v>
      </c>
    </row>
    <row r="165" spans="1:6" x14ac:dyDescent="0.25">
      <c r="A165" t="s">
        <v>243</v>
      </c>
      <c r="B165">
        <f t="shared" si="10"/>
        <v>94</v>
      </c>
      <c r="E165" s="16" t="s">
        <v>94</v>
      </c>
      <c r="F165">
        <f t="shared" si="11"/>
        <v>94</v>
      </c>
    </row>
    <row r="166" spans="1:6" x14ac:dyDescent="0.25">
      <c r="A166" t="s">
        <v>244</v>
      </c>
      <c r="B166">
        <f t="shared" si="10"/>
        <v>95</v>
      </c>
      <c r="E166" s="15" t="s">
        <v>95</v>
      </c>
      <c r="F166">
        <f t="shared" si="11"/>
        <v>95</v>
      </c>
    </row>
    <row r="167" spans="1:6" x14ac:dyDescent="0.25">
      <c r="A167" t="s">
        <v>245</v>
      </c>
      <c r="B167">
        <f t="shared" si="10"/>
        <v>96</v>
      </c>
      <c r="E167" s="16" t="s">
        <v>96</v>
      </c>
      <c r="F167">
        <f t="shared" si="11"/>
        <v>96</v>
      </c>
    </row>
    <row r="168" spans="1:6" x14ac:dyDescent="0.25">
      <c r="A168" t="s">
        <v>246</v>
      </c>
      <c r="B168">
        <f t="shared" si="10"/>
        <v>97</v>
      </c>
      <c r="E168" s="15" t="s">
        <v>97</v>
      </c>
      <c r="F168">
        <f t="shared" si="11"/>
        <v>97</v>
      </c>
    </row>
    <row r="169" spans="1:6" x14ac:dyDescent="0.25">
      <c r="A169" t="s">
        <v>247</v>
      </c>
      <c r="B169">
        <f t="shared" ref="B169:B172" si="12">+HLOOKUP(A169,$B$1:$CX$32,32,0)</f>
        <v>98</v>
      </c>
      <c r="E169" s="16" t="s">
        <v>98</v>
      </c>
      <c r="F169">
        <f t="shared" si="11"/>
        <v>98</v>
      </c>
    </row>
    <row r="170" spans="1:6" x14ac:dyDescent="0.25">
      <c r="A170" t="s">
        <v>248</v>
      </c>
      <c r="B170">
        <f t="shared" si="12"/>
        <v>99</v>
      </c>
      <c r="E170" s="15" t="s">
        <v>99</v>
      </c>
      <c r="F170">
        <f t="shared" si="11"/>
        <v>99</v>
      </c>
    </row>
    <row r="171" spans="1:6" x14ac:dyDescent="0.25">
      <c r="A171" t="s">
        <v>249</v>
      </c>
      <c r="B171">
        <f t="shared" si="12"/>
        <v>100</v>
      </c>
      <c r="E171" s="16" t="s">
        <v>100</v>
      </c>
      <c r="F171">
        <f t="shared" si="11"/>
        <v>100</v>
      </c>
    </row>
    <row r="172" spans="1:6" x14ac:dyDescent="0.25">
      <c r="A172" t="s">
        <v>250</v>
      </c>
      <c r="B172">
        <f t="shared" si="12"/>
        <v>101</v>
      </c>
      <c r="E172" s="15" t="s">
        <v>101</v>
      </c>
      <c r="F172">
        <f t="shared" si="11"/>
        <v>101</v>
      </c>
    </row>
  </sheetData>
  <protectedRanges>
    <protectedRange sqref="E73:E172 A143" name="Range1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CX172"/>
  <sheetViews>
    <sheetView workbookViewId="0">
      <selection activeCell="T30" sqref="T30"/>
    </sheetView>
  </sheetViews>
  <sheetFormatPr defaultRowHeight="15" x14ac:dyDescent="0.25"/>
  <cols>
    <col min="1" max="1" width="19.7109375" customWidth="1"/>
  </cols>
  <sheetData>
    <row r="1" spans="1:102" x14ac:dyDescent="0.25">
      <c r="A1" t="s">
        <v>276</v>
      </c>
      <c r="B1" s="110" t="s">
        <v>151</v>
      </c>
      <c r="C1" s="110" t="s">
        <v>152</v>
      </c>
      <c r="D1" s="110" t="s">
        <v>153</v>
      </c>
      <c r="E1" s="110" t="s">
        <v>154</v>
      </c>
      <c r="F1" s="110" t="s">
        <v>155</v>
      </c>
      <c r="G1" s="110" t="s">
        <v>156</v>
      </c>
      <c r="H1" s="110" t="s">
        <v>157</v>
      </c>
      <c r="I1" s="110" t="s">
        <v>158</v>
      </c>
      <c r="J1" s="110" t="s">
        <v>159</v>
      </c>
      <c r="K1" s="110" t="s">
        <v>160</v>
      </c>
      <c r="L1" s="110" t="s">
        <v>161</v>
      </c>
      <c r="M1" s="110" t="s">
        <v>162</v>
      </c>
      <c r="N1" s="110" t="s">
        <v>163</v>
      </c>
      <c r="O1" s="110" t="s">
        <v>164</v>
      </c>
      <c r="P1" s="110" t="s">
        <v>165</v>
      </c>
      <c r="Q1" s="110" t="s">
        <v>166</v>
      </c>
      <c r="R1" s="110" t="s">
        <v>167</v>
      </c>
      <c r="S1" s="110" t="s">
        <v>168</v>
      </c>
      <c r="T1" s="110" t="s">
        <v>169</v>
      </c>
      <c r="U1" s="110" t="s">
        <v>170</v>
      </c>
      <c r="V1" s="110" t="s">
        <v>171</v>
      </c>
      <c r="W1" s="110" t="s">
        <v>172</v>
      </c>
      <c r="X1" s="110" t="s">
        <v>173</v>
      </c>
      <c r="Y1" s="110" t="s">
        <v>174</v>
      </c>
      <c r="Z1" s="110" t="s">
        <v>175</v>
      </c>
      <c r="AA1" s="110" t="s">
        <v>176</v>
      </c>
      <c r="AB1" s="110" t="s">
        <v>177</v>
      </c>
      <c r="AC1" s="110" t="s">
        <v>178</v>
      </c>
      <c r="AD1" s="110" t="s">
        <v>179</v>
      </c>
      <c r="AE1" s="110" t="s">
        <v>180</v>
      </c>
      <c r="AF1" s="110" t="s">
        <v>181</v>
      </c>
      <c r="AG1" s="110" t="s">
        <v>182</v>
      </c>
      <c r="AH1" s="110" t="s">
        <v>183</v>
      </c>
      <c r="AI1" s="110" t="s">
        <v>184</v>
      </c>
      <c r="AJ1" s="110" t="s">
        <v>185</v>
      </c>
      <c r="AK1" s="110" t="s">
        <v>186</v>
      </c>
      <c r="AL1" s="110" t="s">
        <v>187</v>
      </c>
      <c r="AM1" s="110" t="s">
        <v>188</v>
      </c>
      <c r="AN1" s="110" t="s">
        <v>189</v>
      </c>
      <c r="AO1" s="110" t="s">
        <v>190</v>
      </c>
      <c r="AP1" s="110" t="s">
        <v>191</v>
      </c>
      <c r="AQ1" s="110" t="s">
        <v>192</v>
      </c>
      <c r="AR1" s="110" t="s">
        <v>193</v>
      </c>
      <c r="AS1" s="110" t="s">
        <v>194</v>
      </c>
      <c r="AT1" s="110" t="s">
        <v>195</v>
      </c>
      <c r="AU1" s="110" t="s">
        <v>196</v>
      </c>
      <c r="AV1" s="110" t="s">
        <v>197</v>
      </c>
      <c r="AW1" s="110" t="s">
        <v>198</v>
      </c>
      <c r="AX1" s="110" t="s">
        <v>199</v>
      </c>
      <c r="AY1" s="110" t="s">
        <v>200</v>
      </c>
      <c r="AZ1" s="110" t="s">
        <v>201</v>
      </c>
      <c r="BA1" s="110" t="s">
        <v>202</v>
      </c>
      <c r="BB1" s="110" t="s">
        <v>203</v>
      </c>
      <c r="BC1" s="110" t="s">
        <v>204</v>
      </c>
      <c r="BD1" s="110" t="s">
        <v>205</v>
      </c>
      <c r="BE1" s="110" t="s">
        <v>206</v>
      </c>
      <c r="BF1" s="110" t="s">
        <v>207</v>
      </c>
      <c r="BG1" s="110" t="s">
        <v>208</v>
      </c>
      <c r="BH1" s="110" t="s">
        <v>209</v>
      </c>
      <c r="BI1" s="110" t="s">
        <v>210</v>
      </c>
      <c r="BJ1" s="110" t="s">
        <v>211</v>
      </c>
      <c r="BK1" s="110" t="s">
        <v>212</v>
      </c>
      <c r="BL1" s="110" t="s">
        <v>213</v>
      </c>
      <c r="BM1" s="110" t="s">
        <v>214</v>
      </c>
      <c r="BN1" s="110" t="s">
        <v>215</v>
      </c>
      <c r="BO1" s="110" t="s">
        <v>216</v>
      </c>
      <c r="BP1" s="110" t="s">
        <v>217</v>
      </c>
      <c r="BQ1" s="110" t="s">
        <v>218</v>
      </c>
      <c r="BR1" s="110" t="s">
        <v>219</v>
      </c>
      <c r="BS1" s="110" t="s">
        <v>220</v>
      </c>
      <c r="BT1" s="110" t="s">
        <v>221</v>
      </c>
      <c r="BU1" s="110" t="s">
        <v>222</v>
      </c>
      <c r="BV1" s="110" t="s">
        <v>223</v>
      </c>
      <c r="BW1" s="110" t="s">
        <v>275</v>
      </c>
      <c r="BX1" s="110" t="s">
        <v>224</v>
      </c>
      <c r="BY1" s="110" t="s">
        <v>225</v>
      </c>
      <c r="BZ1" s="110" t="s">
        <v>226</v>
      </c>
      <c r="CA1" s="110" t="s">
        <v>227</v>
      </c>
      <c r="CB1" s="110" t="s">
        <v>228</v>
      </c>
      <c r="CC1" s="110" t="s">
        <v>229</v>
      </c>
      <c r="CD1" s="110" t="s">
        <v>230</v>
      </c>
      <c r="CE1" s="110" t="s">
        <v>231</v>
      </c>
      <c r="CF1" s="110" t="s">
        <v>232</v>
      </c>
      <c r="CG1" s="110" t="s">
        <v>233</v>
      </c>
      <c r="CH1" s="110" t="s">
        <v>234</v>
      </c>
      <c r="CI1" s="110" t="s">
        <v>235</v>
      </c>
      <c r="CJ1" s="110" t="s">
        <v>236</v>
      </c>
      <c r="CK1" s="110" t="s">
        <v>237</v>
      </c>
      <c r="CL1" s="110" t="s">
        <v>238</v>
      </c>
      <c r="CM1" s="110" t="s">
        <v>239</v>
      </c>
      <c r="CN1" s="110" t="s">
        <v>240</v>
      </c>
      <c r="CO1" s="110" t="s">
        <v>241</v>
      </c>
      <c r="CP1" s="110" t="s">
        <v>242</v>
      </c>
      <c r="CQ1" s="110" t="s">
        <v>243</v>
      </c>
      <c r="CR1" s="110" t="s">
        <v>244</v>
      </c>
      <c r="CS1" s="110" t="s">
        <v>245</v>
      </c>
      <c r="CT1" s="110" t="s">
        <v>246</v>
      </c>
      <c r="CU1" s="110" t="s">
        <v>247</v>
      </c>
      <c r="CV1" s="110" t="s">
        <v>248</v>
      </c>
      <c r="CW1" s="110" t="s">
        <v>249</v>
      </c>
      <c r="CX1" t="s">
        <v>250</v>
      </c>
    </row>
    <row r="2" spans="1:102" x14ac:dyDescent="0.25">
      <c r="A2" s="106">
        <v>1993</v>
      </c>
      <c r="B2" s="109">
        <v>31.4</v>
      </c>
      <c r="C2" s="109">
        <v>33.1</v>
      </c>
      <c r="D2" s="109">
        <v>35.700000000000003</v>
      </c>
      <c r="E2" s="109">
        <v>27.4</v>
      </c>
      <c r="F2" s="109">
        <v>34.700000000000003</v>
      </c>
      <c r="G2" s="109">
        <v>35.799999999999997</v>
      </c>
      <c r="H2" s="109">
        <v>34.299999999999997</v>
      </c>
      <c r="I2" s="109">
        <v>32.6</v>
      </c>
      <c r="J2" s="109">
        <v>32.9</v>
      </c>
      <c r="K2" s="109">
        <v>36.4</v>
      </c>
      <c r="L2" s="109">
        <v>30.4</v>
      </c>
      <c r="M2" s="109">
        <v>29.9</v>
      </c>
      <c r="N2" s="109">
        <v>28.9</v>
      </c>
      <c r="O2" s="109">
        <v>31.8</v>
      </c>
      <c r="P2" s="109">
        <v>31</v>
      </c>
      <c r="Q2" s="109">
        <v>38.700000000000003</v>
      </c>
      <c r="R2" s="109">
        <v>24.2</v>
      </c>
      <c r="S2" s="109">
        <v>37.4</v>
      </c>
      <c r="T2" s="109">
        <v>27.3</v>
      </c>
      <c r="U2" s="109">
        <v>21.7</v>
      </c>
      <c r="V2" s="109">
        <v>19.7</v>
      </c>
      <c r="W2" s="109">
        <v>35.9</v>
      </c>
      <c r="X2" s="109">
        <v>39.299999999999997</v>
      </c>
      <c r="Y2" s="109">
        <v>36.799999999999997</v>
      </c>
      <c r="Z2" s="109">
        <v>35.700000000000003</v>
      </c>
      <c r="AA2" s="109">
        <v>30.5</v>
      </c>
      <c r="AB2" s="109">
        <v>21.7</v>
      </c>
      <c r="AC2" s="109">
        <v>37.799999999999997</v>
      </c>
      <c r="AD2" s="109">
        <v>39</v>
      </c>
      <c r="AE2" s="109">
        <v>16.5</v>
      </c>
      <c r="AF2" s="109">
        <v>36.200000000000003</v>
      </c>
      <c r="AG2" s="109">
        <v>14.6</v>
      </c>
      <c r="AH2" s="109">
        <v>33.299999999999997</v>
      </c>
      <c r="AI2" s="109">
        <v>30.4</v>
      </c>
      <c r="AJ2" s="109">
        <v>26.1</v>
      </c>
      <c r="AK2" s="109">
        <v>34.200000000000003</v>
      </c>
      <c r="AL2" s="109">
        <v>32.299999999999997</v>
      </c>
      <c r="AM2" s="109">
        <v>35.700000000000003</v>
      </c>
      <c r="AN2" s="109">
        <v>32.200000000000003</v>
      </c>
      <c r="AO2" s="109">
        <v>26.9</v>
      </c>
      <c r="AP2" s="109">
        <v>25.1</v>
      </c>
      <c r="AQ2" s="109">
        <v>29.9</v>
      </c>
      <c r="AR2" s="109">
        <v>34.9</v>
      </c>
      <c r="AS2" s="109">
        <v>39.799999999999997</v>
      </c>
      <c r="AT2" s="109">
        <v>22.4</v>
      </c>
      <c r="AU2" s="109">
        <v>27</v>
      </c>
      <c r="AV2" s="109">
        <v>39.4</v>
      </c>
      <c r="AW2" s="109">
        <v>33.200000000000003</v>
      </c>
      <c r="AX2" s="109">
        <v>39.1</v>
      </c>
      <c r="AY2" s="109">
        <v>36</v>
      </c>
      <c r="AZ2" s="109">
        <v>34.9</v>
      </c>
      <c r="BA2" s="109">
        <v>32.299999999999997</v>
      </c>
      <c r="BB2" s="109">
        <v>36.6</v>
      </c>
      <c r="BC2" s="109">
        <v>37.4</v>
      </c>
      <c r="BD2" s="109">
        <v>21.9</v>
      </c>
      <c r="BE2" s="109">
        <v>36.5</v>
      </c>
      <c r="BF2" s="109">
        <v>33.200000000000003</v>
      </c>
      <c r="BG2" s="109">
        <v>36.299999999999997</v>
      </c>
      <c r="BH2" s="109">
        <v>24.1</v>
      </c>
      <c r="BI2" s="109">
        <v>26.5</v>
      </c>
      <c r="BJ2" s="109">
        <v>27.9</v>
      </c>
      <c r="BK2" s="109">
        <v>38.200000000000003</v>
      </c>
      <c r="BL2" s="109">
        <v>34.200000000000003</v>
      </c>
      <c r="BM2" s="109">
        <v>36</v>
      </c>
      <c r="BN2" s="109">
        <v>32.299999999999997</v>
      </c>
      <c r="BO2" s="109">
        <v>22.1</v>
      </c>
      <c r="BP2" s="109">
        <v>33.700000000000003</v>
      </c>
      <c r="BQ2" s="109">
        <v>28.4</v>
      </c>
      <c r="BR2" s="109">
        <v>31.5</v>
      </c>
      <c r="BS2" s="109">
        <v>36.700000000000003</v>
      </c>
      <c r="BT2" s="109">
        <v>23.2</v>
      </c>
      <c r="BU2" s="109">
        <v>18.8</v>
      </c>
      <c r="BV2" s="109"/>
      <c r="BW2" s="109"/>
      <c r="BX2" s="109">
        <v>31.3</v>
      </c>
      <c r="BY2" s="109">
        <v>18.899999999999999</v>
      </c>
      <c r="BZ2" s="109">
        <v>41.2</v>
      </c>
      <c r="CA2" s="109">
        <v>25.2</v>
      </c>
      <c r="CB2" s="109">
        <v>34.4</v>
      </c>
      <c r="CC2" s="109">
        <v>36.5</v>
      </c>
      <c r="CD2" s="109">
        <v>34</v>
      </c>
      <c r="CE2" s="109">
        <v>24.5</v>
      </c>
      <c r="CF2" s="109">
        <v>38.1</v>
      </c>
      <c r="CG2" s="109">
        <v>42.9</v>
      </c>
      <c r="CH2" s="109">
        <v>36.5</v>
      </c>
      <c r="CI2" s="109">
        <v>36.200000000000003</v>
      </c>
      <c r="CJ2" s="109">
        <v>32</v>
      </c>
      <c r="CK2" s="109">
        <v>35.4</v>
      </c>
      <c r="CL2" s="109">
        <v>29.1</v>
      </c>
      <c r="CM2" s="109">
        <v>26.6</v>
      </c>
      <c r="CN2" s="109">
        <v>32</v>
      </c>
      <c r="CO2" s="109">
        <v>35.700000000000003</v>
      </c>
      <c r="CP2" s="109">
        <v>26</v>
      </c>
      <c r="CQ2" s="109">
        <v>39.1</v>
      </c>
      <c r="CR2" s="109">
        <v>24.8</v>
      </c>
      <c r="CS2" s="109">
        <v>27</v>
      </c>
      <c r="CT2" s="109">
        <v>21.9</v>
      </c>
      <c r="CU2" s="109">
        <v>31</v>
      </c>
      <c r="CV2" s="109">
        <v>34.700000000000003</v>
      </c>
      <c r="CW2" s="109">
        <v>23.1</v>
      </c>
      <c r="CX2">
        <v>25.3</v>
      </c>
    </row>
    <row r="3" spans="1:102" x14ac:dyDescent="0.25">
      <c r="A3" s="106">
        <v>1994</v>
      </c>
      <c r="B3" s="109">
        <v>49.8</v>
      </c>
      <c r="C3" s="109">
        <v>48.5</v>
      </c>
      <c r="D3" s="109">
        <v>49</v>
      </c>
      <c r="E3" s="109">
        <v>40.799999999999997</v>
      </c>
      <c r="F3" s="109">
        <v>52.3</v>
      </c>
      <c r="G3" s="109">
        <v>51.5</v>
      </c>
      <c r="H3" s="109">
        <v>52.9</v>
      </c>
      <c r="I3" s="109">
        <v>52</v>
      </c>
      <c r="J3" s="109">
        <v>51.6</v>
      </c>
      <c r="K3" s="109">
        <v>51.8</v>
      </c>
      <c r="L3" s="109">
        <v>52</v>
      </c>
      <c r="M3" s="109">
        <v>49.1</v>
      </c>
      <c r="N3" s="109">
        <v>54.6</v>
      </c>
      <c r="O3" s="109">
        <v>52.3</v>
      </c>
      <c r="P3" s="109">
        <v>49.8</v>
      </c>
      <c r="Q3" s="109">
        <v>55.9</v>
      </c>
      <c r="R3" s="109">
        <v>47.5</v>
      </c>
      <c r="S3" s="109">
        <v>52</v>
      </c>
      <c r="T3" s="109">
        <v>49.2</v>
      </c>
      <c r="U3" s="109">
        <v>44.4</v>
      </c>
      <c r="V3" s="109">
        <v>49.4</v>
      </c>
      <c r="W3" s="109">
        <v>49.4</v>
      </c>
      <c r="X3" s="109">
        <v>54.2</v>
      </c>
      <c r="Y3" s="109">
        <v>52.5</v>
      </c>
      <c r="Z3" s="109">
        <v>52.2</v>
      </c>
      <c r="AA3" s="109">
        <v>41.9</v>
      </c>
      <c r="AB3" s="109">
        <v>46.4</v>
      </c>
      <c r="AC3" s="109">
        <v>52.9</v>
      </c>
      <c r="AD3" s="109">
        <v>50.7</v>
      </c>
      <c r="AE3" s="109">
        <v>47.5</v>
      </c>
      <c r="AF3" s="109">
        <v>49.4</v>
      </c>
      <c r="AG3" s="109">
        <v>47.4</v>
      </c>
      <c r="AH3" s="109">
        <v>49.5</v>
      </c>
      <c r="AI3" s="109">
        <v>47.2</v>
      </c>
      <c r="AJ3" s="109">
        <v>47.9</v>
      </c>
      <c r="AK3" s="109">
        <v>48.7</v>
      </c>
      <c r="AL3" s="109">
        <v>52.7</v>
      </c>
      <c r="AM3" s="109">
        <v>51.5</v>
      </c>
      <c r="AN3" s="109">
        <v>50.9</v>
      </c>
      <c r="AO3" s="109">
        <v>52.3</v>
      </c>
      <c r="AP3" s="109">
        <v>44.1</v>
      </c>
      <c r="AQ3" s="109">
        <v>52.9</v>
      </c>
      <c r="AR3" s="109">
        <v>51.1</v>
      </c>
      <c r="AS3" s="109">
        <v>54.3</v>
      </c>
      <c r="AT3" s="109">
        <v>46.4</v>
      </c>
      <c r="AU3" s="109">
        <v>49.6</v>
      </c>
      <c r="AV3" s="109">
        <v>53.4</v>
      </c>
      <c r="AW3" s="109">
        <v>52.2</v>
      </c>
      <c r="AX3" s="109">
        <v>47.9</v>
      </c>
      <c r="AY3" s="109">
        <v>54</v>
      </c>
      <c r="AZ3" s="109">
        <v>51.1</v>
      </c>
      <c r="BA3" s="109">
        <v>51.5</v>
      </c>
      <c r="BB3" s="109">
        <v>51.9</v>
      </c>
      <c r="BC3" s="109">
        <v>53</v>
      </c>
      <c r="BD3" s="109">
        <v>44.1</v>
      </c>
      <c r="BE3" s="109">
        <v>52</v>
      </c>
      <c r="BF3" s="109">
        <v>51</v>
      </c>
      <c r="BG3" s="109">
        <v>52.5</v>
      </c>
      <c r="BH3" s="109">
        <v>42.5</v>
      </c>
      <c r="BI3" s="109">
        <v>52.7</v>
      </c>
      <c r="BJ3" s="109">
        <v>52.9</v>
      </c>
      <c r="BK3" s="109">
        <v>55</v>
      </c>
      <c r="BL3" s="109">
        <v>52.4</v>
      </c>
      <c r="BM3" s="109">
        <v>55.7</v>
      </c>
      <c r="BN3" s="109">
        <v>48.8</v>
      </c>
      <c r="BO3" s="109">
        <v>44.6</v>
      </c>
      <c r="BP3" s="109">
        <v>50.1</v>
      </c>
      <c r="BQ3" s="109">
        <v>48.1</v>
      </c>
      <c r="BR3" s="109">
        <v>47.6</v>
      </c>
      <c r="BS3" s="109">
        <v>51.7</v>
      </c>
      <c r="BT3" s="109">
        <v>47.4</v>
      </c>
      <c r="BU3" s="109">
        <v>45.7</v>
      </c>
      <c r="BV3" s="109"/>
      <c r="BW3" s="109"/>
      <c r="BX3" s="109">
        <v>43.8</v>
      </c>
      <c r="BY3" s="109">
        <v>44.9</v>
      </c>
      <c r="BZ3" s="109">
        <v>53.8</v>
      </c>
      <c r="CA3" s="109">
        <v>50.1</v>
      </c>
      <c r="CB3" s="109">
        <v>54.4</v>
      </c>
      <c r="CC3" s="109">
        <v>52</v>
      </c>
      <c r="CD3" s="109">
        <v>53.6</v>
      </c>
      <c r="CE3" s="109">
        <v>47.8</v>
      </c>
      <c r="CF3" s="109">
        <v>55</v>
      </c>
      <c r="CG3" s="109">
        <v>56.8</v>
      </c>
      <c r="CH3" s="109">
        <v>52.3</v>
      </c>
      <c r="CI3" s="109">
        <v>55.7</v>
      </c>
      <c r="CJ3" s="109">
        <v>53.1</v>
      </c>
      <c r="CK3" s="109">
        <v>52.6</v>
      </c>
      <c r="CL3" s="109">
        <v>47.9</v>
      </c>
      <c r="CM3" s="109">
        <v>46.5</v>
      </c>
      <c r="CN3" s="109">
        <v>45.9</v>
      </c>
      <c r="CO3" s="109">
        <v>49.8</v>
      </c>
      <c r="CP3" s="109">
        <v>51.2</v>
      </c>
      <c r="CQ3" s="109">
        <v>56</v>
      </c>
      <c r="CR3" s="109">
        <v>42.4</v>
      </c>
      <c r="CS3" s="109">
        <v>51.8</v>
      </c>
      <c r="CT3" s="109">
        <v>43</v>
      </c>
      <c r="CU3" s="109">
        <v>48.9</v>
      </c>
      <c r="CV3" s="109">
        <v>49.8</v>
      </c>
      <c r="CW3" s="109">
        <v>43.1</v>
      </c>
      <c r="CX3">
        <v>47.6</v>
      </c>
    </row>
    <row r="4" spans="1:102" x14ac:dyDescent="0.25">
      <c r="A4" s="106">
        <v>1995</v>
      </c>
      <c r="B4" s="109">
        <v>30.7</v>
      </c>
      <c r="C4" s="109">
        <v>28.7</v>
      </c>
      <c r="D4" s="109">
        <v>43.7</v>
      </c>
      <c r="E4" s="109">
        <v>30.1</v>
      </c>
      <c r="F4" s="109">
        <v>45.5</v>
      </c>
      <c r="G4" s="109">
        <v>44.7</v>
      </c>
      <c r="H4" s="109">
        <v>50.6</v>
      </c>
      <c r="I4" s="109">
        <v>50.1</v>
      </c>
      <c r="J4" s="109">
        <v>50.9</v>
      </c>
      <c r="K4" s="109">
        <v>44.3</v>
      </c>
      <c r="L4" s="109">
        <v>49.1</v>
      </c>
      <c r="M4" s="109">
        <v>49.2</v>
      </c>
      <c r="N4" s="109">
        <v>48.2</v>
      </c>
      <c r="O4" s="109">
        <v>46.6</v>
      </c>
      <c r="P4" s="109">
        <v>36.6</v>
      </c>
      <c r="Q4" s="109">
        <v>46.7</v>
      </c>
      <c r="R4" s="109">
        <v>46.4</v>
      </c>
      <c r="S4" s="109">
        <v>48.5</v>
      </c>
      <c r="T4" s="109">
        <v>50.9</v>
      </c>
      <c r="U4" s="109">
        <v>24.8</v>
      </c>
      <c r="V4" s="109">
        <v>45.7</v>
      </c>
      <c r="W4" s="109">
        <v>51.2</v>
      </c>
      <c r="X4" s="109">
        <v>50.1</v>
      </c>
      <c r="Y4" s="109">
        <v>44.3</v>
      </c>
      <c r="Z4" s="109">
        <v>45.2</v>
      </c>
      <c r="AA4" s="109">
        <v>30.5</v>
      </c>
      <c r="AB4" s="109">
        <v>28.8</v>
      </c>
      <c r="AC4" s="109">
        <v>47.7</v>
      </c>
      <c r="AD4" s="109">
        <v>37.1</v>
      </c>
      <c r="AE4" s="109">
        <v>44.1</v>
      </c>
      <c r="AF4" s="109">
        <v>45.9</v>
      </c>
      <c r="AG4" s="109">
        <v>44.1</v>
      </c>
      <c r="AH4" s="109">
        <v>51.5</v>
      </c>
      <c r="AI4" s="109">
        <v>47.6</v>
      </c>
      <c r="AJ4" s="109">
        <v>47.5</v>
      </c>
      <c r="AK4" s="109">
        <v>34.9</v>
      </c>
      <c r="AL4" s="109">
        <v>48.3</v>
      </c>
      <c r="AM4" s="109">
        <v>53.5</v>
      </c>
      <c r="AN4" s="109">
        <v>41.7</v>
      </c>
      <c r="AO4" s="109">
        <v>49.2</v>
      </c>
      <c r="AP4" s="109">
        <v>45.4</v>
      </c>
      <c r="AQ4" s="109">
        <v>51.8</v>
      </c>
      <c r="AR4" s="109">
        <v>38.200000000000003</v>
      </c>
      <c r="AS4" s="109">
        <v>41.8</v>
      </c>
      <c r="AT4" s="109">
        <v>47</v>
      </c>
      <c r="AU4" s="109">
        <v>50.2</v>
      </c>
      <c r="AV4" s="109">
        <v>48.4</v>
      </c>
      <c r="AW4" s="109">
        <v>39.200000000000003</v>
      </c>
      <c r="AX4" s="109">
        <v>41.5</v>
      </c>
      <c r="AY4" s="109">
        <v>49.1</v>
      </c>
      <c r="AZ4" s="109">
        <v>37.799999999999997</v>
      </c>
      <c r="BA4" s="109">
        <v>39.9</v>
      </c>
      <c r="BB4" s="109">
        <v>44.6</v>
      </c>
      <c r="BC4" s="109">
        <v>41.3</v>
      </c>
      <c r="BD4" s="109">
        <v>45.1</v>
      </c>
      <c r="BE4" s="109">
        <v>38.9</v>
      </c>
      <c r="BF4" s="109">
        <v>40</v>
      </c>
      <c r="BG4" s="109">
        <v>38.9</v>
      </c>
      <c r="BH4" s="109">
        <v>29</v>
      </c>
      <c r="BI4" s="109">
        <v>44.5</v>
      </c>
      <c r="BJ4" s="109">
        <v>37.200000000000003</v>
      </c>
      <c r="BK4" s="109">
        <v>43.9</v>
      </c>
      <c r="BL4" s="109">
        <v>37.200000000000003</v>
      </c>
      <c r="BM4" s="109">
        <v>52.8</v>
      </c>
      <c r="BN4" s="109">
        <v>35</v>
      </c>
      <c r="BO4" s="109">
        <v>49.7</v>
      </c>
      <c r="BP4" s="109">
        <v>35.700000000000003</v>
      </c>
      <c r="BQ4" s="109">
        <v>30.5</v>
      </c>
      <c r="BR4" s="109">
        <v>29.1</v>
      </c>
      <c r="BS4" s="109">
        <v>43.2</v>
      </c>
      <c r="BT4" s="109">
        <v>47.1</v>
      </c>
      <c r="BU4" s="109">
        <v>44.8</v>
      </c>
      <c r="BV4" s="109"/>
      <c r="BW4" s="109"/>
      <c r="BX4" s="109">
        <v>28.8</v>
      </c>
      <c r="BY4" s="109">
        <v>44.6</v>
      </c>
      <c r="BZ4" s="109">
        <v>46.3</v>
      </c>
      <c r="CA4" s="109">
        <v>48.3</v>
      </c>
      <c r="CB4" s="109">
        <v>50.4</v>
      </c>
      <c r="CC4" s="109">
        <v>39.6</v>
      </c>
      <c r="CD4" s="109">
        <v>42.2</v>
      </c>
      <c r="CE4" s="109">
        <v>25.7</v>
      </c>
      <c r="CF4" s="109">
        <v>46.3</v>
      </c>
      <c r="CG4" s="109">
        <v>50.5</v>
      </c>
      <c r="CH4" s="109">
        <v>46.5</v>
      </c>
      <c r="CI4" s="109">
        <v>48.5</v>
      </c>
      <c r="CJ4" s="109">
        <v>50</v>
      </c>
      <c r="CK4" s="109">
        <v>47.6</v>
      </c>
      <c r="CL4" s="109">
        <v>24.5</v>
      </c>
      <c r="CM4" s="109">
        <v>23.8</v>
      </c>
      <c r="CN4" s="109">
        <v>34.4</v>
      </c>
      <c r="CO4" s="109">
        <v>39.5</v>
      </c>
      <c r="CP4" s="109">
        <v>36.1</v>
      </c>
      <c r="CQ4" s="109">
        <v>42.3</v>
      </c>
      <c r="CR4" s="109">
        <v>28.9</v>
      </c>
      <c r="CS4" s="109">
        <v>51.5</v>
      </c>
      <c r="CT4" s="109">
        <v>42.8</v>
      </c>
      <c r="CU4" s="109">
        <v>48</v>
      </c>
      <c r="CV4" s="109">
        <v>38.9</v>
      </c>
      <c r="CW4" s="109">
        <v>46.5</v>
      </c>
      <c r="CX4">
        <v>47.8</v>
      </c>
    </row>
    <row r="5" spans="1:102" x14ac:dyDescent="0.25">
      <c r="A5" s="106">
        <v>1996</v>
      </c>
      <c r="B5" s="109">
        <v>37.1</v>
      </c>
      <c r="C5" s="109">
        <v>40</v>
      </c>
      <c r="D5" s="109">
        <v>47.1</v>
      </c>
      <c r="E5" s="109">
        <v>36.6</v>
      </c>
      <c r="F5" s="109">
        <v>41.9</v>
      </c>
      <c r="G5" s="109">
        <v>46.4</v>
      </c>
      <c r="H5" s="109">
        <v>45.5</v>
      </c>
      <c r="I5" s="109">
        <v>46.3</v>
      </c>
      <c r="J5" s="109">
        <v>43.3</v>
      </c>
      <c r="K5" s="109">
        <v>45.6</v>
      </c>
      <c r="L5" s="109">
        <v>46.3</v>
      </c>
      <c r="M5" s="109">
        <v>46.5</v>
      </c>
      <c r="N5" s="109">
        <v>47.9</v>
      </c>
      <c r="O5" s="109">
        <v>43.1</v>
      </c>
      <c r="P5" s="109">
        <v>40.1</v>
      </c>
      <c r="Q5" s="109">
        <v>47.1</v>
      </c>
      <c r="R5" s="109">
        <v>40.299999999999997</v>
      </c>
      <c r="S5" s="109">
        <v>45.8</v>
      </c>
      <c r="T5" s="109">
        <v>39.799999999999997</v>
      </c>
      <c r="U5" s="109">
        <v>31.1</v>
      </c>
      <c r="V5" s="109">
        <v>44.5</v>
      </c>
      <c r="W5" s="109">
        <v>48</v>
      </c>
      <c r="X5" s="109">
        <v>48.3</v>
      </c>
      <c r="Y5" s="109">
        <v>43.5</v>
      </c>
      <c r="Z5" s="109">
        <v>46.6</v>
      </c>
      <c r="AA5" s="109">
        <v>40.200000000000003</v>
      </c>
      <c r="AB5" s="109">
        <v>37</v>
      </c>
      <c r="AC5" s="109">
        <v>49.7</v>
      </c>
      <c r="AD5" s="109">
        <v>43.3</v>
      </c>
      <c r="AE5" s="109">
        <v>45.8</v>
      </c>
      <c r="AF5" s="109">
        <v>51.3</v>
      </c>
      <c r="AG5" s="109">
        <v>42.2</v>
      </c>
      <c r="AH5" s="109">
        <v>45.7</v>
      </c>
      <c r="AI5" s="109">
        <v>42.6</v>
      </c>
      <c r="AJ5" s="109">
        <v>44.7</v>
      </c>
      <c r="AK5" s="109">
        <v>42.1</v>
      </c>
      <c r="AL5" s="109">
        <v>48.5</v>
      </c>
      <c r="AM5" s="109">
        <v>48.6</v>
      </c>
      <c r="AN5" s="109">
        <v>42.6</v>
      </c>
      <c r="AO5" s="109">
        <v>45.6</v>
      </c>
      <c r="AP5" s="109">
        <v>42.3</v>
      </c>
      <c r="AQ5" s="109">
        <v>45.9</v>
      </c>
      <c r="AR5" s="109">
        <v>44.6</v>
      </c>
      <c r="AS5" s="109">
        <v>45.3</v>
      </c>
      <c r="AT5" s="109">
        <v>38.9</v>
      </c>
      <c r="AU5" s="109">
        <v>46</v>
      </c>
      <c r="AV5" s="109">
        <v>46.1</v>
      </c>
      <c r="AW5" s="109">
        <v>42.5</v>
      </c>
      <c r="AX5" s="109">
        <v>43.1</v>
      </c>
      <c r="AY5" s="109">
        <v>44.7</v>
      </c>
      <c r="AZ5" s="109">
        <v>41.8</v>
      </c>
      <c r="BA5" s="109">
        <v>40.700000000000003</v>
      </c>
      <c r="BB5" s="109">
        <v>46.8</v>
      </c>
      <c r="BC5" s="109">
        <v>43</v>
      </c>
      <c r="BD5" s="109">
        <v>42.1</v>
      </c>
      <c r="BE5" s="109">
        <v>42.7</v>
      </c>
      <c r="BF5" s="109">
        <v>43.7</v>
      </c>
      <c r="BG5" s="109">
        <v>39.799999999999997</v>
      </c>
      <c r="BH5" s="109">
        <v>35.1</v>
      </c>
      <c r="BI5" s="109">
        <v>47.5</v>
      </c>
      <c r="BJ5" s="109">
        <v>37.5</v>
      </c>
      <c r="BK5" s="109">
        <v>41.1</v>
      </c>
      <c r="BL5" s="109">
        <v>38</v>
      </c>
      <c r="BM5" s="109">
        <v>49.3</v>
      </c>
      <c r="BN5" s="109">
        <v>40.9</v>
      </c>
      <c r="BO5" s="109">
        <v>44.4</v>
      </c>
      <c r="BP5" s="109">
        <v>41.3</v>
      </c>
      <c r="BQ5" s="109">
        <v>37</v>
      </c>
      <c r="BR5" s="109">
        <v>40.299999999999997</v>
      </c>
      <c r="BS5" s="109">
        <v>40.700000000000003</v>
      </c>
      <c r="BT5" s="109">
        <v>48.3</v>
      </c>
      <c r="BU5" s="109">
        <v>44</v>
      </c>
      <c r="BV5" s="109"/>
      <c r="BW5" s="109"/>
      <c r="BX5" s="109">
        <v>42.5</v>
      </c>
      <c r="BY5" s="109">
        <v>43.3</v>
      </c>
      <c r="BZ5" s="109">
        <v>45.5</v>
      </c>
      <c r="CA5" s="109">
        <v>46.4</v>
      </c>
      <c r="CB5" s="109">
        <v>45</v>
      </c>
      <c r="CC5" s="109">
        <v>43.4</v>
      </c>
      <c r="CD5" s="109">
        <v>44.1</v>
      </c>
      <c r="CE5" s="109">
        <v>33.9</v>
      </c>
      <c r="CF5" s="109">
        <v>44</v>
      </c>
      <c r="CG5" s="109">
        <v>49.8</v>
      </c>
      <c r="CH5" s="109">
        <v>45.4</v>
      </c>
      <c r="CI5" s="109">
        <v>50.2</v>
      </c>
      <c r="CJ5" s="109">
        <v>47.3</v>
      </c>
      <c r="CK5" s="109">
        <v>46.3</v>
      </c>
      <c r="CL5" s="109">
        <v>33.799999999999997</v>
      </c>
      <c r="CM5" s="109">
        <v>35.5</v>
      </c>
      <c r="CN5" s="109">
        <v>39.5</v>
      </c>
      <c r="CO5" s="109">
        <v>40.5</v>
      </c>
      <c r="CP5" s="109">
        <v>37.799999999999997</v>
      </c>
      <c r="CQ5" s="109">
        <v>43.8</v>
      </c>
      <c r="CR5" s="109">
        <v>36.1</v>
      </c>
      <c r="CS5" s="109">
        <v>47.1</v>
      </c>
      <c r="CT5" s="109">
        <v>39.299999999999997</v>
      </c>
      <c r="CU5" s="109">
        <v>42.3</v>
      </c>
      <c r="CV5" s="109">
        <v>41</v>
      </c>
      <c r="CW5" s="109">
        <v>42.2</v>
      </c>
      <c r="CX5">
        <v>44.4</v>
      </c>
    </row>
    <row r="6" spans="1:102" x14ac:dyDescent="0.25">
      <c r="A6" s="106">
        <v>1997</v>
      </c>
      <c r="B6" s="109">
        <v>40.1</v>
      </c>
      <c r="C6" s="109">
        <v>42.3</v>
      </c>
      <c r="D6" s="109">
        <v>45.7</v>
      </c>
      <c r="E6" s="109">
        <v>42.1</v>
      </c>
      <c r="F6" s="109">
        <v>45.1</v>
      </c>
      <c r="G6" s="109">
        <v>50.5</v>
      </c>
      <c r="H6" s="109">
        <v>48.2</v>
      </c>
      <c r="I6" s="109">
        <v>45</v>
      </c>
      <c r="J6" s="109">
        <v>48.6</v>
      </c>
      <c r="K6" s="109">
        <v>48.2</v>
      </c>
      <c r="L6" s="109">
        <v>48.4</v>
      </c>
      <c r="M6" s="109">
        <v>45.2</v>
      </c>
      <c r="N6" s="109">
        <v>45</v>
      </c>
      <c r="O6" s="109">
        <v>46.2</v>
      </c>
      <c r="P6" s="109">
        <v>40.200000000000003</v>
      </c>
      <c r="Q6" s="109">
        <v>51.7</v>
      </c>
      <c r="R6" s="109">
        <v>44.3</v>
      </c>
      <c r="S6" s="109">
        <v>49.2</v>
      </c>
      <c r="T6" s="109">
        <v>45.8</v>
      </c>
      <c r="U6" s="109">
        <v>42.3</v>
      </c>
      <c r="V6" s="109">
        <v>46.1</v>
      </c>
      <c r="W6" s="109">
        <v>48.4</v>
      </c>
      <c r="X6" s="109">
        <v>51.2</v>
      </c>
      <c r="Y6" s="109">
        <v>45.4</v>
      </c>
      <c r="Z6" s="109">
        <v>43.1</v>
      </c>
      <c r="AA6" s="109">
        <v>45.5</v>
      </c>
      <c r="AB6" s="109">
        <v>44.7</v>
      </c>
      <c r="AC6" s="109">
        <v>51.9</v>
      </c>
      <c r="AD6" s="109">
        <v>49.6</v>
      </c>
      <c r="AE6" s="109">
        <v>41</v>
      </c>
      <c r="AF6" s="109">
        <v>50.4</v>
      </c>
      <c r="AG6" s="109">
        <v>43.4</v>
      </c>
      <c r="AH6" s="109">
        <v>47.5</v>
      </c>
      <c r="AI6" s="109">
        <v>44.4</v>
      </c>
      <c r="AJ6" s="109">
        <v>41.8</v>
      </c>
      <c r="AK6" s="109">
        <v>43.4</v>
      </c>
      <c r="AL6" s="109">
        <v>45.9</v>
      </c>
      <c r="AM6" s="109">
        <v>50.4</v>
      </c>
      <c r="AN6" s="109">
        <v>40.799999999999997</v>
      </c>
      <c r="AO6" s="109">
        <v>45.2</v>
      </c>
      <c r="AP6" s="109">
        <v>42.7</v>
      </c>
      <c r="AQ6" s="109">
        <v>45.4</v>
      </c>
      <c r="AR6" s="109">
        <v>43.5</v>
      </c>
      <c r="AS6" s="109">
        <v>48.9</v>
      </c>
      <c r="AT6" s="109">
        <v>44.3</v>
      </c>
      <c r="AU6" s="109">
        <v>46.3</v>
      </c>
      <c r="AV6" s="109">
        <v>46.3</v>
      </c>
      <c r="AW6" s="109">
        <v>50.5</v>
      </c>
      <c r="AX6" s="109">
        <v>49.7</v>
      </c>
      <c r="AY6" s="109">
        <v>49.8</v>
      </c>
      <c r="AZ6" s="109">
        <v>45.7</v>
      </c>
      <c r="BA6" s="109">
        <v>48.5</v>
      </c>
      <c r="BB6" s="109">
        <v>50.9</v>
      </c>
      <c r="BC6" s="109">
        <v>50.6</v>
      </c>
      <c r="BD6" s="109">
        <v>43.8</v>
      </c>
      <c r="BE6" s="109">
        <v>49.2</v>
      </c>
      <c r="BF6" s="109">
        <v>47.9</v>
      </c>
      <c r="BG6" s="109">
        <v>46</v>
      </c>
      <c r="BH6" s="109">
        <v>44.8</v>
      </c>
      <c r="BI6" s="109">
        <v>46.1</v>
      </c>
      <c r="BJ6" s="109">
        <v>42.3</v>
      </c>
      <c r="BK6" s="109">
        <v>49.6</v>
      </c>
      <c r="BL6" s="109">
        <v>46</v>
      </c>
      <c r="BM6" s="109">
        <v>50.7</v>
      </c>
      <c r="BN6" s="109">
        <v>43.1</v>
      </c>
      <c r="BO6" s="109">
        <v>46.5</v>
      </c>
      <c r="BP6" s="109">
        <v>41.8</v>
      </c>
      <c r="BQ6" s="109">
        <v>45</v>
      </c>
      <c r="BR6" s="109">
        <v>44.8</v>
      </c>
      <c r="BS6" s="109">
        <v>46.9</v>
      </c>
      <c r="BT6" s="109">
        <v>48.1</v>
      </c>
      <c r="BU6" s="109">
        <v>43.1</v>
      </c>
      <c r="BV6" s="109"/>
      <c r="BW6" s="109"/>
      <c r="BX6" s="109">
        <v>45.3</v>
      </c>
      <c r="BY6" s="109">
        <v>44.8</v>
      </c>
      <c r="BZ6" s="109">
        <v>45.8</v>
      </c>
      <c r="CA6" s="109">
        <v>47</v>
      </c>
      <c r="CB6" s="109">
        <v>46.7</v>
      </c>
      <c r="CC6" s="109">
        <v>44.7</v>
      </c>
      <c r="CD6" s="109">
        <v>48.7</v>
      </c>
      <c r="CE6" s="109">
        <v>41.4</v>
      </c>
      <c r="CF6" s="109">
        <v>47.5</v>
      </c>
      <c r="CG6" s="109">
        <v>52.7</v>
      </c>
      <c r="CH6" s="109">
        <v>47.8</v>
      </c>
      <c r="CI6" s="109">
        <v>49</v>
      </c>
      <c r="CJ6" s="109">
        <v>46.4</v>
      </c>
      <c r="CK6" s="109">
        <v>48.6</v>
      </c>
      <c r="CL6" s="109">
        <v>40.1</v>
      </c>
      <c r="CM6" s="109">
        <v>42.1</v>
      </c>
      <c r="CN6" s="109">
        <v>47</v>
      </c>
      <c r="CO6" s="109">
        <v>46.9</v>
      </c>
      <c r="CP6" s="109">
        <v>44.5</v>
      </c>
      <c r="CQ6" s="109">
        <v>49.6</v>
      </c>
      <c r="CR6" s="109">
        <v>40.299999999999997</v>
      </c>
      <c r="CS6" s="109">
        <v>46</v>
      </c>
      <c r="CT6" s="109">
        <v>43.6</v>
      </c>
      <c r="CU6" s="109">
        <v>46</v>
      </c>
      <c r="CV6" s="109">
        <v>41</v>
      </c>
      <c r="CW6" s="109">
        <v>44.3</v>
      </c>
      <c r="CX6">
        <v>42.8</v>
      </c>
    </row>
    <row r="7" spans="1:102" x14ac:dyDescent="0.25">
      <c r="A7" s="106">
        <v>1998</v>
      </c>
      <c r="B7" s="109">
        <v>43.4</v>
      </c>
      <c r="C7" s="109">
        <v>43.7</v>
      </c>
      <c r="D7" s="109">
        <v>52.6</v>
      </c>
      <c r="E7" s="109">
        <v>40.5</v>
      </c>
      <c r="F7" s="109">
        <v>43.3</v>
      </c>
      <c r="G7" s="109">
        <v>53.7</v>
      </c>
      <c r="H7" s="109">
        <v>52.5</v>
      </c>
      <c r="I7" s="109">
        <v>47</v>
      </c>
      <c r="J7" s="109">
        <v>53.7</v>
      </c>
      <c r="K7" s="109">
        <v>53.1</v>
      </c>
      <c r="L7" s="109">
        <v>48.8</v>
      </c>
      <c r="M7" s="109">
        <v>51.7</v>
      </c>
      <c r="N7" s="109">
        <v>41</v>
      </c>
      <c r="O7" s="109">
        <v>46.7</v>
      </c>
      <c r="P7" s="109">
        <v>42.8</v>
      </c>
      <c r="Q7" s="109">
        <v>54.7</v>
      </c>
      <c r="R7" s="109">
        <v>49.1</v>
      </c>
      <c r="S7" s="109">
        <v>51</v>
      </c>
      <c r="T7" s="109">
        <v>48</v>
      </c>
      <c r="U7" s="109">
        <v>38.9</v>
      </c>
      <c r="V7" s="109">
        <v>50</v>
      </c>
      <c r="W7" s="109">
        <v>53.4</v>
      </c>
      <c r="X7" s="109">
        <v>53.7</v>
      </c>
      <c r="Y7" s="109">
        <v>47.2</v>
      </c>
      <c r="Z7" s="109">
        <v>48.7</v>
      </c>
      <c r="AA7" s="109">
        <v>46.6</v>
      </c>
      <c r="AB7" s="109">
        <v>39.700000000000003</v>
      </c>
      <c r="AC7" s="109">
        <v>53.7</v>
      </c>
      <c r="AD7" s="109">
        <v>47.8</v>
      </c>
      <c r="AE7" s="109">
        <v>50.3</v>
      </c>
      <c r="AF7" s="109">
        <v>53.6</v>
      </c>
      <c r="AG7" s="109">
        <v>48.1</v>
      </c>
      <c r="AH7" s="109">
        <v>53.7</v>
      </c>
      <c r="AI7" s="109">
        <v>52.2</v>
      </c>
      <c r="AJ7" s="109">
        <v>50.6</v>
      </c>
      <c r="AK7" s="109">
        <v>39.700000000000003</v>
      </c>
      <c r="AL7" s="109">
        <v>46.2</v>
      </c>
      <c r="AM7" s="109">
        <v>51.7</v>
      </c>
      <c r="AN7" s="109">
        <v>46.1</v>
      </c>
      <c r="AO7" s="109">
        <v>47.9</v>
      </c>
      <c r="AP7" s="109">
        <v>48.2</v>
      </c>
      <c r="AQ7" s="109">
        <v>48</v>
      </c>
      <c r="AR7" s="109">
        <v>40.200000000000003</v>
      </c>
      <c r="AS7" s="109">
        <v>52.1</v>
      </c>
      <c r="AT7" s="109">
        <v>47.1</v>
      </c>
      <c r="AU7" s="109">
        <v>46.7</v>
      </c>
      <c r="AV7" s="109">
        <v>48.7</v>
      </c>
      <c r="AW7" s="109">
        <v>54</v>
      </c>
      <c r="AX7" s="109">
        <v>54.1</v>
      </c>
      <c r="AY7" s="109">
        <v>49.7</v>
      </c>
      <c r="AZ7" s="109">
        <v>47</v>
      </c>
      <c r="BA7" s="109">
        <v>52.3</v>
      </c>
      <c r="BB7" s="109">
        <v>53.7</v>
      </c>
      <c r="BC7" s="109">
        <v>47.3</v>
      </c>
      <c r="BD7" s="109">
        <v>46.9</v>
      </c>
      <c r="BE7" s="109">
        <v>46.6</v>
      </c>
      <c r="BF7" s="109">
        <v>53.8</v>
      </c>
      <c r="BG7" s="109">
        <v>49.5</v>
      </c>
      <c r="BH7" s="109">
        <v>45.4</v>
      </c>
      <c r="BI7" s="109">
        <v>49.9</v>
      </c>
      <c r="BJ7" s="109">
        <v>46.8</v>
      </c>
      <c r="BK7" s="109">
        <v>51.8</v>
      </c>
      <c r="BL7" s="109">
        <v>46.1</v>
      </c>
      <c r="BM7" s="109">
        <v>51.7</v>
      </c>
      <c r="BN7" s="109">
        <v>41.2</v>
      </c>
      <c r="BO7" s="109">
        <v>50.8</v>
      </c>
      <c r="BP7" s="109">
        <v>43</v>
      </c>
      <c r="BQ7" s="109">
        <v>41.1</v>
      </c>
      <c r="BR7" s="109">
        <v>43.9</v>
      </c>
      <c r="BS7" s="109">
        <v>49.5</v>
      </c>
      <c r="BT7" s="109">
        <v>50.7</v>
      </c>
      <c r="BU7" s="109">
        <v>49.5</v>
      </c>
      <c r="BV7" s="109"/>
      <c r="BW7" s="109"/>
      <c r="BX7" s="109">
        <v>39.200000000000003</v>
      </c>
      <c r="BY7" s="109">
        <v>46.7</v>
      </c>
      <c r="BZ7" s="109">
        <v>48.8</v>
      </c>
      <c r="CA7" s="109">
        <v>46.7</v>
      </c>
      <c r="CB7" s="109">
        <v>45.8</v>
      </c>
      <c r="CC7" s="109">
        <v>44.1</v>
      </c>
      <c r="CD7" s="109">
        <v>49.7</v>
      </c>
      <c r="CE7" s="109">
        <v>39.700000000000003</v>
      </c>
      <c r="CF7" s="109">
        <v>45.2</v>
      </c>
      <c r="CG7" s="109">
        <v>55.7</v>
      </c>
      <c r="CH7" s="109">
        <v>46.9</v>
      </c>
      <c r="CI7" s="109">
        <v>51.7</v>
      </c>
      <c r="CJ7" s="109">
        <v>47.5</v>
      </c>
      <c r="CK7" s="109">
        <v>51.7</v>
      </c>
      <c r="CL7" s="109">
        <v>39.700000000000003</v>
      </c>
      <c r="CM7" s="109">
        <v>40.700000000000003</v>
      </c>
      <c r="CN7" s="109">
        <v>46.7</v>
      </c>
      <c r="CO7" s="109">
        <v>47</v>
      </c>
      <c r="CP7" s="109">
        <v>45.8</v>
      </c>
      <c r="CQ7" s="109">
        <v>50.8</v>
      </c>
      <c r="CR7" s="109">
        <v>39.9</v>
      </c>
      <c r="CS7" s="109">
        <v>45.7</v>
      </c>
      <c r="CT7" s="109">
        <v>47.2</v>
      </c>
      <c r="CU7" s="109">
        <v>44.7</v>
      </c>
      <c r="CV7" s="109">
        <v>44</v>
      </c>
      <c r="CW7" s="109">
        <v>49.1</v>
      </c>
      <c r="CX7">
        <v>46.5</v>
      </c>
    </row>
    <row r="8" spans="1:102" x14ac:dyDescent="0.25">
      <c r="A8" s="106">
        <v>1999</v>
      </c>
      <c r="B8" s="109">
        <v>42.2</v>
      </c>
      <c r="C8" s="109">
        <v>39.4</v>
      </c>
      <c r="D8" s="109">
        <v>47.3</v>
      </c>
      <c r="E8" s="109">
        <v>35.200000000000003</v>
      </c>
      <c r="F8" s="109">
        <v>39.4</v>
      </c>
      <c r="G8" s="109">
        <v>47.1</v>
      </c>
      <c r="H8" s="109">
        <v>50.7</v>
      </c>
      <c r="I8" s="109">
        <v>42.9</v>
      </c>
      <c r="J8" s="109">
        <v>52</v>
      </c>
      <c r="K8" s="109">
        <v>49.1</v>
      </c>
      <c r="L8" s="109">
        <v>46</v>
      </c>
      <c r="M8" s="109">
        <v>45</v>
      </c>
      <c r="N8" s="109">
        <v>43.5</v>
      </c>
      <c r="O8" s="109">
        <v>38.6</v>
      </c>
      <c r="P8" s="109">
        <v>41.5</v>
      </c>
      <c r="Q8" s="109">
        <v>51.1</v>
      </c>
      <c r="R8" s="109">
        <v>41.4</v>
      </c>
      <c r="S8" s="109">
        <v>46.5</v>
      </c>
      <c r="T8" s="109">
        <v>46.5</v>
      </c>
      <c r="U8" s="109">
        <v>37.9</v>
      </c>
      <c r="V8" s="109">
        <v>48.2</v>
      </c>
      <c r="W8" s="109">
        <v>49.6</v>
      </c>
      <c r="X8" s="109">
        <v>53.1</v>
      </c>
      <c r="Y8" s="109">
        <v>39</v>
      </c>
      <c r="Z8" s="109">
        <v>43.6</v>
      </c>
      <c r="AA8" s="109">
        <v>33.700000000000003</v>
      </c>
      <c r="AB8" s="109">
        <v>34.5</v>
      </c>
      <c r="AC8" s="109">
        <v>53.3</v>
      </c>
      <c r="AD8" s="109">
        <v>42.1</v>
      </c>
      <c r="AE8" s="109">
        <v>43.6</v>
      </c>
      <c r="AF8" s="109">
        <v>56</v>
      </c>
      <c r="AG8" s="109">
        <v>40.200000000000003</v>
      </c>
      <c r="AH8" s="109">
        <v>46.1</v>
      </c>
      <c r="AI8" s="109">
        <v>43.2</v>
      </c>
      <c r="AJ8" s="109">
        <v>43.7</v>
      </c>
      <c r="AK8" s="109">
        <v>42.3</v>
      </c>
      <c r="AL8" s="109">
        <v>43.8</v>
      </c>
      <c r="AM8" s="109">
        <v>52.2</v>
      </c>
      <c r="AN8" s="109">
        <v>42.6</v>
      </c>
      <c r="AO8" s="109">
        <v>45.3</v>
      </c>
      <c r="AP8" s="109">
        <v>42.9</v>
      </c>
      <c r="AQ8" s="109">
        <v>44.8</v>
      </c>
      <c r="AR8" s="109">
        <v>39.4</v>
      </c>
      <c r="AS8" s="109">
        <v>40.1</v>
      </c>
      <c r="AT8" s="109">
        <v>46.7</v>
      </c>
      <c r="AU8" s="109">
        <v>41.8</v>
      </c>
      <c r="AV8" s="109">
        <v>45.1</v>
      </c>
      <c r="AW8" s="109">
        <v>43.4</v>
      </c>
      <c r="AX8" s="109">
        <v>51.1</v>
      </c>
      <c r="AY8" s="109">
        <v>49.4</v>
      </c>
      <c r="AZ8" s="109">
        <v>32.5</v>
      </c>
      <c r="BA8" s="109">
        <v>43.3</v>
      </c>
      <c r="BB8" s="109">
        <v>53.5</v>
      </c>
      <c r="BC8" s="109">
        <v>39.5</v>
      </c>
      <c r="BD8" s="109">
        <v>41.9</v>
      </c>
      <c r="BE8" s="109">
        <v>37.799999999999997</v>
      </c>
      <c r="BF8" s="109">
        <v>48.1</v>
      </c>
      <c r="BG8" s="109">
        <v>44.5</v>
      </c>
      <c r="BH8" s="109">
        <v>37.6</v>
      </c>
      <c r="BI8" s="109">
        <v>48.9</v>
      </c>
      <c r="BJ8" s="109">
        <v>42.2</v>
      </c>
      <c r="BK8" s="109">
        <v>46.2</v>
      </c>
      <c r="BL8" s="109">
        <v>44.9</v>
      </c>
      <c r="BM8" s="109">
        <v>50.6</v>
      </c>
      <c r="BN8" s="109">
        <v>39.9</v>
      </c>
      <c r="BO8" s="109">
        <v>47.8</v>
      </c>
      <c r="BP8" s="109">
        <v>41.4</v>
      </c>
      <c r="BQ8" s="109">
        <v>35.200000000000003</v>
      </c>
      <c r="BR8" s="109">
        <v>40.200000000000003</v>
      </c>
      <c r="BS8" s="109">
        <v>46.9</v>
      </c>
      <c r="BT8" s="109">
        <v>52.3</v>
      </c>
      <c r="BU8" s="109">
        <v>49.4</v>
      </c>
      <c r="BV8" s="109"/>
      <c r="BW8" s="109"/>
      <c r="BX8" s="109">
        <v>41.3</v>
      </c>
      <c r="BY8" s="109">
        <v>44.8</v>
      </c>
      <c r="BZ8" s="109">
        <v>46.1</v>
      </c>
      <c r="CA8" s="109">
        <v>42.3</v>
      </c>
      <c r="CB8" s="109">
        <v>44.5</v>
      </c>
      <c r="CC8" s="109">
        <v>43.6</v>
      </c>
      <c r="CD8" s="109">
        <v>44.3</v>
      </c>
      <c r="CE8" s="109">
        <v>36.200000000000003</v>
      </c>
      <c r="CF8" s="109">
        <v>42.9</v>
      </c>
      <c r="CG8" s="109">
        <v>56.4</v>
      </c>
      <c r="CH8" s="109">
        <v>43.3</v>
      </c>
      <c r="CI8" s="109">
        <v>52.9</v>
      </c>
      <c r="CJ8" s="109">
        <v>44.8</v>
      </c>
      <c r="CK8" s="109">
        <v>50</v>
      </c>
      <c r="CL8" s="109">
        <v>35.200000000000003</v>
      </c>
      <c r="CM8" s="109">
        <v>40.700000000000003</v>
      </c>
      <c r="CN8" s="109">
        <v>31.4</v>
      </c>
      <c r="CO8" s="109">
        <v>37.299999999999997</v>
      </c>
      <c r="CP8" s="109">
        <v>41.1</v>
      </c>
      <c r="CQ8" s="109">
        <v>45.4</v>
      </c>
      <c r="CR8" s="109">
        <v>34.5</v>
      </c>
      <c r="CS8" s="109">
        <v>45.5</v>
      </c>
      <c r="CT8" s="109">
        <v>40.4</v>
      </c>
      <c r="CU8" s="109">
        <v>47.1</v>
      </c>
      <c r="CV8" s="109">
        <v>42.3</v>
      </c>
      <c r="CW8" s="109">
        <v>42.1</v>
      </c>
      <c r="CX8">
        <v>43</v>
      </c>
    </row>
    <row r="9" spans="1:102" x14ac:dyDescent="0.25">
      <c r="A9" s="106">
        <v>2000</v>
      </c>
      <c r="B9" s="109">
        <v>40</v>
      </c>
      <c r="C9" s="109">
        <v>41.7</v>
      </c>
      <c r="D9" s="109">
        <v>47.3</v>
      </c>
      <c r="E9" s="109">
        <v>41.5</v>
      </c>
      <c r="F9" s="109">
        <v>40</v>
      </c>
      <c r="G9" s="109">
        <v>43.7</v>
      </c>
      <c r="H9" s="109">
        <v>45.9</v>
      </c>
      <c r="I9" s="109">
        <v>40.200000000000003</v>
      </c>
      <c r="J9" s="109">
        <v>52.8</v>
      </c>
      <c r="K9" s="109">
        <v>45.6</v>
      </c>
      <c r="L9" s="109">
        <v>38.4</v>
      </c>
      <c r="M9" s="109">
        <v>46.5</v>
      </c>
      <c r="N9" s="109">
        <v>40.1</v>
      </c>
      <c r="O9" s="109">
        <v>39.1</v>
      </c>
      <c r="P9" s="109">
        <v>40.9</v>
      </c>
      <c r="Q9" s="109">
        <v>46.6</v>
      </c>
      <c r="R9" s="109">
        <v>46.9</v>
      </c>
      <c r="S9" s="109">
        <v>40.5</v>
      </c>
      <c r="T9" s="109">
        <v>50.4</v>
      </c>
      <c r="U9" s="109">
        <v>38.5</v>
      </c>
      <c r="V9" s="109">
        <v>49</v>
      </c>
      <c r="W9" s="109">
        <v>52</v>
      </c>
      <c r="X9" s="109">
        <v>45.9</v>
      </c>
      <c r="Y9" s="109">
        <v>38.1</v>
      </c>
      <c r="Z9" s="109">
        <v>44.3</v>
      </c>
      <c r="AA9" s="109">
        <v>41.7</v>
      </c>
      <c r="AB9" s="109">
        <v>40.200000000000003</v>
      </c>
      <c r="AC9" s="109">
        <v>54</v>
      </c>
      <c r="AD9" s="109">
        <v>41</v>
      </c>
      <c r="AE9" s="109">
        <v>45.5</v>
      </c>
      <c r="AF9" s="109">
        <v>53.3</v>
      </c>
      <c r="AG9" s="109">
        <v>43</v>
      </c>
      <c r="AH9" s="109">
        <v>50.3</v>
      </c>
      <c r="AI9" s="109">
        <v>47.4</v>
      </c>
      <c r="AJ9" s="109">
        <v>45</v>
      </c>
      <c r="AK9" s="109">
        <v>41.7</v>
      </c>
      <c r="AL9" s="109">
        <v>39.299999999999997</v>
      </c>
      <c r="AM9" s="109">
        <v>48.1</v>
      </c>
      <c r="AN9" s="109">
        <v>38.9</v>
      </c>
      <c r="AO9" s="109">
        <v>39.9</v>
      </c>
      <c r="AP9" s="109">
        <v>47.5</v>
      </c>
      <c r="AQ9" s="109">
        <v>43.8</v>
      </c>
      <c r="AR9" s="109">
        <v>40.200000000000003</v>
      </c>
      <c r="AS9" s="109">
        <v>40.799999999999997</v>
      </c>
      <c r="AT9" s="109">
        <v>48</v>
      </c>
      <c r="AU9" s="109">
        <v>45.9</v>
      </c>
      <c r="AV9" s="109">
        <v>35.200000000000003</v>
      </c>
      <c r="AW9" s="109">
        <v>44</v>
      </c>
      <c r="AX9" s="109">
        <v>46.5</v>
      </c>
      <c r="AY9" s="109">
        <v>46</v>
      </c>
      <c r="AZ9" s="109">
        <v>38.200000000000003</v>
      </c>
      <c r="BA9" s="109">
        <v>40.799999999999997</v>
      </c>
      <c r="BB9" s="109">
        <v>45.9</v>
      </c>
      <c r="BC9" s="109">
        <v>42.7</v>
      </c>
      <c r="BD9" s="109">
        <v>45.9</v>
      </c>
      <c r="BE9" s="109">
        <v>40.299999999999997</v>
      </c>
      <c r="BF9" s="109">
        <v>43.5</v>
      </c>
      <c r="BG9" s="109">
        <v>38.299999999999997</v>
      </c>
      <c r="BH9" s="109">
        <v>38.700000000000003</v>
      </c>
      <c r="BI9" s="109">
        <v>49.7</v>
      </c>
      <c r="BJ9" s="109">
        <v>40.799999999999997</v>
      </c>
      <c r="BK9" s="109">
        <v>44.2</v>
      </c>
      <c r="BL9" s="109">
        <v>45.5</v>
      </c>
      <c r="BM9" s="109">
        <v>45.8</v>
      </c>
      <c r="BN9" s="109">
        <v>40.299999999999997</v>
      </c>
      <c r="BO9" s="109">
        <v>48.3</v>
      </c>
      <c r="BP9" s="109">
        <v>37.6</v>
      </c>
      <c r="BQ9" s="109">
        <v>38.5</v>
      </c>
      <c r="BR9" s="109">
        <v>42.2</v>
      </c>
      <c r="BS9" s="109">
        <v>41.9</v>
      </c>
      <c r="BT9" s="109">
        <v>49.7</v>
      </c>
      <c r="BU9" s="109">
        <v>46.2</v>
      </c>
      <c r="BV9" s="109"/>
      <c r="BW9" s="109"/>
      <c r="BX9" s="109">
        <v>43.1</v>
      </c>
      <c r="BY9" s="109">
        <v>45.6</v>
      </c>
      <c r="BZ9" s="109">
        <v>38.4</v>
      </c>
      <c r="CA9" s="109">
        <v>43.1</v>
      </c>
      <c r="CB9" s="109">
        <v>41.9</v>
      </c>
      <c r="CC9" s="109">
        <v>43.3</v>
      </c>
      <c r="CD9" s="109">
        <v>44.9</v>
      </c>
      <c r="CE9" s="109">
        <v>39.200000000000003</v>
      </c>
      <c r="CF9" s="109">
        <v>33.700000000000003</v>
      </c>
      <c r="CG9" s="109">
        <v>49.3</v>
      </c>
      <c r="CH9" s="109">
        <v>38.5</v>
      </c>
      <c r="CI9" s="109">
        <v>48.9</v>
      </c>
      <c r="CJ9" s="109">
        <v>43.3</v>
      </c>
      <c r="CK9" s="109">
        <v>45.6</v>
      </c>
      <c r="CL9" s="109">
        <v>40.1</v>
      </c>
      <c r="CM9" s="109">
        <v>40.1</v>
      </c>
      <c r="CN9" s="109">
        <v>38.9</v>
      </c>
      <c r="CO9" s="109">
        <v>40.299999999999997</v>
      </c>
      <c r="CP9" s="109">
        <v>43</v>
      </c>
      <c r="CQ9" s="109">
        <v>40.700000000000003</v>
      </c>
      <c r="CR9" s="109">
        <v>39.200000000000003</v>
      </c>
      <c r="CS9" s="109">
        <v>46.1</v>
      </c>
      <c r="CT9" s="109">
        <v>46.9</v>
      </c>
      <c r="CU9" s="109">
        <v>51.1</v>
      </c>
      <c r="CV9" s="109">
        <v>35.700000000000003</v>
      </c>
      <c r="CW9" s="109">
        <v>47.4</v>
      </c>
      <c r="CX9">
        <v>42.8</v>
      </c>
    </row>
    <row r="10" spans="1:102" x14ac:dyDescent="0.25">
      <c r="A10" s="106">
        <v>2001</v>
      </c>
      <c r="B10" s="109">
        <v>39.200000000000003</v>
      </c>
      <c r="C10" s="109">
        <v>40.700000000000003</v>
      </c>
      <c r="D10" s="109">
        <v>41</v>
      </c>
      <c r="E10" s="109">
        <v>41.2</v>
      </c>
      <c r="F10" s="109">
        <v>39.9</v>
      </c>
      <c r="G10" s="109">
        <v>50.6</v>
      </c>
      <c r="H10" s="109">
        <v>46.1</v>
      </c>
      <c r="I10" s="109">
        <v>40.1</v>
      </c>
      <c r="J10" s="109">
        <v>44.6</v>
      </c>
      <c r="K10" s="109">
        <v>44.9</v>
      </c>
      <c r="L10" s="109">
        <v>46.5</v>
      </c>
      <c r="M10" s="109">
        <v>44.6</v>
      </c>
      <c r="N10" s="109">
        <v>43.7</v>
      </c>
      <c r="O10" s="109">
        <v>46.3</v>
      </c>
      <c r="P10" s="109">
        <v>43.7</v>
      </c>
      <c r="Q10" s="109">
        <v>50.5</v>
      </c>
      <c r="R10" s="109">
        <v>43.9</v>
      </c>
      <c r="S10" s="109">
        <v>47.9</v>
      </c>
      <c r="T10" s="109">
        <v>34.799999999999997</v>
      </c>
      <c r="U10" s="109">
        <v>37.700000000000003</v>
      </c>
      <c r="V10" s="109">
        <v>43.2</v>
      </c>
      <c r="W10" s="109">
        <v>46.5</v>
      </c>
      <c r="X10" s="109">
        <v>49.5</v>
      </c>
      <c r="Y10" s="109">
        <v>47.9</v>
      </c>
      <c r="Z10" s="109">
        <v>38.9</v>
      </c>
      <c r="AA10" s="109">
        <v>39</v>
      </c>
      <c r="AB10" s="109">
        <v>37.299999999999997</v>
      </c>
      <c r="AC10" s="109">
        <v>48.5</v>
      </c>
      <c r="AD10" s="109">
        <v>44</v>
      </c>
      <c r="AE10" s="109">
        <v>40.200000000000003</v>
      </c>
      <c r="AF10" s="109">
        <v>48.2</v>
      </c>
      <c r="AG10" s="109">
        <v>39.6</v>
      </c>
      <c r="AH10" s="109">
        <v>42</v>
      </c>
      <c r="AI10" s="109">
        <v>42.3</v>
      </c>
      <c r="AJ10" s="109">
        <v>43.3</v>
      </c>
      <c r="AK10" s="109">
        <v>47.8</v>
      </c>
      <c r="AL10" s="109">
        <v>42.1</v>
      </c>
      <c r="AM10" s="109">
        <v>48.1</v>
      </c>
      <c r="AN10" s="109">
        <v>38.200000000000003</v>
      </c>
      <c r="AO10" s="109">
        <v>42.2</v>
      </c>
      <c r="AP10" s="109">
        <v>42.1</v>
      </c>
      <c r="AQ10" s="109">
        <v>43.7</v>
      </c>
      <c r="AR10" s="109">
        <v>43.4</v>
      </c>
      <c r="AS10" s="109">
        <v>43.3</v>
      </c>
      <c r="AT10" s="109">
        <v>31.4</v>
      </c>
      <c r="AU10" s="109">
        <v>42.8</v>
      </c>
      <c r="AV10" s="109">
        <v>47.6</v>
      </c>
      <c r="AW10" s="109">
        <v>47.9</v>
      </c>
      <c r="AX10" s="109">
        <v>49.5</v>
      </c>
      <c r="AY10" s="109">
        <v>49.4</v>
      </c>
      <c r="AZ10" s="109">
        <v>40.5</v>
      </c>
      <c r="BA10" s="109">
        <v>46.9</v>
      </c>
      <c r="BB10" s="109">
        <v>50.4</v>
      </c>
      <c r="BC10" s="109">
        <v>42.6</v>
      </c>
      <c r="BD10" s="109">
        <v>40.6</v>
      </c>
      <c r="BE10" s="109">
        <v>44.3</v>
      </c>
      <c r="BF10" s="109">
        <v>47.1</v>
      </c>
      <c r="BG10" s="109">
        <v>42.5</v>
      </c>
      <c r="BH10" s="109">
        <v>35</v>
      </c>
      <c r="BI10" s="109">
        <v>46.7</v>
      </c>
      <c r="BJ10" s="109">
        <v>41.9</v>
      </c>
      <c r="BK10" s="109">
        <v>44.1</v>
      </c>
      <c r="BL10" s="109">
        <v>44.7</v>
      </c>
      <c r="BM10" s="109">
        <v>50</v>
      </c>
      <c r="BN10" s="109">
        <v>44.2</v>
      </c>
      <c r="BO10" s="109">
        <v>35.4</v>
      </c>
      <c r="BP10" s="109">
        <v>43.9</v>
      </c>
      <c r="BQ10" s="109">
        <v>40</v>
      </c>
      <c r="BR10" s="109">
        <v>44.2</v>
      </c>
      <c r="BS10" s="109">
        <v>45.8</v>
      </c>
      <c r="BT10" s="109">
        <v>49.5</v>
      </c>
      <c r="BU10" s="109">
        <v>42.4</v>
      </c>
      <c r="BV10" s="109"/>
      <c r="BW10" s="109"/>
      <c r="BX10" s="109">
        <v>45.6</v>
      </c>
      <c r="BY10" s="109">
        <v>40.6</v>
      </c>
      <c r="BZ10" s="109">
        <v>43.6</v>
      </c>
      <c r="CA10" s="109">
        <v>42.5</v>
      </c>
      <c r="CB10" s="109">
        <v>43.1</v>
      </c>
      <c r="CC10" s="109">
        <v>45.8</v>
      </c>
      <c r="CD10" s="109">
        <v>48.6</v>
      </c>
      <c r="CE10" s="109">
        <v>38.6</v>
      </c>
      <c r="CF10" s="109">
        <v>48</v>
      </c>
      <c r="CG10" s="109">
        <v>53.6</v>
      </c>
      <c r="CH10" s="109">
        <v>48</v>
      </c>
      <c r="CI10" s="109">
        <v>50.5</v>
      </c>
      <c r="CJ10" s="109">
        <v>42.9</v>
      </c>
      <c r="CK10" s="109">
        <v>50.1</v>
      </c>
      <c r="CL10" s="109">
        <v>40.200000000000003</v>
      </c>
      <c r="CM10" s="109">
        <v>41.5</v>
      </c>
      <c r="CN10" s="109">
        <v>38.5</v>
      </c>
      <c r="CO10" s="109">
        <v>40.200000000000003</v>
      </c>
      <c r="CP10" s="109">
        <v>44.5</v>
      </c>
      <c r="CQ10" s="109">
        <v>45.3</v>
      </c>
      <c r="CR10" s="109">
        <v>40</v>
      </c>
      <c r="CS10" s="109">
        <v>43.4</v>
      </c>
      <c r="CT10" s="109">
        <v>37.200000000000003</v>
      </c>
      <c r="CU10" s="109">
        <v>34.5</v>
      </c>
      <c r="CV10" s="109">
        <v>41.1</v>
      </c>
      <c r="CW10" s="109">
        <v>38</v>
      </c>
      <c r="CX10">
        <v>39.700000000000003</v>
      </c>
    </row>
    <row r="11" spans="1:102" x14ac:dyDescent="0.25">
      <c r="A11" s="106">
        <v>2002</v>
      </c>
      <c r="B11" s="109">
        <v>47.2</v>
      </c>
      <c r="C11" s="109">
        <v>43.5</v>
      </c>
      <c r="D11" s="109">
        <v>51</v>
      </c>
      <c r="E11" s="109">
        <v>40.200000000000003</v>
      </c>
      <c r="F11" s="109">
        <v>47.7</v>
      </c>
      <c r="G11" s="109">
        <v>50.4</v>
      </c>
      <c r="H11" s="109">
        <v>51.4</v>
      </c>
      <c r="I11" s="109">
        <v>47.7</v>
      </c>
      <c r="J11" s="109">
        <v>52.5</v>
      </c>
      <c r="K11" s="109">
        <v>49.3</v>
      </c>
      <c r="L11" s="109">
        <v>51.5</v>
      </c>
      <c r="M11" s="109">
        <v>49.4</v>
      </c>
      <c r="N11" s="109">
        <v>51.2</v>
      </c>
      <c r="O11" s="109">
        <v>52.1</v>
      </c>
      <c r="P11" s="109">
        <v>41.5</v>
      </c>
      <c r="Q11" s="109">
        <v>50.6</v>
      </c>
      <c r="R11" s="109">
        <v>45</v>
      </c>
      <c r="S11" s="109">
        <v>56.9</v>
      </c>
      <c r="T11" s="109">
        <v>49.7</v>
      </c>
      <c r="U11" s="109">
        <v>38</v>
      </c>
      <c r="V11" s="109">
        <v>42.3</v>
      </c>
      <c r="W11" s="109">
        <v>54.9</v>
      </c>
      <c r="X11" s="109">
        <v>50.4</v>
      </c>
      <c r="Y11" s="109">
        <v>50.5</v>
      </c>
      <c r="Z11" s="109">
        <v>43.6</v>
      </c>
      <c r="AA11" s="109">
        <v>39.299999999999997</v>
      </c>
      <c r="AB11" s="109">
        <v>40.6</v>
      </c>
      <c r="AC11" s="109">
        <v>53.6</v>
      </c>
      <c r="AD11" s="109">
        <v>47.2</v>
      </c>
      <c r="AE11" s="109">
        <v>45.9</v>
      </c>
      <c r="AF11" s="109">
        <v>51.8</v>
      </c>
      <c r="AG11" s="109">
        <v>45.5</v>
      </c>
      <c r="AH11" s="109">
        <v>50.9</v>
      </c>
      <c r="AI11" s="109">
        <v>47.8</v>
      </c>
      <c r="AJ11" s="109">
        <v>47.5</v>
      </c>
      <c r="AK11" s="109">
        <v>37.700000000000003</v>
      </c>
      <c r="AL11" s="109">
        <v>48.5</v>
      </c>
      <c r="AM11" s="109">
        <v>53.7</v>
      </c>
      <c r="AN11" s="109">
        <v>46.1</v>
      </c>
      <c r="AO11" s="109">
        <v>49.4</v>
      </c>
      <c r="AP11" s="109">
        <v>49.5</v>
      </c>
      <c r="AQ11" s="109">
        <v>50</v>
      </c>
      <c r="AR11" s="109">
        <v>44.3</v>
      </c>
      <c r="AS11" s="109">
        <v>47.4</v>
      </c>
      <c r="AT11" s="109">
        <v>49.2</v>
      </c>
      <c r="AU11" s="109">
        <v>47.4</v>
      </c>
      <c r="AV11" s="109">
        <v>53</v>
      </c>
      <c r="AW11" s="109">
        <v>50.5</v>
      </c>
      <c r="AX11" s="109">
        <v>48.9</v>
      </c>
      <c r="AY11" s="109">
        <v>53.5</v>
      </c>
      <c r="AZ11" s="109">
        <v>36.9</v>
      </c>
      <c r="BA11" s="109">
        <v>49.2</v>
      </c>
      <c r="BB11" s="109">
        <v>49.8</v>
      </c>
      <c r="BC11" s="109">
        <v>44.5</v>
      </c>
      <c r="BD11" s="109">
        <v>48.1</v>
      </c>
      <c r="BE11" s="109">
        <v>41.5</v>
      </c>
      <c r="BF11" s="109">
        <v>47.5</v>
      </c>
      <c r="BG11" s="109">
        <v>47.2</v>
      </c>
      <c r="BH11" s="109">
        <v>39.9</v>
      </c>
      <c r="BI11" s="109">
        <v>48.1</v>
      </c>
      <c r="BJ11" s="109">
        <v>47.5</v>
      </c>
      <c r="BK11" s="109">
        <v>48</v>
      </c>
      <c r="BL11" s="109">
        <v>47.2</v>
      </c>
      <c r="BM11" s="109">
        <v>53.9</v>
      </c>
      <c r="BN11" s="109">
        <v>38.5</v>
      </c>
      <c r="BO11" s="109">
        <v>49.6</v>
      </c>
      <c r="BP11" s="109">
        <v>42.3</v>
      </c>
      <c r="BQ11" s="109">
        <v>40.700000000000003</v>
      </c>
      <c r="BR11" s="109">
        <v>45.6</v>
      </c>
      <c r="BS11" s="109">
        <v>49.3</v>
      </c>
      <c r="BT11" s="109">
        <v>48.4</v>
      </c>
      <c r="BU11" s="109">
        <v>51.4</v>
      </c>
      <c r="BV11" s="109"/>
      <c r="BW11" s="109"/>
      <c r="BX11" s="109">
        <v>36.799999999999997</v>
      </c>
      <c r="BY11" s="109">
        <v>43.1</v>
      </c>
      <c r="BZ11" s="109">
        <v>48.1</v>
      </c>
      <c r="CA11" s="109">
        <v>48.9</v>
      </c>
      <c r="CB11" s="109">
        <v>47.1</v>
      </c>
      <c r="CC11" s="109">
        <v>44.8</v>
      </c>
      <c r="CD11" s="109">
        <v>51.7</v>
      </c>
      <c r="CE11" s="109">
        <v>42.2</v>
      </c>
      <c r="CF11" s="109">
        <v>52.9</v>
      </c>
      <c r="CG11" s="109">
        <v>54</v>
      </c>
      <c r="CH11" s="109">
        <v>47.8</v>
      </c>
      <c r="CI11" s="109">
        <v>52.6</v>
      </c>
      <c r="CJ11" s="109">
        <v>46.4</v>
      </c>
      <c r="CK11" s="109">
        <v>53.1</v>
      </c>
      <c r="CL11" s="109">
        <v>41.1</v>
      </c>
      <c r="CM11" s="109">
        <v>45.1</v>
      </c>
      <c r="CN11" s="109">
        <v>35.799999999999997</v>
      </c>
      <c r="CO11" s="109">
        <v>38.4</v>
      </c>
      <c r="CP11" s="109">
        <v>46.4</v>
      </c>
      <c r="CQ11" s="109">
        <v>48.5</v>
      </c>
      <c r="CR11" s="109">
        <v>39.200000000000003</v>
      </c>
      <c r="CS11" s="109">
        <v>50</v>
      </c>
      <c r="CT11" s="109">
        <v>47.7</v>
      </c>
      <c r="CU11" s="109">
        <v>52.1</v>
      </c>
      <c r="CV11" s="109">
        <v>46.9</v>
      </c>
      <c r="CW11" s="109">
        <v>50.9</v>
      </c>
      <c r="CX11">
        <v>47.1</v>
      </c>
    </row>
    <row r="12" spans="1:102" x14ac:dyDescent="0.25">
      <c r="A12" s="106">
        <v>2003</v>
      </c>
      <c r="B12" s="109">
        <v>28.1</v>
      </c>
      <c r="C12" s="109">
        <v>27.5</v>
      </c>
      <c r="D12" s="109">
        <v>31.7</v>
      </c>
      <c r="E12" s="109">
        <v>31.2</v>
      </c>
      <c r="F12" s="109">
        <v>30.8</v>
      </c>
      <c r="G12" s="109">
        <v>29.6</v>
      </c>
      <c r="H12" s="109">
        <v>24.7</v>
      </c>
      <c r="I12" s="109">
        <v>34.799999999999997</v>
      </c>
      <c r="J12" s="109">
        <v>23.7</v>
      </c>
      <c r="K12" s="109">
        <v>25.9</v>
      </c>
      <c r="L12" s="109">
        <v>31.7</v>
      </c>
      <c r="M12" s="109">
        <v>24.4</v>
      </c>
      <c r="N12" s="109">
        <v>33.1</v>
      </c>
      <c r="O12" s="109">
        <v>35.799999999999997</v>
      </c>
      <c r="P12" s="109">
        <v>29.5</v>
      </c>
      <c r="Q12" s="109">
        <v>36.200000000000003</v>
      </c>
      <c r="R12" s="109">
        <v>29.1</v>
      </c>
      <c r="S12" s="109">
        <v>40.1</v>
      </c>
      <c r="T12" s="109">
        <v>23.1</v>
      </c>
      <c r="U12" s="109">
        <v>26.1</v>
      </c>
      <c r="V12" s="109">
        <v>34.200000000000003</v>
      </c>
      <c r="W12" s="109">
        <v>37.299999999999997</v>
      </c>
      <c r="X12" s="109">
        <v>32.299999999999997</v>
      </c>
      <c r="Y12" s="109">
        <v>32.700000000000003</v>
      </c>
      <c r="Z12" s="109">
        <v>32.1</v>
      </c>
      <c r="AA12" s="109">
        <v>32.799999999999997</v>
      </c>
      <c r="AB12" s="109">
        <v>26.2</v>
      </c>
      <c r="AC12" s="109">
        <v>29.7</v>
      </c>
      <c r="AD12" s="109">
        <v>36.200000000000003</v>
      </c>
      <c r="AE12" s="109">
        <v>34.9</v>
      </c>
      <c r="AF12" s="109">
        <v>34</v>
      </c>
      <c r="AG12" s="109">
        <v>35.200000000000003</v>
      </c>
      <c r="AH12" s="109">
        <v>25.2</v>
      </c>
      <c r="AI12" s="109">
        <v>26.2</v>
      </c>
      <c r="AJ12" s="109">
        <v>31.7</v>
      </c>
      <c r="AK12" s="109">
        <v>34.700000000000003</v>
      </c>
      <c r="AL12" s="109">
        <v>36.9</v>
      </c>
      <c r="AM12" s="109">
        <v>36.700000000000003</v>
      </c>
      <c r="AN12" s="109">
        <v>27.2</v>
      </c>
      <c r="AO12" s="109">
        <v>34.4</v>
      </c>
      <c r="AP12" s="109">
        <v>34</v>
      </c>
      <c r="AQ12" s="109">
        <v>33.799999999999997</v>
      </c>
      <c r="AR12" s="109">
        <v>33.6</v>
      </c>
      <c r="AS12" s="109">
        <v>35.700000000000003</v>
      </c>
      <c r="AT12" s="109">
        <v>26.4</v>
      </c>
      <c r="AU12" s="109">
        <v>33.799999999999997</v>
      </c>
      <c r="AV12" s="109">
        <v>36.5</v>
      </c>
      <c r="AW12" s="109">
        <v>31.1</v>
      </c>
      <c r="AX12" s="109">
        <v>33</v>
      </c>
      <c r="AY12" s="109">
        <v>32.200000000000003</v>
      </c>
      <c r="AZ12" s="109">
        <v>32.1</v>
      </c>
      <c r="BA12" s="109">
        <v>31.7</v>
      </c>
      <c r="BB12" s="109">
        <v>32.200000000000003</v>
      </c>
      <c r="BC12" s="109">
        <v>31.5</v>
      </c>
      <c r="BD12" s="109">
        <v>33.700000000000003</v>
      </c>
      <c r="BE12" s="109">
        <v>36.4</v>
      </c>
      <c r="BF12" s="109">
        <v>28.9</v>
      </c>
      <c r="BG12" s="109">
        <v>29.6</v>
      </c>
      <c r="BH12" s="109">
        <v>28.9</v>
      </c>
      <c r="BI12" s="109">
        <v>37.9</v>
      </c>
      <c r="BJ12" s="109">
        <v>27.8</v>
      </c>
      <c r="BK12" s="109">
        <v>37.799999999999997</v>
      </c>
      <c r="BL12" s="109">
        <v>29.6</v>
      </c>
      <c r="BM12" s="109">
        <v>32.299999999999997</v>
      </c>
      <c r="BN12" s="109">
        <v>29.2</v>
      </c>
      <c r="BO12" s="109">
        <v>31.2</v>
      </c>
      <c r="BP12" s="109">
        <v>35.700000000000003</v>
      </c>
      <c r="BQ12" s="109">
        <v>24</v>
      </c>
      <c r="BR12" s="109">
        <v>30.3</v>
      </c>
      <c r="BS12" s="109">
        <v>35.200000000000003</v>
      </c>
      <c r="BT12" s="109">
        <v>40.6</v>
      </c>
      <c r="BU12" s="109">
        <v>34.200000000000003</v>
      </c>
      <c r="BV12" s="109"/>
      <c r="BW12" s="109"/>
      <c r="BX12" s="109">
        <v>30.1</v>
      </c>
      <c r="BY12" s="109">
        <v>33.4</v>
      </c>
      <c r="BZ12" s="109">
        <v>37.799999999999997</v>
      </c>
      <c r="CA12" s="109">
        <v>34</v>
      </c>
      <c r="CB12" s="109">
        <v>32.5</v>
      </c>
      <c r="CC12" s="109">
        <v>29.7</v>
      </c>
      <c r="CD12" s="109">
        <v>31.6</v>
      </c>
      <c r="CE12" s="109">
        <v>26.7</v>
      </c>
      <c r="CF12" s="109">
        <v>31.4</v>
      </c>
      <c r="CG12" s="109">
        <v>37.700000000000003</v>
      </c>
      <c r="CH12" s="109">
        <v>32.5</v>
      </c>
      <c r="CI12" s="109">
        <v>42</v>
      </c>
      <c r="CJ12" s="109">
        <v>32.1</v>
      </c>
      <c r="CK12" s="109">
        <v>31.2</v>
      </c>
      <c r="CL12" s="109">
        <v>28.7</v>
      </c>
      <c r="CM12" s="109">
        <v>25.7</v>
      </c>
      <c r="CN12" s="109">
        <v>34.200000000000003</v>
      </c>
      <c r="CO12" s="109">
        <v>30</v>
      </c>
      <c r="CP12" s="109">
        <v>27.4</v>
      </c>
      <c r="CQ12" s="109">
        <v>33.1</v>
      </c>
      <c r="CR12" s="109">
        <v>26.8</v>
      </c>
      <c r="CS12" s="109">
        <v>35.4</v>
      </c>
      <c r="CT12" s="109">
        <v>35.5</v>
      </c>
      <c r="CU12" s="109">
        <v>31.9</v>
      </c>
      <c r="CV12" s="109">
        <v>35.6</v>
      </c>
      <c r="CW12" s="109">
        <v>33</v>
      </c>
      <c r="CX12">
        <v>34</v>
      </c>
    </row>
    <row r="13" spans="1:102" x14ac:dyDescent="0.25">
      <c r="A13" s="106">
        <v>2004</v>
      </c>
      <c r="B13" s="109">
        <v>51.7</v>
      </c>
      <c r="C13" s="109">
        <v>50.7</v>
      </c>
      <c r="D13" s="109">
        <v>42.6</v>
      </c>
      <c r="E13" s="109">
        <v>52.4</v>
      </c>
      <c r="F13" s="109">
        <v>51.7</v>
      </c>
      <c r="G13" s="109">
        <v>50.1</v>
      </c>
      <c r="H13" s="109">
        <v>50.6</v>
      </c>
      <c r="I13" s="109">
        <v>52</v>
      </c>
      <c r="J13" s="109">
        <v>49.7</v>
      </c>
      <c r="K13" s="109">
        <v>45.2</v>
      </c>
      <c r="L13" s="109">
        <v>49.4</v>
      </c>
      <c r="M13" s="109">
        <v>49.8</v>
      </c>
      <c r="N13" s="109">
        <v>46</v>
      </c>
      <c r="O13" s="109">
        <v>51.3</v>
      </c>
      <c r="P13" s="109">
        <v>52.8</v>
      </c>
      <c r="Q13" s="109">
        <v>49.8</v>
      </c>
      <c r="R13" s="109">
        <v>44.2</v>
      </c>
      <c r="S13" s="109">
        <v>54.1</v>
      </c>
      <c r="T13" s="109">
        <v>44.8</v>
      </c>
      <c r="U13" s="109">
        <v>45.2</v>
      </c>
      <c r="V13" s="109">
        <v>47.3</v>
      </c>
      <c r="W13" s="109">
        <v>49.2</v>
      </c>
      <c r="X13" s="109">
        <v>49.5</v>
      </c>
      <c r="Y13" s="109">
        <v>49.1</v>
      </c>
      <c r="Z13" s="109">
        <v>53.2</v>
      </c>
      <c r="AA13" s="109">
        <v>52.7</v>
      </c>
      <c r="AB13" s="109">
        <v>49.8</v>
      </c>
      <c r="AC13" s="109">
        <v>49.1</v>
      </c>
      <c r="AD13" s="109">
        <v>55.6</v>
      </c>
      <c r="AE13" s="109">
        <v>44.4</v>
      </c>
      <c r="AF13" s="109">
        <v>49.9</v>
      </c>
      <c r="AG13" s="109">
        <v>43.9</v>
      </c>
      <c r="AH13" s="109">
        <v>47.3</v>
      </c>
      <c r="AI13" s="109">
        <v>45.4</v>
      </c>
      <c r="AJ13" s="109">
        <v>47.5</v>
      </c>
      <c r="AK13" s="109">
        <v>51.1</v>
      </c>
      <c r="AL13" s="109">
        <v>49</v>
      </c>
      <c r="AM13" s="109">
        <v>54.2</v>
      </c>
      <c r="AN13" s="109">
        <v>47.4</v>
      </c>
      <c r="AO13" s="109">
        <v>49.6</v>
      </c>
      <c r="AP13" s="109">
        <v>43.4</v>
      </c>
      <c r="AQ13" s="109">
        <v>50.4</v>
      </c>
      <c r="AR13" s="109">
        <v>46</v>
      </c>
      <c r="AS13" s="109">
        <v>54.1</v>
      </c>
      <c r="AT13" s="109">
        <v>40.4</v>
      </c>
      <c r="AU13" s="109">
        <v>47.4</v>
      </c>
      <c r="AV13" s="109">
        <v>49.6</v>
      </c>
      <c r="AW13" s="109">
        <v>51.8</v>
      </c>
      <c r="AX13" s="109">
        <v>50.8</v>
      </c>
      <c r="AY13" s="109">
        <v>54.5</v>
      </c>
      <c r="AZ13" s="109">
        <v>53.6</v>
      </c>
      <c r="BA13" s="109">
        <v>48.6</v>
      </c>
      <c r="BB13" s="109">
        <v>46.8</v>
      </c>
      <c r="BC13" s="109">
        <v>53.2</v>
      </c>
      <c r="BD13" s="109">
        <v>43</v>
      </c>
      <c r="BE13" s="109">
        <v>54.7</v>
      </c>
      <c r="BF13" s="109">
        <v>47.7</v>
      </c>
      <c r="BG13" s="109">
        <v>49.5</v>
      </c>
      <c r="BH13" s="109">
        <v>47.9</v>
      </c>
      <c r="BI13" s="109">
        <v>50.5</v>
      </c>
      <c r="BJ13" s="109">
        <v>49.5</v>
      </c>
      <c r="BK13" s="109">
        <v>54</v>
      </c>
      <c r="BL13" s="109">
        <v>49.5</v>
      </c>
      <c r="BM13" s="109">
        <v>51.9</v>
      </c>
      <c r="BN13" s="109">
        <v>49.6</v>
      </c>
      <c r="BO13" s="109">
        <v>43.8</v>
      </c>
      <c r="BP13" s="109">
        <v>42.9</v>
      </c>
      <c r="BQ13" s="109">
        <v>48.3</v>
      </c>
      <c r="BR13" s="109">
        <v>51.5</v>
      </c>
      <c r="BS13" s="109">
        <v>51.9</v>
      </c>
      <c r="BT13" s="109">
        <v>48.6</v>
      </c>
      <c r="BU13" s="109">
        <v>49.3</v>
      </c>
      <c r="BV13" s="109"/>
      <c r="BW13" s="109"/>
      <c r="BX13" s="109">
        <v>50.3</v>
      </c>
      <c r="BY13" s="109">
        <v>44.3</v>
      </c>
      <c r="BZ13" s="109">
        <v>48.6</v>
      </c>
      <c r="CA13" s="109">
        <v>45.9</v>
      </c>
      <c r="CB13" s="109">
        <v>49.9</v>
      </c>
      <c r="CC13" s="109">
        <v>51.4</v>
      </c>
      <c r="CD13" s="109">
        <v>53.4</v>
      </c>
      <c r="CE13" s="109">
        <v>47</v>
      </c>
      <c r="CF13" s="109">
        <v>48.4</v>
      </c>
      <c r="CG13" s="109">
        <v>52.2</v>
      </c>
      <c r="CH13" s="109">
        <v>49.4</v>
      </c>
      <c r="CI13" s="109">
        <v>53.6</v>
      </c>
      <c r="CJ13" s="109">
        <v>50</v>
      </c>
      <c r="CK13" s="109">
        <v>53</v>
      </c>
      <c r="CL13" s="109">
        <v>47.9</v>
      </c>
      <c r="CM13" s="109">
        <v>47.9</v>
      </c>
      <c r="CN13" s="109">
        <v>53.1</v>
      </c>
      <c r="CO13" s="109">
        <v>53.9</v>
      </c>
      <c r="CP13" s="109">
        <v>52</v>
      </c>
      <c r="CQ13" s="109">
        <v>52.5</v>
      </c>
      <c r="CR13" s="109">
        <v>49.4</v>
      </c>
      <c r="CS13" s="109">
        <v>48.1</v>
      </c>
      <c r="CT13" s="109">
        <v>42</v>
      </c>
      <c r="CU13" s="109">
        <v>43.2</v>
      </c>
      <c r="CV13" s="109">
        <v>43.9</v>
      </c>
      <c r="CW13" s="109">
        <v>40.9</v>
      </c>
      <c r="CX13">
        <v>49.2</v>
      </c>
    </row>
    <row r="14" spans="1:102" x14ac:dyDescent="0.25">
      <c r="A14" s="106">
        <v>2005</v>
      </c>
      <c r="B14" s="109">
        <v>48.8</v>
      </c>
      <c r="C14" s="109">
        <v>50.2</v>
      </c>
      <c r="D14" s="109">
        <v>56.8</v>
      </c>
      <c r="E14" s="109">
        <v>44.2</v>
      </c>
      <c r="F14" s="109">
        <v>55.2</v>
      </c>
      <c r="G14" s="109">
        <v>53.6</v>
      </c>
      <c r="H14" s="109">
        <v>54.4</v>
      </c>
      <c r="I14" s="109">
        <v>56.3</v>
      </c>
      <c r="J14" s="109">
        <v>58.8</v>
      </c>
      <c r="K14" s="109">
        <v>53.6</v>
      </c>
      <c r="L14" s="109">
        <v>51.7</v>
      </c>
      <c r="M14" s="109">
        <v>53.9</v>
      </c>
      <c r="N14" s="109">
        <v>52</v>
      </c>
      <c r="O14" s="109">
        <v>52.6</v>
      </c>
      <c r="P14" s="109">
        <v>52</v>
      </c>
      <c r="Q14" s="109">
        <v>47.8</v>
      </c>
      <c r="R14" s="109">
        <v>52.1</v>
      </c>
      <c r="S14" s="109">
        <v>58.1</v>
      </c>
      <c r="T14" s="109">
        <v>57.3</v>
      </c>
      <c r="U14" s="109">
        <v>47</v>
      </c>
      <c r="V14" s="109">
        <v>50</v>
      </c>
      <c r="W14" s="109">
        <v>58.3</v>
      </c>
      <c r="X14" s="109">
        <v>42.5</v>
      </c>
      <c r="Y14" s="109">
        <v>55.3</v>
      </c>
      <c r="Z14" s="109">
        <v>58.2</v>
      </c>
      <c r="AA14" s="109">
        <v>40.5</v>
      </c>
      <c r="AB14" s="109">
        <v>52</v>
      </c>
      <c r="AC14" s="109">
        <v>55.4</v>
      </c>
      <c r="AD14" s="109">
        <v>51.4</v>
      </c>
      <c r="AE14" s="109">
        <v>49.2</v>
      </c>
      <c r="AF14" s="109">
        <v>59.7</v>
      </c>
      <c r="AG14" s="109">
        <v>50.1</v>
      </c>
      <c r="AH14" s="109">
        <v>58.7</v>
      </c>
      <c r="AI14" s="109">
        <v>53.4</v>
      </c>
      <c r="AJ14" s="109">
        <v>51.5</v>
      </c>
      <c r="AK14" s="109">
        <v>48.5</v>
      </c>
      <c r="AL14" s="109">
        <v>53.9</v>
      </c>
      <c r="AM14" s="109">
        <v>59.5</v>
      </c>
      <c r="AN14" s="109">
        <v>52.4</v>
      </c>
      <c r="AO14" s="109">
        <v>52.5</v>
      </c>
      <c r="AP14" s="109">
        <v>53.7</v>
      </c>
      <c r="AQ14" s="109">
        <v>55.1</v>
      </c>
      <c r="AR14" s="109">
        <v>42</v>
      </c>
      <c r="AS14" s="109">
        <v>51.4</v>
      </c>
      <c r="AT14" s="109">
        <v>54.9</v>
      </c>
      <c r="AU14" s="109">
        <v>51.9</v>
      </c>
      <c r="AV14" s="109">
        <v>53.2</v>
      </c>
      <c r="AW14" s="109">
        <v>48.9</v>
      </c>
      <c r="AX14" s="109">
        <v>45.8</v>
      </c>
      <c r="AY14" s="109">
        <v>57</v>
      </c>
      <c r="AZ14" s="109">
        <v>52.8</v>
      </c>
      <c r="BA14" s="109">
        <v>46</v>
      </c>
      <c r="BB14" s="109">
        <v>51.8</v>
      </c>
      <c r="BC14" s="109">
        <v>49.8</v>
      </c>
      <c r="BD14" s="109">
        <v>54.7</v>
      </c>
      <c r="BE14" s="109">
        <v>45.8</v>
      </c>
      <c r="BF14" s="109">
        <v>49.3</v>
      </c>
      <c r="BG14" s="109">
        <v>46.7</v>
      </c>
      <c r="BH14" s="109">
        <v>48.3</v>
      </c>
      <c r="BI14" s="109">
        <v>55.1</v>
      </c>
      <c r="BJ14" s="109">
        <v>49.9</v>
      </c>
      <c r="BK14" s="109">
        <v>54</v>
      </c>
      <c r="BL14" s="109">
        <v>51.9</v>
      </c>
      <c r="BM14" s="109">
        <v>60.8</v>
      </c>
      <c r="BN14" s="109">
        <v>49.9</v>
      </c>
      <c r="BO14" s="109">
        <v>53.6</v>
      </c>
      <c r="BP14" s="109">
        <v>42.3</v>
      </c>
      <c r="BQ14" s="109">
        <v>48.5</v>
      </c>
      <c r="BR14" s="109">
        <v>48.3</v>
      </c>
      <c r="BS14" s="109">
        <v>45.3</v>
      </c>
      <c r="BT14" s="109">
        <v>57</v>
      </c>
      <c r="BU14" s="109">
        <v>53.2</v>
      </c>
      <c r="BV14" s="109"/>
      <c r="BW14" s="109"/>
      <c r="BX14" s="109">
        <v>50.8</v>
      </c>
      <c r="BY14" s="109">
        <v>52.4</v>
      </c>
      <c r="BZ14" s="109">
        <v>50.4</v>
      </c>
      <c r="CA14" s="109">
        <v>49.6</v>
      </c>
      <c r="CB14" s="109">
        <v>51.1</v>
      </c>
      <c r="CC14" s="109">
        <v>54.6</v>
      </c>
      <c r="CD14" s="109">
        <v>55.6</v>
      </c>
      <c r="CE14" s="109">
        <v>53.3</v>
      </c>
      <c r="CF14" s="109">
        <v>55.1</v>
      </c>
      <c r="CG14" s="109">
        <v>51</v>
      </c>
      <c r="CH14" s="109">
        <v>54</v>
      </c>
      <c r="CI14" s="109">
        <v>57.9</v>
      </c>
      <c r="CJ14" s="109">
        <v>58.5</v>
      </c>
      <c r="CK14" s="109">
        <v>57.4</v>
      </c>
      <c r="CL14" s="109">
        <v>53.2</v>
      </c>
      <c r="CM14" s="109">
        <v>51.8</v>
      </c>
      <c r="CN14" s="109">
        <v>46</v>
      </c>
      <c r="CO14" s="109">
        <v>48.9</v>
      </c>
      <c r="CP14" s="109">
        <v>50.2</v>
      </c>
      <c r="CQ14" s="109">
        <v>50.2</v>
      </c>
      <c r="CR14" s="109">
        <v>52</v>
      </c>
      <c r="CS14" s="109">
        <v>51.1</v>
      </c>
      <c r="CT14" s="109">
        <v>53.4</v>
      </c>
      <c r="CU14" s="109">
        <v>55.5</v>
      </c>
      <c r="CV14" s="109">
        <v>48.2</v>
      </c>
      <c r="CW14" s="109">
        <v>52.7</v>
      </c>
      <c r="CX14">
        <v>51.1</v>
      </c>
    </row>
    <row r="15" spans="1:102" x14ac:dyDescent="0.25">
      <c r="A15" s="106">
        <v>2006</v>
      </c>
      <c r="B15" s="109">
        <v>51</v>
      </c>
      <c r="C15" s="109">
        <v>45.2</v>
      </c>
      <c r="D15" s="109">
        <v>48.9</v>
      </c>
      <c r="E15" s="109">
        <v>42.3</v>
      </c>
      <c r="F15" s="109">
        <v>51</v>
      </c>
      <c r="G15" s="109">
        <v>52.6</v>
      </c>
      <c r="H15" s="109">
        <v>53.4</v>
      </c>
      <c r="I15" s="109">
        <v>50</v>
      </c>
      <c r="J15" s="109">
        <v>52.1</v>
      </c>
      <c r="K15" s="109">
        <v>52.6</v>
      </c>
      <c r="L15" s="109">
        <v>47.8</v>
      </c>
      <c r="M15" s="109">
        <v>52</v>
      </c>
      <c r="N15" s="109">
        <v>49.4</v>
      </c>
      <c r="O15" s="109">
        <v>49.4</v>
      </c>
      <c r="P15" s="109">
        <v>52.1</v>
      </c>
      <c r="Q15" s="109">
        <v>51.3</v>
      </c>
      <c r="R15" s="109">
        <v>49.1</v>
      </c>
      <c r="S15" s="109">
        <v>53.9</v>
      </c>
      <c r="T15" s="109">
        <v>50</v>
      </c>
      <c r="U15" s="109">
        <v>43</v>
      </c>
      <c r="V15" s="109">
        <v>49.4</v>
      </c>
      <c r="W15" s="109">
        <v>53.9</v>
      </c>
      <c r="X15" s="109">
        <v>52.7</v>
      </c>
      <c r="Y15" s="109">
        <v>50.4</v>
      </c>
      <c r="Z15" s="109">
        <v>49.3</v>
      </c>
      <c r="AA15" s="109">
        <v>44.9</v>
      </c>
      <c r="AB15" s="109">
        <v>45.7</v>
      </c>
      <c r="AC15" s="109">
        <v>55.7</v>
      </c>
      <c r="AD15" s="109">
        <v>48</v>
      </c>
      <c r="AE15" s="109">
        <v>48.1</v>
      </c>
      <c r="AF15" s="109">
        <v>55.7</v>
      </c>
      <c r="AG15" s="109">
        <v>49.6</v>
      </c>
      <c r="AH15" s="109">
        <v>52.8</v>
      </c>
      <c r="AI15" s="109">
        <v>49.9</v>
      </c>
      <c r="AJ15" s="109">
        <v>52.5</v>
      </c>
      <c r="AK15" s="109">
        <v>48.4</v>
      </c>
      <c r="AL15" s="109">
        <v>48</v>
      </c>
      <c r="AM15" s="109">
        <v>56.4</v>
      </c>
      <c r="AN15" s="109">
        <v>45.7</v>
      </c>
      <c r="AO15" s="109">
        <v>49.4</v>
      </c>
      <c r="AP15" s="109">
        <v>50.2</v>
      </c>
      <c r="AQ15" s="109">
        <v>56.5</v>
      </c>
      <c r="AR15" s="109">
        <v>44.1</v>
      </c>
      <c r="AS15" s="109">
        <v>49.3</v>
      </c>
      <c r="AT15" s="109">
        <v>47.3</v>
      </c>
      <c r="AU15" s="109">
        <v>52.5</v>
      </c>
      <c r="AV15" s="109">
        <v>46.4</v>
      </c>
      <c r="AW15" s="109">
        <v>52.3</v>
      </c>
      <c r="AX15" s="109">
        <v>51.6</v>
      </c>
      <c r="AY15" s="109">
        <v>53.3</v>
      </c>
      <c r="AZ15" s="109">
        <v>46.5</v>
      </c>
      <c r="BA15" s="109">
        <v>48.8</v>
      </c>
      <c r="BB15" s="109">
        <v>52.4</v>
      </c>
      <c r="BC15" s="109">
        <v>45.9</v>
      </c>
      <c r="BD15" s="109">
        <v>53.1</v>
      </c>
      <c r="BE15" s="109">
        <v>44.6</v>
      </c>
      <c r="BF15" s="109">
        <v>49.4</v>
      </c>
      <c r="BG15" s="109">
        <v>45.7</v>
      </c>
      <c r="BH15" s="109">
        <v>41.9</v>
      </c>
      <c r="BI15" s="109">
        <v>54.9</v>
      </c>
      <c r="BJ15" s="109">
        <v>49.7</v>
      </c>
      <c r="BK15" s="109">
        <v>50</v>
      </c>
      <c r="BL15" s="109">
        <v>46.9</v>
      </c>
      <c r="BM15" s="109">
        <v>56.9</v>
      </c>
      <c r="BN15" s="109">
        <v>50.7</v>
      </c>
      <c r="BO15" s="109">
        <v>52.5</v>
      </c>
      <c r="BP15" s="109">
        <v>46.3</v>
      </c>
      <c r="BQ15" s="109">
        <v>40.6</v>
      </c>
      <c r="BR15" s="109">
        <v>50.6</v>
      </c>
      <c r="BS15" s="109">
        <v>49</v>
      </c>
      <c r="BT15" s="109">
        <v>57.4</v>
      </c>
      <c r="BU15" s="109">
        <v>51.5</v>
      </c>
      <c r="BV15" s="109"/>
      <c r="BW15" s="109"/>
      <c r="BX15" s="109">
        <v>47.6</v>
      </c>
      <c r="BY15" s="109">
        <v>50.7</v>
      </c>
      <c r="BZ15" s="109">
        <v>50.9</v>
      </c>
      <c r="CA15" s="109">
        <v>52.1</v>
      </c>
      <c r="CB15" s="109">
        <v>50.3</v>
      </c>
      <c r="CC15" s="109">
        <v>53.2</v>
      </c>
      <c r="CD15" s="109">
        <v>53.7</v>
      </c>
      <c r="CE15" s="109">
        <v>42</v>
      </c>
      <c r="CF15" s="109">
        <v>47.2</v>
      </c>
      <c r="CG15" s="109">
        <v>55.1</v>
      </c>
      <c r="CH15" s="109">
        <v>52</v>
      </c>
      <c r="CI15" s="109">
        <v>56.3</v>
      </c>
      <c r="CJ15" s="109">
        <v>51.5</v>
      </c>
      <c r="CK15" s="109">
        <v>54.8</v>
      </c>
      <c r="CL15" s="109">
        <v>43.3</v>
      </c>
      <c r="CM15" s="109">
        <v>46.3</v>
      </c>
      <c r="CN15" s="109">
        <v>45.3</v>
      </c>
      <c r="CO15" s="109">
        <v>46.9</v>
      </c>
      <c r="CP15" s="109">
        <v>50.3</v>
      </c>
      <c r="CQ15" s="109">
        <v>49.2</v>
      </c>
      <c r="CR15" s="109">
        <v>40.299999999999997</v>
      </c>
      <c r="CS15" s="109">
        <v>49.2</v>
      </c>
      <c r="CT15" s="109">
        <v>53</v>
      </c>
      <c r="CU15" s="109">
        <v>49.4</v>
      </c>
      <c r="CV15" s="109">
        <v>47.3</v>
      </c>
      <c r="CW15" s="109">
        <v>48.6</v>
      </c>
      <c r="CX15">
        <v>52.3</v>
      </c>
    </row>
    <row r="16" spans="1:102" x14ac:dyDescent="0.25">
      <c r="A16" s="106">
        <v>2007</v>
      </c>
      <c r="B16" s="109">
        <v>53.3</v>
      </c>
      <c r="C16" s="109">
        <v>51.5</v>
      </c>
      <c r="D16" s="109">
        <v>48.4</v>
      </c>
      <c r="E16" s="109">
        <v>45.6</v>
      </c>
      <c r="F16" s="109">
        <v>53.1</v>
      </c>
      <c r="G16" s="109">
        <v>54.5</v>
      </c>
      <c r="H16" s="109">
        <v>52.8</v>
      </c>
      <c r="I16" s="109">
        <v>54.2</v>
      </c>
      <c r="J16" s="109">
        <v>54.1</v>
      </c>
      <c r="K16" s="109">
        <v>50.7</v>
      </c>
      <c r="L16" s="109">
        <v>52.6</v>
      </c>
      <c r="M16" s="109">
        <v>52.2</v>
      </c>
      <c r="N16" s="109">
        <v>52.2</v>
      </c>
      <c r="O16" s="109">
        <v>50.5</v>
      </c>
      <c r="P16" s="109">
        <v>50.5</v>
      </c>
      <c r="Q16" s="109">
        <v>52.2</v>
      </c>
      <c r="R16" s="109">
        <v>51</v>
      </c>
      <c r="S16" s="109">
        <v>55</v>
      </c>
      <c r="T16" s="109">
        <v>50.4</v>
      </c>
      <c r="U16" s="109">
        <v>46.1</v>
      </c>
      <c r="V16" s="109">
        <v>50.4</v>
      </c>
      <c r="W16" s="109">
        <v>52.3</v>
      </c>
      <c r="X16" s="109">
        <v>50.6</v>
      </c>
      <c r="Y16" s="109">
        <v>50.3</v>
      </c>
      <c r="Z16" s="109">
        <v>53.7</v>
      </c>
      <c r="AA16" s="109">
        <v>48.2</v>
      </c>
      <c r="AB16" s="109">
        <v>48.5</v>
      </c>
      <c r="AC16" s="109">
        <v>54.2</v>
      </c>
      <c r="AD16" s="109">
        <v>51.5</v>
      </c>
      <c r="AE16" s="109">
        <v>51</v>
      </c>
      <c r="AF16" s="109">
        <v>54.2</v>
      </c>
      <c r="AG16" s="109">
        <v>52.7</v>
      </c>
      <c r="AH16" s="109">
        <v>50.6</v>
      </c>
      <c r="AI16" s="109">
        <v>52.2</v>
      </c>
      <c r="AJ16" s="109">
        <v>50.7</v>
      </c>
      <c r="AK16" s="109">
        <v>51</v>
      </c>
      <c r="AL16" s="109">
        <v>52.8</v>
      </c>
      <c r="AM16" s="109">
        <v>57</v>
      </c>
      <c r="AN16" s="109">
        <v>49.5</v>
      </c>
      <c r="AO16" s="109">
        <v>50.4</v>
      </c>
      <c r="AP16" s="109">
        <v>53</v>
      </c>
      <c r="AQ16" s="109">
        <v>53.8</v>
      </c>
      <c r="AR16" s="109">
        <v>50.2</v>
      </c>
      <c r="AS16" s="109">
        <v>51.1</v>
      </c>
      <c r="AT16" s="109">
        <v>48.8</v>
      </c>
      <c r="AU16" s="109">
        <v>51.8</v>
      </c>
      <c r="AV16" s="109">
        <v>50.1</v>
      </c>
      <c r="AW16" s="109">
        <v>55.1</v>
      </c>
      <c r="AX16" s="109">
        <v>51.7</v>
      </c>
      <c r="AY16" s="109">
        <v>57.1</v>
      </c>
      <c r="AZ16" s="109">
        <v>46.3</v>
      </c>
      <c r="BA16" s="109">
        <v>49.5</v>
      </c>
      <c r="BB16" s="109">
        <v>52.5</v>
      </c>
      <c r="BC16" s="109">
        <v>51.3</v>
      </c>
      <c r="BD16" s="109">
        <v>52.5</v>
      </c>
      <c r="BE16" s="109">
        <v>48.7</v>
      </c>
      <c r="BF16" s="109">
        <v>51</v>
      </c>
      <c r="BG16" s="109">
        <v>48.8</v>
      </c>
      <c r="BH16" s="109">
        <v>44.4</v>
      </c>
      <c r="BI16" s="109">
        <v>55.3</v>
      </c>
      <c r="BJ16" s="109">
        <v>54</v>
      </c>
      <c r="BK16" s="109">
        <v>56.2</v>
      </c>
      <c r="BL16" s="109">
        <v>52.1</v>
      </c>
      <c r="BM16" s="109">
        <v>58.5</v>
      </c>
      <c r="BN16" s="109">
        <v>51.4</v>
      </c>
      <c r="BO16" s="109">
        <v>53.5</v>
      </c>
      <c r="BP16" s="109">
        <v>48.5</v>
      </c>
      <c r="BQ16" s="109">
        <v>49.3</v>
      </c>
      <c r="BR16" s="109">
        <v>51.9</v>
      </c>
      <c r="BS16" s="109">
        <v>50</v>
      </c>
      <c r="BT16" s="109">
        <v>54.8</v>
      </c>
      <c r="BU16" s="109">
        <v>54.7</v>
      </c>
      <c r="BV16" s="109"/>
      <c r="BW16" s="109"/>
      <c r="BX16" s="109">
        <v>52.2</v>
      </c>
      <c r="BY16" s="109">
        <v>50.8</v>
      </c>
      <c r="BZ16" s="109">
        <v>49.4</v>
      </c>
      <c r="CA16" s="109">
        <v>51.1</v>
      </c>
      <c r="CB16" s="109">
        <v>51.7</v>
      </c>
      <c r="CC16" s="109">
        <v>52.2</v>
      </c>
      <c r="CD16" s="109">
        <v>58.2</v>
      </c>
      <c r="CE16" s="109">
        <v>46.3</v>
      </c>
      <c r="CF16" s="109">
        <v>54</v>
      </c>
      <c r="CG16" s="109">
        <v>52.2</v>
      </c>
      <c r="CH16" s="109">
        <v>53.1</v>
      </c>
      <c r="CI16" s="109">
        <v>54.1</v>
      </c>
      <c r="CJ16" s="109">
        <v>54</v>
      </c>
      <c r="CK16" s="109">
        <v>55.2</v>
      </c>
      <c r="CL16" s="109">
        <v>44.9</v>
      </c>
      <c r="CM16" s="109">
        <v>51.7</v>
      </c>
      <c r="CN16" s="109">
        <v>47.5</v>
      </c>
      <c r="CO16" s="109">
        <v>46</v>
      </c>
      <c r="CP16" s="109">
        <v>55.2</v>
      </c>
      <c r="CQ16" s="109">
        <v>50.8</v>
      </c>
      <c r="CR16" s="109">
        <v>51.2</v>
      </c>
      <c r="CS16" s="109">
        <v>51.1</v>
      </c>
      <c r="CT16" s="109">
        <v>55.1</v>
      </c>
      <c r="CU16" s="109">
        <v>50.9</v>
      </c>
      <c r="CV16" s="109">
        <v>45.1</v>
      </c>
      <c r="CW16" s="109">
        <v>52</v>
      </c>
      <c r="CX16">
        <v>51.4</v>
      </c>
    </row>
    <row r="17" spans="1:102" x14ac:dyDescent="0.25">
      <c r="A17" s="106">
        <v>2008</v>
      </c>
      <c r="B17" s="109">
        <v>45.5</v>
      </c>
      <c r="C17" s="109">
        <v>39</v>
      </c>
      <c r="D17" s="109">
        <v>42</v>
      </c>
      <c r="E17" s="109">
        <v>31</v>
      </c>
      <c r="F17" s="109">
        <v>50</v>
      </c>
      <c r="G17" s="109">
        <v>51</v>
      </c>
      <c r="H17" s="109">
        <v>50</v>
      </c>
      <c r="I17" s="109">
        <v>44</v>
      </c>
      <c r="J17" s="109">
        <v>45</v>
      </c>
      <c r="K17" s="109">
        <v>46.5</v>
      </c>
      <c r="L17" s="109">
        <v>50.5</v>
      </c>
      <c r="M17" s="109">
        <v>47.5</v>
      </c>
      <c r="N17" s="109">
        <v>49</v>
      </c>
      <c r="O17" s="109">
        <v>49.5</v>
      </c>
      <c r="P17" s="109">
        <v>46</v>
      </c>
      <c r="Q17" s="109">
        <v>48.5</v>
      </c>
      <c r="R17" s="109">
        <v>45</v>
      </c>
      <c r="S17" s="109">
        <v>55</v>
      </c>
      <c r="T17" s="109">
        <v>45</v>
      </c>
      <c r="U17" s="109">
        <v>26.5</v>
      </c>
      <c r="V17" s="109">
        <v>48</v>
      </c>
      <c r="W17" s="109">
        <v>50.5</v>
      </c>
      <c r="X17" s="109">
        <v>47.5</v>
      </c>
      <c r="Y17" s="109">
        <v>53.5</v>
      </c>
      <c r="Z17" s="109">
        <v>47</v>
      </c>
      <c r="AA17" s="109">
        <v>36.5</v>
      </c>
      <c r="AB17" s="109">
        <v>31.5</v>
      </c>
      <c r="AC17" s="109">
        <v>46.5</v>
      </c>
      <c r="AD17" s="109">
        <v>47</v>
      </c>
      <c r="AE17" s="109">
        <v>44</v>
      </c>
      <c r="AF17" s="109">
        <v>44.5</v>
      </c>
      <c r="AG17" s="109">
        <v>45</v>
      </c>
      <c r="AH17" s="109">
        <v>45</v>
      </c>
      <c r="AI17" s="109">
        <v>44.5</v>
      </c>
      <c r="AJ17" s="109">
        <v>45</v>
      </c>
      <c r="AK17" s="109">
        <v>41.5</v>
      </c>
      <c r="AL17" s="109">
        <v>46.5</v>
      </c>
      <c r="AM17" s="109">
        <v>53.5</v>
      </c>
      <c r="AN17" s="109">
        <v>44</v>
      </c>
      <c r="AO17" s="109">
        <v>47</v>
      </c>
      <c r="AP17" s="109">
        <v>50</v>
      </c>
      <c r="AQ17" s="109">
        <v>48.5</v>
      </c>
      <c r="AR17" s="109">
        <v>40</v>
      </c>
      <c r="AS17" s="109">
        <v>48</v>
      </c>
      <c r="AT17" s="109">
        <v>44.5</v>
      </c>
      <c r="AU17" s="109">
        <v>49.5</v>
      </c>
      <c r="AV17" s="109">
        <v>50</v>
      </c>
      <c r="AW17" s="109">
        <v>47</v>
      </c>
      <c r="AX17" s="109">
        <v>46.5</v>
      </c>
      <c r="AY17" s="109">
        <v>53</v>
      </c>
      <c r="AZ17" s="109">
        <v>42</v>
      </c>
      <c r="BA17" s="109">
        <v>46</v>
      </c>
      <c r="BB17" s="109">
        <v>46.5</v>
      </c>
      <c r="BC17" s="109">
        <v>47</v>
      </c>
      <c r="BD17" s="109">
        <v>48</v>
      </c>
      <c r="BE17" s="109">
        <v>42.5</v>
      </c>
      <c r="BF17" s="109">
        <v>47</v>
      </c>
      <c r="BG17" s="109">
        <v>47</v>
      </c>
      <c r="BH17" s="109">
        <v>28.5</v>
      </c>
      <c r="BI17" s="109">
        <v>50.5</v>
      </c>
      <c r="BJ17" s="109">
        <v>42</v>
      </c>
      <c r="BK17" s="109">
        <v>47.5</v>
      </c>
      <c r="BL17" s="109">
        <v>45</v>
      </c>
      <c r="BM17" s="109">
        <v>51</v>
      </c>
      <c r="BN17" s="109">
        <v>41.5</v>
      </c>
      <c r="BO17" s="109">
        <v>45</v>
      </c>
      <c r="BP17" s="109">
        <v>44.5</v>
      </c>
      <c r="BQ17" s="109">
        <v>33.5</v>
      </c>
      <c r="BR17" s="109">
        <v>38</v>
      </c>
      <c r="BS17" s="109">
        <v>44.5</v>
      </c>
      <c r="BT17" s="109">
        <v>53.5</v>
      </c>
      <c r="BU17" s="109">
        <v>48</v>
      </c>
      <c r="BV17" s="109"/>
      <c r="BW17" s="109"/>
      <c r="BX17" s="109">
        <v>37.5</v>
      </c>
      <c r="BY17" s="109">
        <v>48.5</v>
      </c>
      <c r="BZ17" s="109">
        <v>51.5</v>
      </c>
      <c r="CA17" s="109">
        <v>51</v>
      </c>
      <c r="CB17" s="109">
        <v>44.5</v>
      </c>
      <c r="CC17" s="109">
        <v>41.5</v>
      </c>
      <c r="CD17" s="109">
        <v>48.5</v>
      </c>
      <c r="CE17" s="109">
        <v>26.5</v>
      </c>
      <c r="CF17" s="109">
        <v>50.5</v>
      </c>
      <c r="CG17" s="109">
        <v>51</v>
      </c>
      <c r="CH17" s="109">
        <v>48.5</v>
      </c>
      <c r="CI17" s="109">
        <v>54.5</v>
      </c>
      <c r="CJ17" s="109">
        <v>46.5</v>
      </c>
      <c r="CK17" s="109">
        <v>49.5</v>
      </c>
      <c r="CL17" s="109">
        <v>34</v>
      </c>
      <c r="CM17" s="109">
        <v>38</v>
      </c>
      <c r="CN17" s="109">
        <v>41</v>
      </c>
      <c r="CO17" s="109">
        <v>42.5</v>
      </c>
      <c r="CP17" s="109">
        <v>41.5</v>
      </c>
      <c r="CQ17" s="109">
        <v>50.5</v>
      </c>
      <c r="CR17" s="109">
        <v>30.5</v>
      </c>
      <c r="CS17" s="109">
        <v>47.5</v>
      </c>
      <c r="CT17" s="109">
        <v>46.5</v>
      </c>
      <c r="CU17" s="109">
        <v>45</v>
      </c>
      <c r="CV17" s="109">
        <v>45.5</v>
      </c>
      <c r="CW17" s="109">
        <v>45.5</v>
      </c>
      <c r="CX17">
        <v>46.5</v>
      </c>
    </row>
    <row r="18" spans="1:102" x14ac:dyDescent="0.25">
      <c r="A18" s="106">
        <v>2009</v>
      </c>
      <c r="B18" s="109">
        <v>51.5</v>
      </c>
      <c r="C18" s="109">
        <v>51</v>
      </c>
      <c r="D18" s="109">
        <v>45.5</v>
      </c>
      <c r="E18" s="109">
        <v>43</v>
      </c>
      <c r="F18" s="109">
        <v>55.5</v>
      </c>
      <c r="G18" s="109">
        <v>53</v>
      </c>
      <c r="H18" s="109">
        <v>47.5</v>
      </c>
      <c r="I18" s="109">
        <v>52</v>
      </c>
      <c r="J18" s="109">
        <v>51</v>
      </c>
      <c r="K18" s="109">
        <v>44</v>
      </c>
      <c r="L18" s="109">
        <v>53.5</v>
      </c>
      <c r="M18" s="109">
        <v>48</v>
      </c>
      <c r="N18" s="109">
        <v>45.5</v>
      </c>
      <c r="O18" s="109">
        <v>55</v>
      </c>
      <c r="P18" s="109">
        <v>54.5</v>
      </c>
      <c r="Q18" s="109">
        <v>53.5</v>
      </c>
      <c r="R18" s="109">
        <v>47</v>
      </c>
      <c r="S18" s="109">
        <v>55.5</v>
      </c>
      <c r="T18" s="109">
        <v>46.5</v>
      </c>
      <c r="U18" s="109">
        <v>38</v>
      </c>
      <c r="V18" s="109">
        <v>50.5</v>
      </c>
      <c r="W18" s="109">
        <v>48.5</v>
      </c>
      <c r="X18" s="109">
        <v>52</v>
      </c>
      <c r="Y18" s="109">
        <v>53</v>
      </c>
      <c r="Z18" s="109">
        <v>54.5</v>
      </c>
      <c r="AA18" s="109">
        <v>40</v>
      </c>
      <c r="AB18" s="109">
        <v>45</v>
      </c>
      <c r="AC18" s="109">
        <v>49.5</v>
      </c>
      <c r="AD18" s="109">
        <v>50.5</v>
      </c>
      <c r="AE18" s="109">
        <v>49.5</v>
      </c>
      <c r="AF18" s="109">
        <v>51</v>
      </c>
      <c r="AG18" s="109">
        <v>50.5</v>
      </c>
      <c r="AH18" s="109">
        <v>43</v>
      </c>
      <c r="AI18" s="109">
        <v>48</v>
      </c>
      <c r="AJ18" s="109">
        <v>49.5</v>
      </c>
      <c r="AK18" s="109">
        <v>56</v>
      </c>
      <c r="AL18" s="109">
        <v>53.5</v>
      </c>
      <c r="AM18" s="109">
        <v>50.5</v>
      </c>
      <c r="AN18" s="109">
        <v>48</v>
      </c>
      <c r="AO18" s="109">
        <v>44.5</v>
      </c>
      <c r="AP18" s="109">
        <v>50</v>
      </c>
      <c r="AQ18" s="109">
        <v>46</v>
      </c>
      <c r="AR18" s="109">
        <v>51.5</v>
      </c>
      <c r="AS18" s="109">
        <v>52</v>
      </c>
      <c r="AT18" s="109">
        <v>43.5</v>
      </c>
      <c r="AU18" s="109">
        <v>53.5</v>
      </c>
      <c r="AV18" s="109">
        <v>53</v>
      </c>
      <c r="AW18" s="109">
        <v>54</v>
      </c>
      <c r="AX18" s="109">
        <v>52.5</v>
      </c>
      <c r="AY18" s="109">
        <v>56.5</v>
      </c>
      <c r="AZ18" s="109">
        <v>51.5</v>
      </c>
      <c r="BA18" s="109">
        <v>51.5</v>
      </c>
      <c r="BB18" s="109">
        <v>50</v>
      </c>
      <c r="BC18" s="109">
        <v>54</v>
      </c>
      <c r="BD18" s="109">
        <v>52.5</v>
      </c>
      <c r="BE18" s="109">
        <v>48.5</v>
      </c>
      <c r="BF18" s="109">
        <v>50.5</v>
      </c>
      <c r="BG18" s="109">
        <v>52</v>
      </c>
      <c r="BH18" s="109">
        <v>38.5</v>
      </c>
      <c r="BI18" s="109">
        <v>53.5</v>
      </c>
      <c r="BJ18" s="109">
        <v>49.5</v>
      </c>
      <c r="BK18" s="109">
        <v>56</v>
      </c>
      <c r="BL18" s="109">
        <v>52.5</v>
      </c>
      <c r="BM18" s="109">
        <v>54.5</v>
      </c>
      <c r="BN18" s="109">
        <v>54.5</v>
      </c>
      <c r="BO18" s="109">
        <v>45.5</v>
      </c>
      <c r="BP18" s="109">
        <v>53.5</v>
      </c>
      <c r="BQ18" s="109">
        <v>47</v>
      </c>
      <c r="BR18" s="109">
        <v>56</v>
      </c>
      <c r="BS18" s="109">
        <v>51.5</v>
      </c>
      <c r="BT18" s="109">
        <v>53</v>
      </c>
      <c r="BU18" s="109">
        <v>50.5</v>
      </c>
      <c r="BV18" s="109"/>
      <c r="BW18" s="109"/>
      <c r="BX18" s="109">
        <v>53</v>
      </c>
      <c r="BY18" s="109">
        <v>50</v>
      </c>
      <c r="BZ18" s="109">
        <v>55.5</v>
      </c>
      <c r="CA18" s="109">
        <v>50.5</v>
      </c>
      <c r="CB18" s="109">
        <v>53.5</v>
      </c>
      <c r="CC18" s="109">
        <v>53</v>
      </c>
      <c r="CD18" s="109">
        <v>57.5</v>
      </c>
      <c r="CE18" s="109">
        <v>45.5</v>
      </c>
      <c r="CF18" s="109">
        <v>50</v>
      </c>
      <c r="CG18" s="109">
        <v>54</v>
      </c>
      <c r="CH18" s="109">
        <v>55</v>
      </c>
      <c r="CI18" s="109">
        <v>54.5</v>
      </c>
      <c r="CJ18" s="109">
        <v>52.5</v>
      </c>
      <c r="CK18" s="109">
        <v>54.5</v>
      </c>
      <c r="CL18" s="109">
        <v>45</v>
      </c>
      <c r="CM18" s="109">
        <v>51.5</v>
      </c>
      <c r="CN18" s="109">
        <v>46</v>
      </c>
      <c r="CO18" s="109">
        <v>46.5</v>
      </c>
      <c r="CP18" s="109">
        <v>52</v>
      </c>
      <c r="CQ18" s="109">
        <v>53</v>
      </c>
      <c r="CR18" s="109">
        <v>34</v>
      </c>
      <c r="CS18" s="109">
        <v>48</v>
      </c>
      <c r="CT18" s="109">
        <v>50</v>
      </c>
      <c r="CU18" s="109">
        <v>44.5</v>
      </c>
      <c r="CV18" s="109">
        <v>50.5</v>
      </c>
      <c r="CW18" s="109">
        <v>42.5</v>
      </c>
      <c r="CX18">
        <v>52</v>
      </c>
    </row>
    <row r="19" spans="1:102" x14ac:dyDescent="0.25">
      <c r="A19" s="106">
        <v>2010</v>
      </c>
      <c r="B19" s="109">
        <v>48.7</v>
      </c>
      <c r="C19" s="109">
        <v>47.7</v>
      </c>
      <c r="D19" s="109">
        <v>52.2</v>
      </c>
      <c r="E19" s="109">
        <v>42.6</v>
      </c>
      <c r="F19" s="109">
        <v>55.3</v>
      </c>
      <c r="G19" s="109">
        <v>52.7</v>
      </c>
      <c r="H19" s="109">
        <v>52.2</v>
      </c>
      <c r="I19" s="109">
        <v>46.6</v>
      </c>
      <c r="J19" s="109">
        <v>52.7</v>
      </c>
      <c r="K19" s="109">
        <v>50.5</v>
      </c>
      <c r="L19" s="109">
        <v>50.4</v>
      </c>
      <c r="M19" s="109">
        <v>54.5</v>
      </c>
      <c r="N19" s="109">
        <v>47.6</v>
      </c>
      <c r="O19" s="109">
        <v>52.8</v>
      </c>
      <c r="P19" s="109">
        <v>53.2</v>
      </c>
      <c r="Q19" s="109">
        <v>53.1</v>
      </c>
      <c r="R19" s="109">
        <v>51.5</v>
      </c>
      <c r="S19" s="109">
        <v>55.7</v>
      </c>
      <c r="T19" s="109">
        <v>54</v>
      </c>
      <c r="U19" s="109">
        <v>41.4</v>
      </c>
      <c r="V19" s="109">
        <v>52.7</v>
      </c>
      <c r="W19" s="109">
        <v>56.8</v>
      </c>
      <c r="X19" s="109">
        <v>51.4</v>
      </c>
      <c r="Y19" s="109">
        <v>57</v>
      </c>
      <c r="Z19" s="109">
        <v>49.8</v>
      </c>
      <c r="AA19" s="109">
        <v>46.6</v>
      </c>
      <c r="AB19" s="109">
        <v>42.9</v>
      </c>
      <c r="AC19" s="109">
        <v>56.3</v>
      </c>
      <c r="AD19" s="109">
        <v>51.1</v>
      </c>
      <c r="AE19" s="109">
        <v>50.2</v>
      </c>
      <c r="AF19" s="109">
        <v>54.3</v>
      </c>
      <c r="AG19" s="109">
        <v>51</v>
      </c>
      <c r="AH19" s="109">
        <v>52.6</v>
      </c>
      <c r="AI19" s="109">
        <v>53</v>
      </c>
      <c r="AJ19" s="109">
        <v>50.3</v>
      </c>
      <c r="AK19" s="109">
        <v>47</v>
      </c>
      <c r="AL19" s="109">
        <v>48.1</v>
      </c>
      <c r="AM19" s="109">
        <v>59.6</v>
      </c>
      <c r="AN19" s="109">
        <v>50</v>
      </c>
      <c r="AO19" s="109">
        <v>48.1</v>
      </c>
      <c r="AP19" s="109">
        <v>51.2</v>
      </c>
      <c r="AQ19" s="109">
        <v>55.3</v>
      </c>
      <c r="AR19" s="109">
        <v>47.9</v>
      </c>
      <c r="AS19" s="109">
        <v>49.7</v>
      </c>
      <c r="AT19" s="109">
        <v>54.7</v>
      </c>
      <c r="AU19" s="109">
        <v>46</v>
      </c>
      <c r="AV19" s="109">
        <v>55.4</v>
      </c>
      <c r="AW19" s="109">
        <v>52.3</v>
      </c>
      <c r="AX19" s="109">
        <v>52.4</v>
      </c>
      <c r="AY19" s="109">
        <v>48.3</v>
      </c>
      <c r="AZ19" s="109">
        <v>46.8</v>
      </c>
      <c r="BA19" s="109">
        <v>48.9</v>
      </c>
      <c r="BB19" s="109">
        <v>52.6</v>
      </c>
      <c r="BC19" s="109">
        <v>45.4</v>
      </c>
      <c r="BD19" s="109">
        <v>52.9</v>
      </c>
      <c r="BE19" s="109">
        <v>49.3</v>
      </c>
      <c r="BF19" s="109">
        <v>53.8</v>
      </c>
      <c r="BG19" s="109">
        <v>47.7</v>
      </c>
      <c r="BH19" s="109">
        <v>41.8</v>
      </c>
      <c r="BI19" s="109">
        <v>54.7</v>
      </c>
      <c r="BJ19" s="109">
        <v>48.6</v>
      </c>
      <c r="BK19" s="109">
        <v>47.2</v>
      </c>
      <c r="BL19" s="109">
        <v>46.9</v>
      </c>
      <c r="BM19" s="109">
        <v>57.4</v>
      </c>
      <c r="BN19" s="109">
        <v>51</v>
      </c>
      <c r="BO19" s="109">
        <v>54.2</v>
      </c>
      <c r="BP19" s="109">
        <v>48.7</v>
      </c>
      <c r="BQ19" s="109">
        <v>44.8</v>
      </c>
      <c r="BR19" s="109">
        <v>49.7</v>
      </c>
      <c r="BS19" s="109">
        <v>48.9</v>
      </c>
      <c r="BT19" s="109">
        <v>52.9</v>
      </c>
      <c r="BU19" s="109">
        <v>52.7</v>
      </c>
      <c r="BV19" s="109"/>
      <c r="BW19" s="109"/>
      <c r="BX19" s="109">
        <v>47.8</v>
      </c>
      <c r="BY19" s="109">
        <v>48.6</v>
      </c>
      <c r="BZ19" s="109">
        <v>55.7</v>
      </c>
      <c r="CA19" s="109">
        <v>46.9</v>
      </c>
      <c r="CB19" s="109">
        <v>46.1</v>
      </c>
      <c r="CC19" s="109">
        <v>52.3</v>
      </c>
      <c r="CD19" s="109">
        <v>51.3</v>
      </c>
      <c r="CE19" s="109">
        <v>43.9</v>
      </c>
      <c r="CF19" s="109">
        <v>54.5</v>
      </c>
      <c r="CG19" s="109">
        <v>52.4</v>
      </c>
      <c r="CH19" s="109">
        <v>55.4</v>
      </c>
      <c r="CI19" s="109">
        <v>57</v>
      </c>
      <c r="CJ19" s="109">
        <v>48.4</v>
      </c>
      <c r="CK19" s="109">
        <v>55.4</v>
      </c>
      <c r="CL19" s="109">
        <v>46.7</v>
      </c>
      <c r="CM19" s="109">
        <v>48.1</v>
      </c>
      <c r="CN19" s="109">
        <v>48</v>
      </c>
      <c r="CO19" s="109">
        <v>45.6</v>
      </c>
      <c r="CP19" s="109">
        <v>48.4</v>
      </c>
      <c r="CQ19" s="109">
        <v>46.9</v>
      </c>
      <c r="CR19" s="109">
        <v>42.6</v>
      </c>
      <c r="CS19" s="109">
        <v>45.5</v>
      </c>
      <c r="CT19" s="109">
        <v>51.5</v>
      </c>
      <c r="CU19" s="109">
        <v>55.1</v>
      </c>
      <c r="CV19" s="109">
        <v>50.4</v>
      </c>
      <c r="CW19" s="109">
        <v>52.7</v>
      </c>
      <c r="CX19">
        <v>41.7</v>
      </c>
    </row>
    <row r="20" spans="1:102" x14ac:dyDescent="0.25">
      <c r="A20" s="106">
        <v>2011</v>
      </c>
      <c r="B20" s="109">
        <v>50.3</v>
      </c>
      <c r="C20" s="109">
        <v>46.9</v>
      </c>
      <c r="D20" s="109">
        <v>52.1</v>
      </c>
      <c r="E20" s="109">
        <v>43.1</v>
      </c>
      <c r="F20" s="109">
        <v>55.1</v>
      </c>
      <c r="G20" s="109">
        <v>57.3</v>
      </c>
      <c r="H20" s="109">
        <v>55.7</v>
      </c>
      <c r="I20" s="109">
        <v>51.2</v>
      </c>
      <c r="J20" s="109">
        <v>56</v>
      </c>
      <c r="K20" s="109">
        <v>55.1</v>
      </c>
      <c r="L20" s="109">
        <v>49.3</v>
      </c>
      <c r="M20" s="109">
        <v>55.3</v>
      </c>
      <c r="N20" s="109">
        <v>51.7</v>
      </c>
      <c r="O20" s="109">
        <v>52.2</v>
      </c>
      <c r="P20" s="109">
        <v>52.4</v>
      </c>
      <c r="Q20" s="109">
        <v>62.4</v>
      </c>
      <c r="R20" s="109">
        <v>47.7</v>
      </c>
      <c r="S20" s="109">
        <v>52.8</v>
      </c>
      <c r="T20" s="109">
        <v>51.4</v>
      </c>
      <c r="U20" s="109">
        <v>41.1</v>
      </c>
      <c r="V20" s="109">
        <v>51.9</v>
      </c>
      <c r="W20" s="109">
        <v>59.1</v>
      </c>
      <c r="X20" s="109">
        <v>61.7</v>
      </c>
      <c r="Y20" s="109">
        <v>53</v>
      </c>
      <c r="Z20" s="109">
        <v>52.2</v>
      </c>
      <c r="AA20" s="109">
        <v>32.799999999999997</v>
      </c>
      <c r="AB20" s="109">
        <v>43.7</v>
      </c>
      <c r="AC20" s="109">
        <v>57.5</v>
      </c>
      <c r="AD20" s="109">
        <v>52.5</v>
      </c>
      <c r="AE20" s="109">
        <v>48.1</v>
      </c>
      <c r="AF20" s="109">
        <v>59.1</v>
      </c>
      <c r="AG20" s="109">
        <v>49.7</v>
      </c>
      <c r="AH20" s="109">
        <v>57.9</v>
      </c>
      <c r="AI20" s="109">
        <v>52.5</v>
      </c>
      <c r="AJ20" s="109">
        <v>52.4</v>
      </c>
      <c r="AK20" s="109">
        <v>45.1</v>
      </c>
      <c r="AL20" s="109">
        <v>51</v>
      </c>
      <c r="AM20" s="109">
        <v>59.8</v>
      </c>
      <c r="AN20" s="109">
        <v>53.2</v>
      </c>
      <c r="AO20" s="109">
        <v>52.5</v>
      </c>
      <c r="AP20" s="109">
        <v>50.3</v>
      </c>
      <c r="AQ20" s="109">
        <v>56.6</v>
      </c>
      <c r="AR20" s="109">
        <v>45.8</v>
      </c>
      <c r="AS20" s="109">
        <v>44.5</v>
      </c>
      <c r="AT20" s="109">
        <v>51.4</v>
      </c>
      <c r="AU20" s="109">
        <v>51.8</v>
      </c>
      <c r="AV20" s="109">
        <v>53.3</v>
      </c>
      <c r="AW20" s="109">
        <v>55</v>
      </c>
      <c r="AX20" s="109">
        <v>56.6</v>
      </c>
      <c r="AY20" s="109">
        <v>54.6</v>
      </c>
      <c r="AZ20" s="109">
        <v>41.9</v>
      </c>
      <c r="BA20" s="109">
        <v>55.2</v>
      </c>
      <c r="BB20" s="109">
        <v>60.4</v>
      </c>
      <c r="BC20" s="109">
        <v>50.6</v>
      </c>
      <c r="BD20" s="109">
        <v>49</v>
      </c>
      <c r="BE20" s="109">
        <v>40.6</v>
      </c>
      <c r="BF20" s="109">
        <v>57.1</v>
      </c>
      <c r="BG20" s="109">
        <v>51.1</v>
      </c>
      <c r="BH20" s="109">
        <v>43.1</v>
      </c>
      <c r="BI20" s="109">
        <v>53.5</v>
      </c>
      <c r="BJ20" s="109">
        <v>46.5</v>
      </c>
      <c r="BK20" s="109">
        <v>52.7</v>
      </c>
      <c r="BL20" s="109">
        <v>48.8</v>
      </c>
      <c r="BM20" s="109">
        <v>57</v>
      </c>
      <c r="BN20" s="109">
        <v>45.4</v>
      </c>
      <c r="BO20" s="109">
        <v>51</v>
      </c>
      <c r="BP20" s="109">
        <v>45.4</v>
      </c>
      <c r="BQ20" s="109">
        <v>42.4</v>
      </c>
      <c r="BR20" s="109">
        <v>45.9</v>
      </c>
      <c r="BS20" s="109">
        <v>56.7</v>
      </c>
      <c r="BT20" s="109">
        <v>55.4</v>
      </c>
      <c r="BU20" s="109">
        <v>51.6</v>
      </c>
      <c r="BV20" s="109"/>
      <c r="BW20" s="109"/>
      <c r="BX20" s="109">
        <v>37.799999999999997</v>
      </c>
      <c r="BY20" s="109">
        <v>50.4</v>
      </c>
      <c r="BZ20" s="109">
        <v>50.7</v>
      </c>
      <c r="CA20" s="109">
        <v>50.3</v>
      </c>
      <c r="CB20" s="109">
        <v>52.8</v>
      </c>
      <c r="CC20" s="109">
        <v>52.6</v>
      </c>
      <c r="CD20" s="109">
        <v>56.5</v>
      </c>
      <c r="CE20" s="109">
        <v>43.7</v>
      </c>
      <c r="CF20" s="109">
        <v>51.2</v>
      </c>
      <c r="CG20" s="109">
        <v>64</v>
      </c>
      <c r="CH20" s="109">
        <v>51.2</v>
      </c>
      <c r="CI20" s="109">
        <v>55.7</v>
      </c>
      <c r="CJ20" s="109">
        <v>51.7</v>
      </c>
      <c r="CK20" s="109">
        <v>57.9</v>
      </c>
      <c r="CL20" s="109">
        <v>38.6</v>
      </c>
      <c r="CM20" s="109">
        <v>53</v>
      </c>
      <c r="CN20" s="109">
        <v>35.200000000000003</v>
      </c>
      <c r="CO20" s="109">
        <v>42.6</v>
      </c>
      <c r="CP20" s="109">
        <v>45.5</v>
      </c>
      <c r="CQ20" s="109">
        <v>55.5</v>
      </c>
      <c r="CR20" s="109">
        <v>45.1</v>
      </c>
      <c r="CS20" s="109">
        <v>51.9</v>
      </c>
      <c r="CT20" s="109">
        <v>47.3</v>
      </c>
      <c r="CU20" s="109">
        <v>52.5</v>
      </c>
      <c r="CV20" s="109">
        <v>46.8</v>
      </c>
      <c r="CW20" s="109">
        <v>47.8</v>
      </c>
      <c r="CX20">
        <v>53.5</v>
      </c>
    </row>
    <row r="21" spans="1:102" x14ac:dyDescent="0.25">
      <c r="A21" s="106">
        <v>2012</v>
      </c>
      <c r="B21" s="109">
        <v>38.6</v>
      </c>
      <c r="C21" s="109">
        <v>40.9</v>
      </c>
      <c r="D21" s="109">
        <v>52.2</v>
      </c>
      <c r="E21" s="109">
        <v>24.6</v>
      </c>
      <c r="F21" s="109">
        <v>38.700000000000003</v>
      </c>
      <c r="G21" s="109">
        <v>47.5</v>
      </c>
      <c r="H21" s="109">
        <v>44.5</v>
      </c>
      <c r="I21" s="109">
        <v>45.7</v>
      </c>
      <c r="J21" s="109">
        <v>46.7</v>
      </c>
      <c r="K21" s="109">
        <v>47.1</v>
      </c>
      <c r="L21" s="109">
        <v>42.8</v>
      </c>
      <c r="M21" s="109">
        <v>40</v>
      </c>
      <c r="N21" s="109">
        <v>40.299999999999997</v>
      </c>
      <c r="O21" s="109">
        <v>39.799999999999997</v>
      </c>
      <c r="P21" s="109">
        <v>37.1</v>
      </c>
      <c r="Q21" s="109">
        <v>56.6</v>
      </c>
      <c r="R21" s="109">
        <v>42.5</v>
      </c>
      <c r="S21" s="109">
        <v>51.3</v>
      </c>
      <c r="T21" s="109">
        <v>43.5</v>
      </c>
      <c r="U21" s="109">
        <v>39.200000000000003</v>
      </c>
      <c r="V21" s="109">
        <v>50.1</v>
      </c>
      <c r="W21" s="109">
        <v>54.7</v>
      </c>
      <c r="X21" s="109">
        <v>52</v>
      </c>
      <c r="Y21" s="109">
        <v>45.6</v>
      </c>
      <c r="Z21" s="109">
        <v>40.1</v>
      </c>
      <c r="AA21" s="109">
        <v>29.3</v>
      </c>
      <c r="AB21" s="109">
        <v>33.799999999999997</v>
      </c>
      <c r="AC21" s="109">
        <v>44.5</v>
      </c>
      <c r="AD21" s="109">
        <v>48</v>
      </c>
      <c r="AE21" s="109">
        <v>48.2</v>
      </c>
      <c r="AF21" s="109">
        <v>54.2</v>
      </c>
      <c r="AG21" s="109">
        <v>46.5</v>
      </c>
      <c r="AH21" s="109">
        <v>50.6</v>
      </c>
      <c r="AI21" s="109">
        <v>41.1</v>
      </c>
      <c r="AJ21" s="109">
        <v>44.5</v>
      </c>
      <c r="AK21" s="109">
        <v>41.4</v>
      </c>
      <c r="AL21" s="109">
        <v>38.299999999999997</v>
      </c>
      <c r="AM21" s="109">
        <v>54.1</v>
      </c>
      <c r="AN21" s="109">
        <v>37.700000000000003</v>
      </c>
      <c r="AO21" s="109">
        <v>45.8</v>
      </c>
      <c r="AP21" s="109">
        <v>41.4</v>
      </c>
      <c r="AQ21" s="109">
        <v>50.8</v>
      </c>
      <c r="AR21" s="109">
        <v>36.799999999999997</v>
      </c>
      <c r="AS21" s="109">
        <v>50.3</v>
      </c>
      <c r="AT21" s="109">
        <v>46.4</v>
      </c>
      <c r="AU21" s="109">
        <v>43</v>
      </c>
      <c r="AV21" s="109">
        <v>50.9</v>
      </c>
      <c r="AW21" s="109">
        <v>52.7</v>
      </c>
      <c r="AX21" s="109">
        <v>47.1</v>
      </c>
      <c r="AY21" s="109">
        <v>50.9</v>
      </c>
      <c r="AZ21" s="109">
        <v>44</v>
      </c>
      <c r="BA21" s="109">
        <v>47.4</v>
      </c>
      <c r="BB21" s="109">
        <v>51.6</v>
      </c>
      <c r="BC21" s="109">
        <v>49.1</v>
      </c>
      <c r="BD21" s="109">
        <v>47.6</v>
      </c>
      <c r="BE21" s="109">
        <v>43.1</v>
      </c>
      <c r="BF21" s="109">
        <v>46.1</v>
      </c>
      <c r="BG21" s="109">
        <v>52.3</v>
      </c>
      <c r="BH21" s="109">
        <v>36</v>
      </c>
      <c r="BI21" s="109">
        <v>51.8</v>
      </c>
      <c r="BJ21" s="109">
        <v>36.700000000000003</v>
      </c>
      <c r="BK21" s="109">
        <v>51.2</v>
      </c>
      <c r="BL21" s="109">
        <v>45.6</v>
      </c>
      <c r="BM21" s="109">
        <v>56.2</v>
      </c>
      <c r="BN21" s="109">
        <v>38</v>
      </c>
      <c r="BO21" s="109">
        <v>42.5</v>
      </c>
      <c r="BP21" s="109">
        <v>36.299999999999997</v>
      </c>
      <c r="BQ21" s="109">
        <v>32.9</v>
      </c>
      <c r="BR21" s="109">
        <v>42.6</v>
      </c>
      <c r="BS21" s="109">
        <v>52.1</v>
      </c>
      <c r="BT21" s="109">
        <v>50.5</v>
      </c>
      <c r="BU21" s="109">
        <v>50.4</v>
      </c>
      <c r="BV21" s="109"/>
      <c r="BW21" s="109"/>
      <c r="BX21" s="109">
        <v>45.8</v>
      </c>
      <c r="BY21" s="109">
        <v>49.1</v>
      </c>
      <c r="BZ21" s="109">
        <v>36.799999999999997</v>
      </c>
      <c r="CA21" s="109">
        <v>45.9</v>
      </c>
      <c r="CB21" s="109">
        <v>49.7</v>
      </c>
      <c r="CC21" s="109">
        <v>34.6</v>
      </c>
      <c r="CD21" s="109">
        <v>52.7</v>
      </c>
      <c r="CE21" s="109">
        <v>36.9</v>
      </c>
      <c r="CF21" s="109">
        <v>43.6</v>
      </c>
      <c r="CG21" s="109">
        <v>49.7</v>
      </c>
      <c r="CH21" s="109">
        <v>43.5</v>
      </c>
      <c r="CI21" s="109">
        <v>48.2</v>
      </c>
      <c r="CJ21" s="109">
        <v>48.9</v>
      </c>
      <c r="CK21" s="109">
        <v>52.7</v>
      </c>
      <c r="CL21" s="109">
        <v>39.4</v>
      </c>
      <c r="CM21" s="109">
        <v>33.1</v>
      </c>
      <c r="CN21" s="109">
        <v>42</v>
      </c>
      <c r="CO21" s="109">
        <v>42.2</v>
      </c>
      <c r="CP21" s="109">
        <v>43.3</v>
      </c>
      <c r="CQ21" s="109">
        <v>51.6</v>
      </c>
      <c r="CR21" s="109">
        <v>28.1</v>
      </c>
      <c r="CS21" s="109">
        <v>46.7</v>
      </c>
      <c r="CT21" s="109">
        <v>47.7</v>
      </c>
      <c r="CU21" s="109">
        <v>44.9</v>
      </c>
      <c r="CV21" s="109">
        <v>42.4</v>
      </c>
      <c r="CW21" s="109">
        <v>45.6</v>
      </c>
      <c r="CX21">
        <v>45.4</v>
      </c>
    </row>
    <row r="22" spans="1:102" x14ac:dyDescent="0.25">
      <c r="A22" s="106">
        <v>2013</v>
      </c>
      <c r="B22" s="109">
        <v>36.799999999999997</v>
      </c>
      <c r="C22" s="109">
        <v>44.1</v>
      </c>
      <c r="D22" s="109">
        <v>50.7</v>
      </c>
      <c r="E22" s="109">
        <v>29.5</v>
      </c>
      <c r="F22" s="109">
        <v>45</v>
      </c>
      <c r="G22" s="109">
        <v>46.6</v>
      </c>
      <c r="H22" s="109">
        <v>47.2</v>
      </c>
      <c r="I22" s="109">
        <v>42</v>
      </c>
      <c r="J22" s="109">
        <v>49.9</v>
      </c>
      <c r="K22" s="109">
        <v>49.2</v>
      </c>
      <c r="L22" s="109">
        <v>44.9</v>
      </c>
      <c r="M22" s="109">
        <v>49.4</v>
      </c>
      <c r="N22" s="109">
        <v>36.4</v>
      </c>
      <c r="O22" s="109">
        <v>41.8</v>
      </c>
      <c r="P22" s="109">
        <v>44.8</v>
      </c>
      <c r="Q22" s="109">
        <v>50.2</v>
      </c>
      <c r="R22" s="109">
        <v>40.299999999999997</v>
      </c>
      <c r="S22" s="109">
        <v>53.7</v>
      </c>
      <c r="T22" s="109">
        <v>47.2</v>
      </c>
      <c r="U22" s="109">
        <v>36.5</v>
      </c>
      <c r="V22" s="109">
        <v>44.4</v>
      </c>
      <c r="W22" s="109">
        <v>55.1</v>
      </c>
      <c r="X22" s="109">
        <v>51.9</v>
      </c>
      <c r="Y22" s="109">
        <v>46.4</v>
      </c>
      <c r="Z22" s="109">
        <v>41.7</v>
      </c>
      <c r="AA22" s="109">
        <v>36.799999999999997</v>
      </c>
      <c r="AB22" s="109">
        <v>31.6</v>
      </c>
      <c r="AC22" s="109">
        <v>55.4</v>
      </c>
      <c r="AD22" s="109">
        <v>46.6</v>
      </c>
      <c r="AE22" s="109">
        <v>44.7</v>
      </c>
      <c r="AF22" s="109">
        <v>57.2</v>
      </c>
      <c r="AG22" s="109">
        <v>40.9</v>
      </c>
      <c r="AH22" s="109">
        <v>50</v>
      </c>
      <c r="AI22" s="109">
        <v>46.9</v>
      </c>
      <c r="AJ22" s="109">
        <v>46</v>
      </c>
      <c r="AK22" s="109">
        <v>47.9</v>
      </c>
      <c r="AL22" s="109">
        <v>36.5</v>
      </c>
      <c r="AM22" s="109">
        <v>52.6</v>
      </c>
      <c r="AN22" s="109">
        <v>38.9</v>
      </c>
      <c r="AO22" s="109">
        <v>38</v>
      </c>
      <c r="AP22" s="109">
        <v>45.7</v>
      </c>
      <c r="AQ22" s="109">
        <v>47.1</v>
      </c>
      <c r="AR22" s="109">
        <v>49.4</v>
      </c>
      <c r="AS22" s="109">
        <v>45.3</v>
      </c>
      <c r="AT22" s="109">
        <v>41.2</v>
      </c>
      <c r="AU22" s="109">
        <v>43.9</v>
      </c>
      <c r="AV22" s="109">
        <v>51.1</v>
      </c>
      <c r="AW22" s="109">
        <v>43.4</v>
      </c>
      <c r="AX22" s="109">
        <v>50.1</v>
      </c>
      <c r="AY22" s="109">
        <v>43.2</v>
      </c>
      <c r="AZ22" s="109">
        <v>41.1</v>
      </c>
      <c r="BA22" s="109">
        <v>46.3</v>
      </c>
      <c r="BB22" s="109">
        <v>53.5</v>
      </c>
      <c r="BC22" s="109">
        <v>41.1</v>
      </c>
      <c r="BD22" s="109">
        <v>42.9</v>
      </c>
      <c r="BE22" s="109">
        <v>39.4</v>
      </c>
      <c r="BF22" s="109">
        <v>46.2</v>
      </c>
      <c r="BG22" s="109">
        <v>41.9</v>
      </c>
      <c r="BH22" s="109">
        <v>33.4</v>
      </c>
      <c r="BI22" s="109">
        <v>57.9</v>
      </c>
      <c r="BJ22" s="109">
        <v>39.1</v>
      </c>
      <c r="BK22" s="109">
        <v>44.8</v>
      </c>
      <c r="BL22" s="109">
        <v>45</v>
      </c>
      <c r="BM22" s="109">
        <v>46.9</v>
      </c>
      <c r="BN22" s="109">
        <v>50.1</v>
      </c>
      <c r="BO22" s="109">
        <v>40.799999999999997</v>
      </c>
      <c r="BP22" s="109">
        <v>52.5</v>
      </c>
      <c r="BQ22" s="109">
        <v>29</v>
      </c>
      <c r="BR22" s="109">
        <v>45.9</v>
      </c>
      <c r="BS22" s="109">
        <v>47.1</v>
      </c>
      <c r="BT22" s="109">
        <v>57.3</v>
      </c>
      <c r="BU22" s="109">
        <v>49</v>
      </c>
      <c r="BV22" s="109"/>
      <c r="BW22" s="109"/>
      <c r="BX22" s="109">
        <v>44.4</v>
      </c>
      <c r="BY22" s="109">
        <v>40.1</v>
      </c>
      <c r="BZ22" s="109">
        <v>54.2</v>
      </c>
      <c r="CA22" s="109">
        <v>41.1</v>
      </c>
      <c r="CB22" s="109">
        <v>42.6</v>
      </c>
      <c r="CC22" s="109">
        <v>52.1</v>
      </c>
      <c r="CD22" s="109">
        <v>43.4</v>
      </c>
      <c r="CE22" s="109">
        <v>33.799999999999997</v>
      </c>
      <c r="CF22" s="109">
        <v>42.6</v>
      </c>
      <c r="CG22" s="109">
        <v>54.2</v>
      </c>
      <c r="CH22" s="109">
        <v>51.3</v>
      </c>
      <c r="CI22" s="109">
        <v>61.2</v>
      </c>
      <c r="CJ22" s="109">
        <v>40.4</v>
      </c>
      <c r="CK22" s="109">
        <v>46.6</v>
      </c>
      <c r="CL22" s="109">
        <v>37.200000000000003</v>
      </c>
      <c r="CM22" s="109">
        <v>37.6</v>
      </c>
      <c r="CN22" s="109">
        <v>40.700000000000003</v>
      </c>
      <c r="CO22" s="109">
        <v>41.4</v>
      </c>
      <c r="CP22" s="109">
        <v>42.5</v>
      </c>
      <c r="CQ22" s="109">
        <v>45.1</v>
      </c>
      <c r="CR22" s="109">
        <v>33.200000000000003</v>
      </c>
      <c r="CS22" s="109">
        <v>39.1</v>
      </c>
      <c r="CT22" s="109">
        <v>38.799999999999997</v>
      </c>
      <c r="CU22" s="109">
        <v>48.9</v>
      </c>
      <c r="CV22" s="109">
        <v>49</v>
      </c>
      <c r="CW22" s="109">
        <v>41.1</v>
      </c>
      <c r="CX22">
        <v>43.5</v>
      </c>
    </row>
    <row r="23" spans="1:102" x14ac:dyDescent="0.25">
      <c r="A23" s="106">
        <v>2014</v>
      </c>
      <c r="B23" s="109">
        <v>50</v>
      </c>
      <c r="C23" s="109">
        <v>47.6</v>
      </c>
      <c r="D23" s="109">
        <v>50.6</v>
      </c>
      <c r="E23" s="109">
        <v>46.7</v>
      </c>
      <c r="F23" s="109">
        <v>55.2</v>
      </c>
      <c r="G23" s="109">
        <v>52.7</v>
      </c>
      <c r="H23" s="109">
        <v>49.2</v>
      </c>
      <c r="I23" s="109">
        <v>50.2</v>
      </c>
      <c r="J23" s="109">
        <v>48.2</v>
      </c>
      <c r="K23" s="109">
        <v>49.5</v>
      </c>
      <c r="L23" s="109">
        <v>49.1</v>
      </c>
      <c r="M23" s="109">
        <v>46.3</v>
      </c>
      <c r="N23" s="109">
        <v>51</v>
      </c>
      <c r="O23" s="109">
        <v>55.9</v>
      </c>
      <c r="P23" s="109">
        <v>53.8</v>
      </c>
      <c r="Q23" s="109">
        <v>55.8</v>
      </c>
      <c r="R23" s="109">
        <v>50.2</v>
      </c>
      <c r="S23" s="109">
        <v>55.8</v>
      </c>
      <c r="T23" s="109">
        <v>46.6</v>
      </c>
      <c r="U23" s="109">
        <v>43.5</v>
      </c>
      <c r="V23" s="109">
        <v>47.8</v>
      </c>
      <c r="W23" s="109">
        <v>51.5</v>
      </c>
      <c r="X23" s="109">
        <v>57.5</v>
      </c>
      <c r="Y23" s="109">
        <v>55.6</v>
      </c>
      <c r="Z23" s="109">
        <v>52.5</v>
      </c>
      <c r="AA23" s="109">
        <v>45.7</v>
      </c>
      <c r="AB23" s="109">
        <v>40.200000000000003</v>
      </c>
      <c r="AC23" s="109">
        <v>49.7</v>
      </c>
      <c r="AD23" s="109">
        <v>54.2</v>
      </c>
      <c r="AE23" s="109">
        <v>44</v>
      </c>
      <c r="AF23" s="109">
        <v>55.1</v>
      </c>
      <c r="AG23" s="109">
        <v>42.3</v>
      </c>
      <c r="AH23" s="109">
        <v>49.5</v>
      </c>
      <c r="AI23" s="109">
        <v>47.6</v>
      </c>
      <c r="AJ23" s="109">
        <v>47.4</v>
      </c>
      <c r="AK23" s="109">
        <v>55.5</v>
      </c>
      <c r="AL23" s="109">
        <v>52.2</v>
      </c>
      <c r="AM23" s="109">
        <v>53</v>
      </c>
      <c r="AN23" s="109">
        <v>47.8</v>
      </c>
      <c r="AO23" s="109">
        <v>46.1</v>
      </c>
      <c r="AP23" s="109">
        <v>47.6</v>
      </c>
      <c r="AQ23" s="109">
        <v>46.9</v>
      </c>
      <c r="AR23" s="109">
        <v>49.2</v>
      </c>
      <c r="AS23" s="109">
        <v>56.1</v>
      </c>
      <c r="AT23" s="109">
        <v>48.7</v>
      </c>
      <c r="AU23" s="109">
        <v>46.4</v>
      </c>
      <c r="AV23" s="109">
        <v>55.7</v>
      </c>
      <c r="AW23" s="109">
        <v>53.4</v>
      </c>
      <c r="AX23" s="109">
        <v>54.9</v>
      </c>
      <c r="AY23" s="109">
        <v>54.6</v>
      </c>
      <c r="AZ23" s="109">
        <v>47.3</v>
      </c>
      <c r="BA23" s="109">
        <v>50</v>
      </c>
      <c r="BB23" s="109">
        <v>52.5</v>
      </c>
      <c r="BC23" s="109">
        <v>52.6</v>
      </c>
      <c r="BD23" s="109">
        <v>46.5</v>
      </c>
      <c r="BE23" s="109">
        <v>54.5</v>
      </c>
      <c r="BF23" s="109">
        <v>51.1</v>
      </c>
      <c r="BG23" s="109">
        <v>53.8</v>
      </c>
      <c r="BH23" s="109">
        <v>45.8</v>
      </c>
      <c r="BI23" s="109">
        <v>53.7</v>
      </c>
      <c r="BJ23" s="109">
        <v>46.5</v>
      </c>
      <c r="BK23" s="109">
        <v>48.9</v>
      </c>
      <c r="BL23" s="109">
        <v>47</v>
      </c>
      <c r="BM23" s="109">
        <v>55.1</v>
      </c>
      <c r="BN23" s="109">
        <v>54.5</v>
      </c>
      <c r="BO23" s="109">
        <v>49.2</v>
      </c>
      <c r="BP23" s="109">
        <v>47.2</v>
      </c>
      <c r="BQ23" s="109">
        <v>48.9</v>
      </c>
      <c r="BR23" s="109">
        <v>50</v>
      </c>
      <c r="BS23" s="109">
        <v>56.7</v>
      </c>
      <c r="BT23" s="109">
        <v>55.7</v>
      </c>
      <c r="BU23" s="109">
        <v>52.2</v>
      </c>
      <c r="BV23" s="109"/>
      <c r="BW23" s="109"/>
      <c r="BX23" s="109">
        <v>54.7</v>
      </c>
      <c r="BY23" s="109">
        <v>45.7</v>
      </c>
      <c r="BZ23" s="109">
        <v>56.7</v>
      </c>
      <c r="CA23" s="109">
        <v>47.8</v>
      </c>
      <c r="CB23" s="109">
        <v>49.8</v>
      </c>
      <c r="CC23" s="109">
        <v>51.2</v>
      </c>
      <c r="CD23" s="109">
        <v>50.7</v>
      </c>
      <c r="CE23" s="109">
        <v>46.1</v>
      </c>
      <c r="CF23" s="109">
        <v>55.2</v>
      </c>
      <c r="CG23" s="109">
        <v>59.7</v>
      </c>
      <c r="CH23" s="109">
        <v>55.3</v>
      </c>
      <c r="CI23" s="109">
        <v>60.4</v>
      </c>
      <c r="CJ23" s="109">
        <v>46.9</v>
      </c>
      <c r="CK23" s="109">
        <v>53.4</v>
      </c>
      <c r="CL23" s="109">
        <v>50.7</v>
      </c>
      <c r="CM23" s="109">
        <v>49.5</v>
      </c>
      <c r="CN23" s="109">
        <v>49.4</v>
      </c>
      <c r="CO23" s="109">
        <v>48.7</v>
      </c>
      <c r="CP23" s="109">
        <v>46.6</v>
      </c>
      <c r="CQ23" s="109">
        <v>54</v>
      </c>
      <c r="CR23" s="109">
        <v>45.8</v>
      </c>
      <c r="CS23" s="109">
        <v>52.4</v>
      </c>
      <c r="CT23" s="109">
        <v>47.6</v>
      </c>
      <c r="CU23" s="109">
        <v>50.1</v>
      </c>
      <c r="CV23" s="109">
        <v>51.8</v>
      </c>
      <c r="CW23" s="109">
        <v>49.8</v>
      </c>
      <c r="CX23">
        <v>42.7</v>
      </c>
    </row>
    <row r="24" spans="1:102" x14ac:dyDescent="0.25">
      <c r="A24" s="106">
        <v>2015</v>
      </c>
      <c r="B24" s="109">
        <v>55.1</v>
      </c>
      <c r="C24" s="109">
        <v>50.3</v>
      </c>
      <c r="D24" s="109">
        <v>54.1</v>
      </c>
      <c r="E24" s="109">
        <v>48.2</v>
      </c>
      <c r="F24" s="109">
        <v>57.8</v>
      </c>
      <c r="G24" s="109">
        <v>56.5</v>
      </c>
      <c r="H24" s="109">
        <v>56</v>
      </c>
      <c r="I24" s="109">
        <v>53.7</v>
      </c>
      <c r="J24" s="109">
        <v>59.4</v>
      </c>
      <c r="K24" s="109">
        <v>57.7</v>
      </c>
      <c r="L24" s="109">
        <v>59.6</v>
      </c>
      <c r="M24" s="109">
        <v>57.7</v>
      </c>
      <c r="N24" s="109">
        <v>55.2</v>
      </c>
      <c r="O24" s="109">
        <v>58</v>
      </c>
      <c r="P24" s="109">
        <v>57.2</v>
      </c>
      <c r="Q24" s="109">
        <v>56.9</v>
      </c>
      <c r="R24" s="109">
        <v>58.9</v>
      </c>
      <c r="S24" s="109">
        <v>62.7</v>
      </c>
      <c r="T24" s="109">
        <v>55.6</v>
      </c>
      <c r="U24" s="109">
        <v>41.3</v>
      </c>
      <c r="V24" s="109">
        <v>60.7</v>
      </c>
      <c r="W24" s="109">
        <v>56.8</v>
      </c>
      <c r="X24" s="109">
        <v>59.2</v>
      </c>
      <c r="Y24" s="109">
        <v>58.5</v>
      </c>
      <c r="Z24" s="109">
        <v>55.1</v>
      </c>
      <c r="AA24" s="109">
        <v>48.9</v>
      </c>
      <c r="AB24" s="109">
        <v>46.4</v>
      </c>
      <c r="AC24" s="109">
        <v>56.8</v>
      </c>
      <c r="AD24" s="109">
        <v>54.5</v>
      </c>
      <c r="AE24" s="109">
        <v>56.4</v>
      </c>
      <c r="AF24" s="109">
        <v>59.1</v>
      </c>
      <c r="AG24" s="109">
        <v>58.1</v>
      </c>
      <c r="AH24" s="109">
        <v>56.3</v>
      </c>
      <c r="AI24" s="109">
        <v>58</v>
      </c>
      <c r="AJ24" s="109">
        <v>57.8</v>
      </c>
      <c r="AK24" s="109">
        <v>52.1</v>
      </c>
      <c r="AL24" s="109">
        <v>53.6</v>
      </c>
      <c r="AM24" s="109">
        <v>60.5</v>
      </c>
      <c r="AN24" s="109">
        <v>54.4</v>
      </c>
      <c r="AO24" s="109">
        <v>54.3</v>
      </c>
      <c r="AP24" s="109">
        <v>59.6</v>
      </c>
      <c r="AQ24" s="109">
        <v>55.6</v>
      </c>
      <c r="AR24" s="109">
        <v>52.1</v>
      </c>
      <c r="AS24" s="109">
        <v>55.8</v>
      </c>
      <c r="AT24" s="109">
        <v>59.9</v>
      </c>
      <c r="AU24" s="109">
        <v>56.6</v>
      </c>
      <c r="AV24" s="109">
        <v>60.2</v>
      </c>
      <c r="AW24" s="109">
        <v>56.2</v>
      </c>
      <c r="AX24" s="109">
        <v>58.3</v>
      </c>
      <c r="AY24" s="109">
        <v>57.9</v>
      </c>
      <c r="AZ24" s="109">
        <v>50.1</v>
      </c>
      <c r="BA24" s="109">
        <v>55.4</v>
      </c>
      <c r="BB24" s="109">
        <v>55.2</v>
      </c>
      <c r="BC24" s="109">
        <v>53.4</v>
      </c>
      <c r="BD24" s="109">
        <v>61</v>
      </c>
      <c r="BE24" s="109">
        <v>47</v>
      </c>
      <c r="BF24" s="109">
        <v>56.2</v>
      </c>
      <c r="BG24" s="109">
        <v>57.5</v>
      </c>
      <c r="BH24" s="109">
        <v>49.1</v>
      </c>
      <c r="BI24" s="109">
        <v>61.1</v>
      </c>
      <c r="BJ24" s="109">
        <v>53.9</v>
      </c>
      <c r="BK24" s="109">
        <v>55.6</v>
      </c>
      <c r="BL24" s="109">
        <v>56</v>
      </c>
      <c r="BM24" s="109">
        <v>59.4</v>
      </c>
      <c r="BN24" s="109"/>
      <c r="BO24" s="109">
        <v>59.7</v>
      </c>
      <c r="BP24" s="109">
        <v>52.4</v>
      </c>
      <c r="BQ24" s="109">
        <v>50.9</v>
      </c>
      <c r="BR24" s="109">
        <v>51</v>
      </c>
      <c r="BS24" s="109">
        <v>56.2</v>
      </c>
      <c r="BT24" s="109">
        <v>62.6</v>
      </c>
      <c r="BU24" s="109">
        <v>59.8</v>
      </c>
      <c r="BV24" s="109">
        <v>48.1</v>
      </c>
      <c r="BW24" s="109"/>
      <c r="BX24" s="109">
        <v>49.8</v>
      </c>
      <c r="BY24" s="109">
        <v>59.5</v>
      </c>
      <c r="BZ24" s="109">
        <v>60.1</v>
      </c>
      <c r="CA24" s="109">
        <v>58</v>
      </c>
      <c r="CB24" s="109">
        <v>52.4</v>
      </c>
      <c r="CC24" s="109">
        <v>58.5</v>
      </c>
      <c r="CD24" s="109">
        <v>56.3</v>
      </c>
      <c r="CE24" s="109">
        <v>43.2</v>
      </c>
      <c r="CF24" s="109">
        <v>60.7</v>
      </c>
      <c r="CG24" s="109">
        <v>61.1</v>
      </c>
      <c r="CH24" s="109">
        <v>57.2</v>
      </c>
      <c r="CI24" s="109">
        <v>64.099999999999994</v>
      </c>
      <c r="CJ24" s="109">
        <v>51</v>
      </c>
      <c r="CK24" s="109">
        <v>57.9</v>
      </c>
      <c r="CL24" s="109"/>
      <c r="CM24" s="109">
        <v>46.7</v>
      </c>
      <c r="CN24" s="109">
        <v>46.1</v>
      </c>
      <c r="CO24" s="109">
        <v>48.5</v>
      </c>
      <c r="CP24" s="109">
        <v>53.6</v>
      </c>
      <c r="CQ24" s="109">
        <v>58.9</v>
      </c>
      <c r="CR24" s="109">
        <v>45</v>
      </c>
      <c r="CS24" s="109">
        <v>54.9</v>
      </c>
      <c r="CT24" s="109">
        <v>59.4</v>
      </c>
      <c r="CU24" s="109">
        <v>55.6</v>
      </c>
      <c r="CV24" s="109">
        <v>56.4</v>
      </c>
      <c r="CW24" s="109">
        <v>59.4</v>
      </c>
      <c r="CX24">
        <v>59</v>
      </c>
    </row>
    <row r="25" spans="1:102" x14ac:dyDescent="0.25">
      <c r="A25" s="106">
        <v>2016</v>
      </c>
      <c r="B25" s="109">
        <v>59.3</v>
      </c>
      <c r="C25" s="109">
        <v>56.5</v>
      </c>
      <c r="D25" s="109">
        <v>56.8</v>
      </c>
      <c r="E25" s="109">
        <v>55.9</v>
      </c>
      <c r="F25" s="109">
        <v>62</v>
      </c>
      <c r="G25" s="109">
        <v>61.1</v>
      </c>
      <c r="H25" s="109">
        <v>61.8</v>
      </c>
      <c r="I25" s="109">
        <v>60.2</v>
      </c>
      <c r="J25" s="109">
        <v>62.1</v>
      </c>
      <c r="K25" s="109">
        <v>60.2</v>
      </c>
      <c r="L25" s="109">
        <v>60.2</v>
      </c>
      <c r="M25" s="109">
        <v>59.9</v>
      </c>
      <c r="N25" s="109">
        <v>62.3</v>
      </c>
      <c r="O25" s="109">
        <v>58.7</v>
      </c>
      <c r="P25" s="109">
        <v>59.6</v>
      </c>
      <c r="Q25" s="109">
        <v>60.5</v>
      </c>
      <c r="R25" s="109">
        <v>58.6</v>
      </c>
      <c r="S25" s="109">
        <v>69.599999999999994</v>
      </c>
      <c r="T25" s="109">
        <v>56</v>
      </c>
      <c r="U25" s="109">
        <v>49.9</v>
      </c>
      <c r="V25" s="109">
        <v>61.9</v>
      </c>
      <c r="W25" s="109">
        <v>63.2</v>
      </c>
      <c r="X25" s="109">
        <v>59.8</v>
      </c>
      <c r="Y25" s="109">
        <v>64.3</v>
      </c>
      <c r="Z25" s="109">
        <v>58.7</v>
      </c>
      <c r="AA25" s="109">
        <v>57.4</v>
      </c>
      <c r="AB25" s="109">
        <v>57.2</v>
      </c>
      <c r="AC25" s="109">
        <v>63.8</v>
      </c>
      <c r="AD25" s="109">
        <v>60.4</v>
      </c>
      <c r="AE25" s="109">
        <v>56.1</v>
      </c>
      <c r="AF25" s="109">
        <v>57.8</v>
      </c>
      <c r="AG25" s="109">
        <v>58.5</v>
      </c>
      <c r="AH25" s="109">
        <v>62.3</v>
      </c>
      <c r="AI25" s="109">
        <v>57.5</v>
      </c>
      <c r="AJ25" s="109">
        <v>60.5</v>
      </c>
      <c r="AK25" s="109">
        <v>55.5</v>
      </c>
      <c r="AL25" s="109">
        <v>63.5</v>
      </c>
      <c r="AM25" s="109">
        <v>64.8</v>
      </c>
      <c r="AN25" s="109">
        <v>58.4</v>
      </c>
      <c r="AO25" s="109">
        <v>61</v>
      </c>
      <c r="AP25" s="109">
        <v>62.4</v>
      </c>
      <c r="AQ25" s="109">
        <v>59.9</v>
      </c>
      <c r="AR25" s="109">
        <v>58.2</v>
      </c>
      <c r="AS25" s="109">
        <v>57.2</v>
      </c>
      <c r="AT25" s="109">
        <v>56.4</v>
      </c>
      <c r="AU25" s="109">
        <v>61</v>
      </c>
      <c r="AV25" s="109">
        <v>67.599999999999994</v>
      </c>
      <c r="AW25" s="109">
        <v>57.4</v>
      </c>
      <c r="AX25" s="109">
        <v>61.1</v>
      </c>
      <c r="AY25" s="109">
        <v>60.3</v>
      </c>
      <c r="AZ25" s="109">
        <v>55.1</v>
      </c>
      <c r="BA25" s="109">
        <v>56.1</v>
      </c>
      <c r="BB25" s="109">
        <v>60.4</v>
      </c>
      <c r="BC25" s="109">
        <v>57.1</v>
      </c>
      <c r="BD25" s="109">
        <v>63.4</v>
      </c>
      <c r="BE25" s="109">
        <v>61.4</v>
      </c>
      <c r="BF25" s="109">
        <v>60</v>
      </c>
      <c r="BG25" s="109">
        <v>56.4</v>
      </c>
      <c r="BH25" s="109">
        <v>54.4</v>
      </c>
      <c r="BI25" s="109">
        <v>66.099999999999994</v>
      </c>
      <c r="BJ25" s="109">
        <v>57.1</v>
      </c>
      <c r="BK25" s="109">
        <v>59.1</v>
      </c>
      <c r="BL25" s="109">
        <v>56.6</v>
      </c>
      <c r="BM25" s="109">
        <v>62.6</v>
      </c>
      <c r="BN25" s="109">
        <v>56.3</v>
      </c>
      <c r="BO25" s="109">
        <v>61</v>
      </c>
      <c r="BP25" s="109">
        <v>56.1</v>
      </c>
      <c r="BQ25" s="109">
        <v>57.3</v>
      </c>
      <c r="BR25" s="109">
        <v>57.8</v>
      </c>
      <c r="BS25" s="109">
        <v>60.8</v>
      </c>
      <c r="BT25" s="109">
        <v>63.9</v>
      </c>
      <c r="BU25" s="109">
        <v>56.1</v>
      </c>
      <c r="BV25" s="109"/>
      <c r="BW25" s="109"/>
      <c r="BX25" s="109">
        <v>57.5</v>
      </c>
      <c r="BY25" s="109">
        <v>59.7</v>
      </c>
      <c r="BZ25" s="109">
        <v>66.099999999999994</v>
      </c>
      <c r="CA25" s="109">
        <v>60.6</v>
      </c>
      <c r="CB25" s="109">
        <v>55.2</v>
      </c>
      <c r="CC25" s="109">
        <v>60.6</v>
      </c>
      <c r="CD25" s="109">
        <v>57.5</v>
      </c>
      <c r="CE25" s="109">
        <v>51.7</v>
      </c>
      <c r="CF25" s="109">
        <v>63.3</v>
      </c>
      <c r="CG25" s="109">
        <v>64.400000000000006</v>
      </c>
      <c r="CH25" s="109">
        <v>60.5</v>
      </c>
      <c r="CI25" s="109">
        <v>65.8</v>
      </c>
      <c r="CJ25" s="109">
        <v>58.4</v>
      </c>
      <c r="CK25" s="109">
        <v>63.5</v>
      </c>
      <c r="CL25" s="109">
        <v>51.6</v>
      </c>
      <c r="CM25" s="109">
        <v>56</v>
      </c>
      <c r="CN25" s="109">
        <v>56.6</v>
      </c>
      <c r="CO25" s="109">
        <v>58.1</v>
      </c>
      <c r="CP25" s="109">
        <v>54.3</v>
      </c>
      <c r="CQ25" s="109">
        <v>55.8</v>
      </c>
      <c r="CR25" s="109">
        <v>54.2</v>
      </c>
      <c r="CS25" s="109">
        <v>58.4</v>
      </c>
      <c r="CT25" s="109">
        <v>62.5</v>
      </c>
      <c r="CU25" s="109">
        <v>58.4</v>
      </c>
      <c r="CV25" s="109">
        <v>61.2</v>
      </c>
      <c r="CW25" s="109">
        <v>58.2</v>
      </c>
      <c r="CX25">
        <v>58.8</v>
      </c>
    </row>
    <row r="26" spans="1:102" x14ac:dyDescent="0.25">
      <c r="A26" s="106">
        <v>2017</v>
      </c>
      <c r="B26" s="109">
        <v>50.5</v>
      </c>
      <c r="C26" s="109">
        <v>52.6</v>
      </c>
      <c r="D26" s="109">
        <v>52.6</v>
      </c>
      <c r="E26" s="109">
        <v>50.7</v>
      </c>
      <c r="F26" s="109">
        <v>57.2</v>
      </c>
      <c r="G26" s="109">
        <v>57.6</v>
      </c>
      <c r="H26" s="109">
        <v>59.5</v>
      </c>
      <c r="I26" s="109">
        <v>56.7</v>
      </c>
      <c r="J26" s="109">
        <v>56.8</v>
      </c>
      <c r="K26" s="109">
        <v>55.9</v>
      </c>
      <c r="L26" s="109">
        <v>56.5</v>
      </c>
      <c r="M26" s="109">
        <v>55.9</v>
      </c>
      <c r="N26" s="109">
        <v>57.5</v>
      </c>
      <c r="O26" s="109">
        <v>60.4</v>
      </c>
      <c r="P26" s="109">
        <v>56.9</v>
      </c>
      <c r="Q26" s="109">
        <v>59.6</v>
      </c>
      <c r="R26" s="109">
        <v>55.2</v>
      </c>
      <c r="S26" s="109">
        <v>62.4</v>
      </c>
      <c r="T26" s="109">
        <v>50.4</v>
      </c>
      <c r="U26" s="109"/>
      <c r="V26" s="109">
        <v>57.6</v>
      </c>
      <c r="W26" s="109">
        <v>59</v>
      </c>
      <c r="X26" s="109">
        <v>59.7</v>
      </c>
      <c r="Y26" s="109">
        <v>61.3</v>
      </c>
      <c r="Z26" s="109">
        <v>54.6</v>
      </c>
      <c r="AA26" s="109">
        <v>37.6</v>
      </c>
      <c r="AB26" s="109"/>
      <c r="AC26" s="109">
        <v>63</v>
      </c>
      <c r="AD26" s="109">
        <v>59.6</v>
      </c>
      <c r="AE26" s="109">
        <v>57.7</v>
      </c>
      <c r="AF26" s="109">
        <v>59.6</v>
      </c>
      <c r="AG26" s="109">
        <v>58.9</v>
      </c>
      <c r="AH26" s="109">
        <v>56.3</v>
      </c>
      <c r="AI26" s="109">
        <v>54.1</v>
      </c>
      <c r="AJ26" s="109">
        <v>57</v>
      </c>
      <c r="AK26" s="109">
        <v>60.1</v>
      </c>
      <c r="AL26" s="109">
        <v>56.7</v>
      </c>
      <c r="AM26" s="109">
        <v>63.6</v>
      </c>
      <c r="AN26" s="109">
        <v>59.2</v>
      </c>
      <c r="AO26" s="109">
        <v>57.2</v>
      </c>
      <c r="AP26" s="109">
        <v>57.4</v>
      </c>
      <c r="AQ26" s="109">
        <v>59.7</v>
      </c>
      <c r="AR26" s="109">
        <v>53.7</v>
      </c>
      <c r="AS26" s="109">
        <v>60.5</v>
      </c>
      <c r="AT26" s="109">
        <v>51.6</v>
      </c>
      <c r="AU26" s="109">
        <v>58</v>
      </c>
      <c r="AV26" s="109">
        <v>62.1</v>
      </c>
      <c r="AW26" s="109">
        <v>56.7</v>
      </c>
      <c r="AX26" s="109">
        <v>59.2</v>
      </c>
      <c r="AY26" s="109">
        <v>60.5</v>
      </c>
      <c r="AZ26" s="109">
        <v>46.1</v>
      </c>
      <c r="BA26" s="109">
        <v>56.4</v>
      </c>
      <c r="BB26" s="109">
        <v>54.9</v>
      </c>
      <c r="BC26" s="109">
        <v>51.6</v>
      </c>
      <c r="BD26" s="109">
        <v>60.4</v>
      </c>
      <c r="BE26" s="109">
        <v>53.5</v>
      </c>
      <c r="BF26" s="109">
        <v>56</v>
      </c>
      <c r="BG26" s="109">
        <v>59</v>
      </c>
      <c r="BH26" s="109">
        <v>41.4</v>
      </c>
      <c r="BI26" s="109">
        <v>63.8</v>
      </c>
      <c r="BJ26" s="109">
        <v>52.5</v>
      </c>
      <c r="BK26" s="109">
        <v>54.4</v>
      </c>
      <c r="BL26" s="109">
        <v>52.9</v>
      </c>
      <c r="BM26" s="109">
        <v>63.5</v>
      </c>
      <c r="BN26" s="109">
        <v>55.7</v>
      </c>
      <c r="BO26" s="109">
        <v>54.4</v>
      </c>
      <c r="BP26" s="109">
        <v>57.1</v>
      </c>
      <c r="BQ26" s="109">
        <v>51</v>
      </c>
      <c r="BR26" s="109">
        <v>56.2</v>
      </c>
      <c r="BS26" s="109">
        <v>60.3</v>
      </c>
      <c r="BT26" s="109">
        <v>62.3</v>
      </c>
      <c r="BU26" s="109">
        <v>59.7</v>
      </c>
      <c r="BV26" s="109">
        <v>45</v>
      </c>
      <c r="BW26" s="109"/>
      <c r="BX26" s="109">
        <v>55.4</v>
      </c>
      <c r="BY26" s="109">
        <v>57.8</v>
      </c>
      <c r="BZ26" s="109">
        <v>59.6</v>
      </c>
      <c r="CA26" s="109">
        <v>58.2</v>
      </c>
      <c r="CB26" s="109">
        <v>57.1</v>
      </c>
      <c r="CC26" s="109">
        <v>57</v>
      </c>
      <c r="CD26" s="109">
        <v>56.6</v>
      </c>
      <c r="CE26" s="109">
        <v>48.8</v>
      </c>
      <c r="CF26" s="109">
        <v>57.8</v>
      </c>
      <c r="CG26" s="109">
        <v>63.4</v>
      </c>
      <c r="CH26" s="109">
        <v>58.2</v>
      </c>
      <c r="CI26" s="109">
        <v>65.2</v>
      </c>
      <c r="CJ26" s="109">
        <v>57.9</v>
      </c>
      <c r="CK26" s="109">
        <v>59.5</v>
      </c>
      <c r="CL26" s="109">
        <v>52.8</v>
      </c>
      <c r="CM26" s="109">
        <v>44.5</v>
      </c>
      <c r="CN26" s="109">
        <v>36.6</v>
      </c>
      <c r="CO26" s="109">
        <v>45</v>
      </c>
      <c r="CP26" s="109">
        <v>49.9</v>
      </c>
      <c r="CQ26" s="109">
        <v>61.7</v>
      </c>
      <c r="CR26" s="109"/>
      <c r="CS26" s="109">
        <v>57.9</v>
      </c>
      <c r="CT26" s="109">
        <v>59.9</v>
      </c>
      <c r="CU26" s="109">
        <v>54.6</v>
      </c>
      <c r="CV26" s="109">
        <v>58.1</v>
      </c>
      <c r="CW26" s="109">
        <v>54.8</v>
      </c>
      <c r="CX26">
        <v>57.9</v>
      </c>
    </row>
    <row r="27" spans="1:102" x14ac:dyDescent="0.25">
      <c r="A27" s="106">
        <v>2018</v>
      </c>
      <c r="B27" s="109">
        <v>50.1</v>
      </c>
      <c r="C27" s="109">
        <v>53.2</v>
      </c>
      <c r="D27" s="109">
        <v>52.8</v>
      </c>
      <c r="E27" s="109">
        <v>45.1</v>
      </c>
      <c r="F27" s="109">
        <v>52.3</v>
      </c>
      <c r="G27" s="109">
        <v>61</v>
      </c>
      <c r="H27" s="109">
        <v>58.4</v>
      </c>
      <c r="I27" s="109">
        <v>54.6</v>
      </c>
      <c r="J27" s="109">
        <v>57.3</v>
      </c>
      <c r="K27" s="109">
        <v>57.2</v>
      </c>
      <c r="L27" s="109">
        <v>55.5</v>
      </c>
      <c r="M27" s="109">
        <v>56.1</v>
      </c>
      <c r="N27" s="109">
        <v>53.1</v>
      </c>
      <c r="O27" s="109">
        <v>59</v>
      </c>
      <c r="P27" s="109">
        <v>52.6</v>
      </c>
      <c r="Q27" s="109">
        <v>63.3</v>
      </c>
      <c r="R27" s="109">
        <v>51.7</v>
      </c>
      <c r="S27" s="109">
        <v>64.3</v>
      </c>
      <c r="T27" s="109">
        <v>53.2</v>
      </c>
      <c r="U27" s="109">
        <v>47.9</v>
      </c>
      <c r="V27" s="109">
        <v>52.6</v>
      </c>
      <c r="W27" s="109">
        <v>58.8</v>
      </c>
      <c r="X27" s="109">
        <v>58.3</v>
      </c>
      <c r="Y27" s="109">
        <v>61.7</v>
      </c>
      <c r="Z27" s="109">
        <v>52.8</v>
      </c>
      <c r="AA27" s="109">
        <v>50.2</v>
      </c>
      <c r="AB27" s="109">
        <v>48</v>
      </c>
      <c r="AC27" s="109">
        <v>63.9</v>
      </c>
      <c r="AD27" s="109">
        <v>63.8</v>
      </c>
      <c r="AE27" s="109">
        <v>49.8</v>
      </c>
      <c r="AF27" s="109">
        <v>62</v>
      </c>
      <c r="AG27" s="109">
        <v>46.7</v>
      </c>
      <c r="AH27" s="109">
        <v>56.5</v>
      </c>
      <c r="AI27" s="109">
        <v>49.8</v>
      </c>
      <c r="AJ27" s="109">
        <v>58.5</v>
      </c>
      <c r="AK27" s="109">
        <v>50.6</v>
      </c>
      <c r="AL27" s="109">
        <v>55.5</v>
      </c>
      <c r="AM27" s="109">
        <v>61.9</v>
      </c>
      <c r="AN27" s="109">
        <v>52</v>
      </c>
      <c r="AO27" s="109">
        <v>49.9</v>
      </c>
      <c r="AP27" s="109">
        <v>53.2</v>
      </c>
      <c r="AQ27" s="109">
        <v>59.3</v>
      </c>
      <c r="AR27" s="109">
        <v>52.6</v>
      </c>
      <c r="AS27" s="109">
        <v>62.3</v>
      </c>
      <c r="AT27" s="109">
        <v>53.7</v>
      </c>
      <c r="AU27" s="109">
        <v>50.4</v>
      </c>
      <c r="AV27" s="109">
        <v>63.8</v>
      </c>
      <c r="AW27" s="109">
        <v>56</v>
      </c>
      <c r="AX27" s="109">
        <v>58.1</v>
      </c>
      <c r="AY27" s="109">
        <v>60.7</v>
      </c>
      <c r="AZ27" s="109">
        <v>62</v>
      </c>
      <c r="BA27" s="109">
        <v>59.9</v>
      </c>
      <c r="BB27" s="109">
        <v>60.1</v>
      </c>
      <c r="BC27" s="109">
        <v>57.7</v>
      </c>
      <c r="BD27" s="109">
        <v>54.2</v>
      </c>
      <c r="BE27" s="109">
        <v>64.7</v>
      </c>
      <c r="BF27" s="109">
        <v>57.7</v>
      </c>
      <c r="BG27" s="109">
        <v>58.1</v>
      </c>
      <c r="BH27" s="109">
        <v>41.5</v>
      </c>
      <c r="BI27" s="109">
        <v>60.6</v>
      </c>
      <c r="BJ27" s="109">
        <v>50.9</v>
      </c>
      <c r="BK27" s="109">
        <v>59.7</v>
      </c>
      <c r="BL27" s="109">
        <v>58.3</v>
      </c>
      <c r="BM27" s="109">
        <v>61.9</v>
      </c>
      <c r="BN27" s="109"/>
      <c r="BO27" s="109">
        <v>55.6</v>
      </c>
      <c r="BP27" s="109">
        <v>55.3</v>
      </c>
      <c r="BQ27" s="109">
        <v>50.4</v>
      </c>
      <c r="BR27" s="109">
        <v>51.8</v>
      </c>
      <c r="BS27" s="109">
        <v>61.7</v>
      </c>
      <c r="BT27" s="109">
        <v>59.9</v>
      </c>
      <c r="BU27" s="109">
        <v>57.2</v>
      </c>
      <c r="BV27" s="109">
        <v>52.1</v>
      </c>
      <c r="BW27" s="109"/>
      <c r="BX27" s="109">
        <v>50.5</v>
      </c>
      <c r="BY27" s="109">
        <v>48.8</v>
      </c>
      <c r="BZ27" s="109">
        <v>61.3</v>
      </c>
      <c r="CA27" s="109">
        <v>49.7</v>
      </c>
      <c r="CB27" s="109">
        <v>53.4</v>
      </c>
      <c r="CC27" s="109"/>
      <c r="CD27" s="109">
        <v>58.2</v>
      </c>
      <c r="CE27" s="109">
        <v>47.2</v>
      </c>
      <c r="CF27" s="109">
        <v>60.7</v>
      </c>
      <c r="CG27" s="109">
        <v>63.7</v>
      </c>
      <c r="CH27" s="109">
        <v>57.8</v>
      </c>
      <c r="CI27" s="109">
        <v>65.8</v>
      </c>
      <c r="CJ27" s="109">
        <v>52.8</v>
      </c>
      <c r="CK27" s="109">
        <v>60.1</v>
      </c>
      <c r="CL27" s="109"/>
      <c r="CM27" s="109">
        <v>48.6</v>
      </c>
      <c r="CN27" s="109">
        <v>54.2</v>
      </c>
      <c r="CO27" s="109">
        <v>60.2</v>
      </c>
      <c r="CP27" s="109">
        <v>52</v>
      </c>
      <c r="CQ27" s="109">
        <v>61.5</v>
      </c>
      <c r="CR27" s="109">
        <v>49</v>
      </c>
      <c r="CS27" s="109">
        <v>51.1</v>
      </c>
      <c r="CT27" s="109">
        <v>51.8</v>
      </c>
      <c r="CU27" s="109">
        <v>51.7</v>
      </c>
      <c r="CV27" s="109">
        <v>59.5</v>
      </c>
      <c r="CW27" s="109">
        <v>53.7</v>
      </c>
      <c r="CX27">
        <v>52.6</v>
      </c>
    </row>
    <row r="28" spans="1:102" x14ac:dyDescent="0.25">
      <c r="A28" s="106">
        <v>2019</v>
      </c>
      <c r="B28" s="109">
        <v>53.3</v>
      </c>
      <c r="C28" s="109"/>
      <c r="D28" s="109"/>
      <c r="E28" s="109"/>
      <c r="F28" s="109">
        <v>58.9</v>
      </c>
      <c r="G28" s="109">
        <v>57.9</v>
      </c>
      <c r="H28" s="109">
        <v>51.9</v>
      </c>
      <c r="I28" s="109">
        <v>53.2</v>
      </c>
      <c r="J28" s="109">
        <v>52.5</v>
      </c>
      <c r="K28" s="109">
        <v>55.2</v>
      </c>
      <c r="L28" s="109">
        <v>53.5</v>
      </c>
      <c r="M28" s="109">
        <v>55</v>
      </c>
      <c r="N28" s="109">
        <v>55.1</v>
      </c>
      <c r="O28" s="109">
        <v>58.8</v>
      </c>
      <c r="P28" s="109">
        <v>56.9</v>
      </c>
      <c r="Q28" s="109"/>
      <c r="R28" s="109">
        <v>52.7</v>
      </c>
      <c r="S28" s="109">
        <v>58.8</v>
      </c>
      <c r="T28" s="109">
        <v>54.5</v>
      </c>
      <c r="U28" s="109"/>
      <c r="V28" s="109">
        <v>50.9</v>
      </c>
      <c r="W28" s="109">
        <v>56.4</v>
      </c>
      <c r="X28" s="109">
        <v>59.5</v>
      </c>
      <c r="Y28" s="109">
        <v>61.9</v>
      </c>
      <c r="Z28" s="109">
        <v>54.4</v>
      </c>
      <c r="AA28" s="109">
        <v>54.6</v>
      </c>
      <c r="AB28" s="109"/>
      <c r="AC28" s="109"/>
      <c r="AD28" s="109">
        <v>55.1</v>
      </c>
      <c r="AE28" s="109">
        <v>51.3</v>
      </c>
      <c r="AF28" s="109">
        <v>60.2</v>
      </c>
      <c r="AG28" s="109"/>
      <c r="AH28" s="109">
        <v>55.5</v>
      </c>
      <c r="AI28" s="109">
        <v>54.3</v>
      </c>
      <c r="AJ28" s="109">
        <v>54.1</v>
      </c>
      <c r="AK28" s="109"/>
      <c r="AL28" s="109">
        <v>54.2</v>
      </c>
      <c r="AM28" s="109">
        <v>56.3</v>
      </c>
      <c r="AN28" s="109">
        <v>54.2</v>
      </c>
      <c r="AO28" s="109">
        <v>51.4</v>
      </c>
      <c r="AP28" s="109">
        <v>49.6</v>
      </c>
      <c r="AQ28" s="109">
        <v>53.9</v>
      </c>
      <c r="AR28" s="109"/>
      <c r="AS28" s="109">
        <v>56.9</v>
      </c>
      <c r="AT28" s="109">
        <v>52.1</v>
      </c>
      <c r="AU28" s="109">
        <v>54.9</v>
      </c>
      <c r="AV28" s="109"/>
      <c r="AW28" s="109">
        <v>52.3</v>
      </c>
      <c r="AX28" s="109"/>
      <c r="AY28" s="109">
        <v>56.5</v>
      </c>
      <c r="AZ28" s="109">
        <v>53.3</v>
      </c>
      <c r="BA28" s="109">
        <v>55.5</v>
      </c>
      <c r="BB28" s="109">
        <v>57.2</v>
      </c>
      <c r="BC28" s="109">
        <v>55.8</v>
      </c>
      <c r="BD28" s="109">
        <v>57.4</v>
      </c>
      <c r="BE28" s="109">
        <v>54.8</v>
      </c>
      <c r="BF28" s="109">
        <v>56.5</v>
      </c>
      <c r="BG28" s="109">
        <v>54.3</v>
      </c>
      <c r="BH28" s="109"/>
      <c r="BI28" s="109">
        <v>54.8</v>
      </c>
      <c r="BJ28" s="109">
        <v>52.3</v>
      </c>
      <c r="BK28" s="109">
        <v>53.7</v>
      </c>
      <c r="BL28" s="109">
        <v>54</v>
      </c>
      <c r="BM28" s="109">
        <v>60.6</v>
      </c>
      <c r="BN28" s="109"/>
      <c r="BO28" s="109">
        <v>49.8</v>
      </c>
      <c r="BP28" s="109">
        <v>55.8</v>
      </c>
      <c r="BQ28" s="109">
        <v>56.1</v>
      </c>
      <c r="BR28" s="109">
        <v>58.3</v>
      </c>
      <c r="BS28" s="109">
        <v>55.2</v>
      </c>
      <c r="BT28" s="109">
        <v>56</v>
      </c>
      <c r="BU28" s="109">
        <v>50.5</v>
      </c>
      <c r="BV28" s="109">
        <v>327.39999999999998</v>
      </c>
      <c r="BW28" s="109"/>
      <c r="BX28" s="109">
        <v>55.9</v>
      </c>
      <c r="BY28" s="109">
        <v>55.6</v>
      </c>
      <c r="BZ28" s="109"/>
      <c r="CA28" s="109"/>
      <c r="CB28" s="109">
        <v>51</v>
      </c>
      <c r="CC28" s="109">
        <v>58.5</v>
      </c>
      <c r="CD28" s="109">
        <v>53.4</v>
      </c>
      <c r="CE28" s="109"/>
      <c r="CF28" s="109">
        <v>59.3</v>
      </c>
      <c r="CG28" s="109">
        <v>60.5</v>
      </c>
      <c r="CH28" s="109">
        <v>58.7</v>
      </c>
      <c r="CI28" s="109">
        <v>60.8</v>
      </c>
      <c r="CJ28" s="109">
        <v>50</v>
      </c>
      <c r="CK28" s="109">
        <v>53.4</v>
      </c>
      <c r="CL28" s="109">
        <v>49.9</v>
      </c>
      <c r="CM28" s="109">
        <v>53.7</v>
      </c>
      <c r="CN28" s="109">
        <v>53.9</v>
      </c>
      <c r="CO28" s="109">
        <v>55.5</v>
      </c>
      <c r="CP28" s="109">
        <v>52.3</v>
      </c>
      <c r="CQ28" s="109">
        <v>54.7</v>
      </c>
      <c r="CR28" s="109">
        <v>52.5</v>
      </c>
      <c r="CS28" s="109">
        <v>49.1</v>
      </c>
      <c r="CT28" s="109">
        <v>54.2</v>
      </c>
      <c r="CU28" s="109">
        <v>55.6</v>
      </c>
      <c r="CV28" s="109">
        <v>56.8</v>
      </c>
      <c r="CW28" s="109">
        <v>51</v>
      </c>
      <c r="CX28">
        <v>54.1</v>
      </c>
    </row>
    <row r="29" spans="1:102" x14ac:dyDescent="0.25">
      <c r="A29" s="106">
        <v>2020</v>
      </c>
      <c r="B29" s="109">
        <v>48.1</v>
      </c>
      <c r="C29" s="109"/>
      <c r="D29" s="109">
        <v>58.8</v>
      </c>
      <c r="E29" s="109">
        <v>39.1</v>
      </c>
      <c r="F29" s="109">
        <v>48.3</v>
      </c>
      <c r="G29" s="109">
        <v>56.7</v>
      </c>
      <c r="H29" s="109">
        <v>54.2</v>
      </c>
      <c r="I29" s="109">
        <v>50.9</v>
      </c>
      <c r="J29" s="109"/>
      <c r="K29" s="109">
        <v>56.7</v>
      </c>
      <c r="L29" s="109"/>
      <c r="M29" s="109">
        <v>54.2</v>
      </c>
      <c r="N29" s="109">
        <v>47.7</v>
      </c>
      <c r="O29" s="109">
        <v>54.8</v>
      </c>
      <c r="P29" s="109">
        <v>49.3</v>
      </c>
      <c r="Q29" s="109">
        <v>56.4</v>
      </c>
      <c r="R29" s="109">
        <v>59.8</v>
      </c>
      <c r="S29" s="109">
        <v>57.2</v>
      </c>
      <c r="T29" s="109">
        <v>55.9</v>
      </c>
      <c r="U29" s="109">
        <v>45.9</v>
      </c>
      <c r="V29" s="109">
        <v>50.3</v>
      </c>
      <c r="W29" s="109">
        <v>60.1</v>
      </c>
      <c r="X29" s="109">
        <v>57</v>
      </c>
      <c r="Y29" s="109">
        <v>54.2</v>
      </c>
      <c r="Z29" s="109">
        <v>47.1</v>
      </c>
      <c r="AA29" s="109">
        <v>42</v>
      </c>
      <c r="AB29" s="109">
        <v>47.4</v>
      </c>
      <c r="AC29" s="109">
        <v>61.1</v>
      </c>
      <c r="AD29" s="109">
        <v>60.7</v>
      </c>
      <c r="AE29" s="109">
        <v>55.5</v>
      </c>
      <c r="AF29" s="109"/>
      <c r="AG29" s="109">
        <v>56</v>
      </c>
      <c r="AH29" s="109">
        <v>55.9</v>
      </c>
      <c r="AI29" s="109">
        <v>54</v>
      </c>
      <c r="AJ29" s="109">
        <v>55.4</v>
      </c>
      <c r="AK29" s="109">
        <v>54.8</v>
      </c>
      <c r="AL29" s="109">
        <v>49</v>
      </c>
      <c r="AM29" s="109">
        <v>60.9</v>
      </c>
      <c r="AN29" s="109">
        <v>45.5</v>
      </c>
      <c r="AO29" s="109">
        <v>51.5</v>
      </c>
      <c r="AP29" s="109">
        <v>60</v>
      </c>
      <c r="AQ29" s="109">
        <v>52.8</v>
      </c>
      <c r="AR29" s="109">
        <v>52.1</v>
      </c>
      <c r="AS29" s="109">
        <v>54.9</v>
      </c>
      <c r="AT29" s="109">
        <v>54.5</v>
      </c>
      <c r="AU29" s="109">
        <v>56.9</v>
      </c>
      <c r="AV29" s="109">
        <v>55.5</v>
      </c>
      <c r="AW29" s="109">
        <v>49.8</v>
      </c>
      <c r="AX29" s="109">
        <v>54.7</v>
      </c>
      <c r="AY29" s="109"/>
      <c r="AZ29" s="109">
        <v>53.8</v>
      </c>
      <c r="BA29" s="109">
        <v>51.8</v>
      </c>
      <c r="BB29" s="109">
        <v>54</v>
      </c>
      <c r="BC29" s="109">
        <v>51.6</v>
      </c>
      <c r="BD29" s="109">
        <v>60.2</v>
      </c>
      <c r="BE29" s="109">
        <v>52.1</v>
      </c>
      <c r="BF29" s="109"/>
      <c r="BG29" s="109">
        <v>53.3</v>
      </c>
      <c r="BH29" s="109">
        <v>43.8</v>
      </c>
      <c r="BI29" s="109">
        <v>60.8</v>
      </c>
      <c r="BJ29" s="109">
        <v>51.4</v>
      </c>
      <c r="BK29" s="109"/>
      <c r="BL29" s="109"/>
      <c r="BM29" s="109"/>
      <c r="BN29" s="109">
        <v>49.3</v>
      </c>
      <c r="BO29" s="109">
        <v>59.4</v>
      </c>
      <c r="BP29" s="109">
        <v>56</v>
      </c>
      <c r="BQ29" s="109">
        <v>45.4</v>
      </c>
      <c r="BR29" s="109">
        <v>49.2</v>
      </c>
      <c r="BS29" s="109">
        <v>55.6</v>
      </c>
      <c r="BT29" s="109">
        <v>62</v>
      </c>
      <c r="BU29" s="109"/>
      <c r="BV29" s="109"/>
      <c r="BW29" s="109">
        <v>56.6</v>
      </c>
      <c r="BX29" s="109">
        <v>52.4</v>
      </c>
      <c r="BY29" s="109"/>
      <c r="BZ29" s="109"/>
      <c r="CA29" s="109">
        <v>54.6</v>
      </c>
      <c r="CB29" s="109">
        <v>50.2</v>
      </c>
      <c r="CC29" s="109">
        <v>48</v>
      </c>
      <c r="CD29" s="109">
        <v>54.8</v>
      </c>
      <c r="CE29" s="109">
        <v>50.6</v>
      </c>
      <c r="CF29" s="109">
        <v>47.1</v>
      </c>
      <c r="CG29" s="109">
        <v>61</v>
      </c>
      <c r="CH29" s="109">
        <v>52.8</v>
      </c>
      <c r="CI29" s="109"/>
      <c r="CJ29" s="109">
        <v>52.2</v>
      </c>
      <c r="CK29" s="109">
        <v>56.2</v>
      </c>
      <c r="CL29" s="109">
        <v>47</v>
      </c>
      <c r="CM29" s="109">
        <v>52.1</v>
      </c>
      <c r="CN29" s="109">
        <v>44.2</v>
      </c>
      <c r="CO29" s="109">
        <v>52</v>
      </c>
      <c r="CP29" s="109">
        <v>49.5</v>
      </c>
      <c r="CQ29" s="109">
        <v>53.2</v>
      </c>
      <c r="CR29" s="109">
        <v>44.6</v>
      </c>
      <c r="CS29" s="109">
        <v>50.4</v>
      </c>
      <c r="CT29" s="109">
        <v>60.8</v>
      </c>
      <c r="CU29" s="109">
        <v>53.6</v>
      </c>
      <c r="CV29" s="109">
        <v>56.6</v>
      </c>
      <c r="CW29" s="109">
        <v>58.2</v>
      </c>
      <c r="CX29">
        <v>55.9</v>
      </c>
    </row>
    <row r="30" spans="1:102" x14ac:dyDescent="0.25">
      <c r="A30" s="106">
        <v>2021</v>
      </c>
      <c r="B30" s="109"/>
      <c r="C30" s="109"/>
      <c r="D30" s="109">
        <v>61.9</v>
      </c>
      <c r="E30" s="109">
        <v>57.5</v>
      </c>
      <c r="F30" s="109">
        <v>67.3</v>
      </c>
      <c r="G30" s="109">
        <v>67.099999999999994</v>
      </c>
      <c r="H30" s="109">
        <v>60.1</v>
      </c>
      <c r="I30" s="109">
        <v>64.400000000000006</v>
      </c>
      <c r="J30" s="109">
        <v>62</v>
      </c>
      <c r="K30" s="109">
        <v>63.4</v>
      </c>
      <c r="L30" s="109">
        <v>63.8</v>
      </c>
      <c r="M30" s="109">
        <v>60.8</v>
      </c>
      <c r="N30" s="109">
        <v>63.5</v>
      </c>
      <c r="O30" s="109">
        <v>65.3</v>
      </c>
      <c r="P30" s="109">
        <v>63.3</v>
      </c>
      <c r="Q30" s="109">
        <v>65.3</v>
      </c>
      <c r="R30" s="109">
        <v>61</v>
      </c>
      <c r="S30" s="109"/>
      <c r="T30" s="109"/>
      <c r="U30" s="109">
        <v>57.7</v>
      </c>
      <c r="V30" s="109">
        <v>62.4</v>
      </c>
      <c r="W30" s="109"/>
      <c r="X30" s="109">
        <v>63.9</v>
      </c>
      <c r="Y30" s="109">
        <v>63.5</v>
      </c>
      <c r="Z30" s="109">
        <v>63.6</v>
      </c>
      <c r="AA30" s="109">
        <v>56.7</v>
      </c>
      <c r="AB30" s="109">
        <v>57</v>
      </c>
      <c r="AC30" s="109">
        <v>66.400000000000006</v>
      </c>
      <c r="AD30" s="109"/>
      <c r="AE30" s="109">
        <v>56</v>
      </c>
      <c r="AF30" s="109">
        <v>70.5</v>
      </c>
      <c r="AG30" s="109">
        <v>59.6</v>
      </c>
      <c r="AH30" s="109">
        <v>64.400000000000006</v>
      </c>
      <c r="AI30" s="109"/>
      <c r="AJ30" s="109">
        <v>59.7</v>
      </c>
      <c r="AK30" s="109">
        <v>63.1</v>
      </c>
      <c r="AL30" s="109">
        <v>64.099999999999994</v>
      </c>
      <c r="AM30" s="109">
        <v>66.5</v>
      </c>
      <c r="AN30" s="109"/>
      <c r="AO30" s="109">
        <v>62.2</v>
      </c>
      <c r="AP30" s="109">
        <v>63.5</v>
      </c>
      <c r="AQ30" s="109">
        <v>65</v>
      </c>
      <c r="AR30" s="109"/>
      <c r="AS30" s="109">
        <v>58.3</v>
      </c>
      <c r="AT30" s="109">
        <v>60.3</v>
      </c>
      <c r="AU30" s="109">
        <v>62.4</v>
      </c>
      <c r="AV30" s="109">
        <v>65.599999999999994</v>
      </c>
      <c r="AW30" s="109"/>
      <c r="AX30" s="109"/>
      <c r="AY30" s="109">
        <v>67.3</v>
      </c>
      <c r="AZ30" s="109">
        <v>53.9</v>
      </c>
      <c r="BA30" s="109"/>
      <c r="BB30" s="109">
        <v>64.5</v>
      </c>
      <c r="BC30" s="109"/>
      <c r="BD30" s="109">
        <v>60.4</v>
      </c>
      <c r="BE30" s="109">
        <v>59.7</v>
      </c>
      <c r="BF30" s="109"/>
      <c r="BG30" s="109"/>
      <c r="BH30" s="109">
        <v>54.1</v>
      </c>
      <c r="BI30" s="109">
        <v>63.6</v>
      </c>
      <c r="BJ30" s="109">
        <v>58.8</v>
      </c>
      <c r="BK30" s="109">
        <v>62</v>
      </c>
      <c r="BL30" s="109">
        <v>60.6</v>
      </c>
      <c r="BM30" s="109">
        <v>67.099999999999994</v>
      </c>
      <c r="BN30" s="109"/>
      <c r="BO30" s="109">
        <v>62.5</v>
      </c>
      <c r="BP30" s="109">
        <v>61.8</v>
      </c>
      <c r="BQ30" s="109">
        <v>59.3</v>
      </c>
      <c r="BR30" s="109">
        <v>63</v>
      </c>
      <c r="BS30" s="109">
        <v>62.6</v>
      </c>
      <c r="BT30" s="109">
        <v>66.400000000000006</v>
      </c>
      <c r="BU30" s="109">
        <v>62.9</v>
      </c>
      <c r="BV30" s="109"/>
      <c r="BW30" s="109">
        <v>63.2</v>
      </c>
      <c r="BX30" s="109">
        <v>62.6</v>
      </c>
      <c r="BY30" s="109">
        <v>61.6</v>
      </c>
      <c r="BZ30" s="109"/>
      <c r="CA30" s="109">
        <v>65</v>
      </c>
      <c r="CB30" s="109">
        <v>64.599999999999994</v>
      </c>
      <c r="CC30" s="109">
        <v>64.400000000000006</v>
      </c>
      <c r="CD30" s="109"/>
      <c r="CE30" s="109">
        <v>54</v>
      </c>
      <c r="CF30" s="109"/>
      <c r="CG30" s="109">
        <v>68.099999999999994</v>
      </c>
      <c r="CH30" s="109"/>
      <c r="CI30" s="109">
        <v>70.5</v>
      </c>
      <c r="CJ30" s="109">
        <v>63.6</v>
      </c>
      <c r="CK30" s="109">
        <v>66.3</v>
      </c>
      <c r="CL30" s="109">
        <v>61.3</v>
      </c>
      <c r="CM30" s="109">
        <v>61.9</v>
      </c>
      <c r="CN30" s="109">
        <v>53</v>
      </c>
      <c r="CO30" s="109">
        <v>59</v>
      </c>
      <c r="CP30" s="109"/>
      <c r="CQ30" s="109"/>
      <c r="CR30" s="109">
        <v>57.1</v>
      </c>
      <c r="CS30" s="109">
        <v>64.599999999999994</v>
      </c>
      <c r="CT30" s="109">
        <v>61.6</v>
      </c>
      <c r="CU30" s="109">
        <v>61.8</v>
      </c>
      <c r="CV30" s="109"/>
      <c r="CW30" s="109">
        <v>60.1</v>
      </c>
      <c r="CX30">
        <v>61</v>
      </c>
    </row>
    <row r="31" spans="1:102" x14ac:dyDescent="0.25">
      <c r="A31" s="106">
        <v>2022</v>
      </c>
      <c r="B31" s="109">
        <v>47.5</v>
      </c>
      <c r="C31" s="109"/>
      <c r="D31" s="109">
        <v>61.2</v>
      </c>
      <c r="E31" s="109">
        <v>40.4</v>
      </c>
      <c r="F31" s="109">
        <v>57.9</v>
      </c>
      <c r="G31" s="109">
        <v>66.099999999999994</v>
      </c>
      <c r="H31" s="109">
        <v>64.5</v>
      </c>
      <c r="I31" s="109">
        <v>60.4</v>
      </c>
      <c r="J31" s="109">
        <v>66.7</v>
      </c>
      <c r="K31" s="109">
        <v>65</v>
      </c>
      <c r="L31" s="109">
        <v>57.2</v>
      </c>
      <c r="M31" s="109">
        <v>61.6</v>
      </c>
      <c r="N31" s="109">
        <v>61.2</v>
      </c>
      <c r="O31" s="109">
        <v>58.9</v>
      </c>
      <c r="P31" s="109">
        <v>51.2</v>
      </c>
      <c r="Q31" s="109">
        <v>67</v>
      </c>
      <c r="R31" s="109">
        <v>60.8</v>
      </c>
      <c r="S31" s="109">
        <v>59.6</v>
      </c>
      <c r="T31" s="109">
        <v>63.6</v>
      </c>
      <c r="U31" s="109">
        <v>40.200000000000003</v>
      </c>
      <c r="V31" s="109">
        <v>56.9</v>
      </c>
      <c r="W31" s="109">
        <v>64.5</v>
      </c>
      <c r="X31" s="109">
        <v>66</v>
      </c>
      <c r="Y31" s="109">
        <v>62.8</v>
      </c>
      <c r="Z31" s="109">
        <v>59.8</v>
      </c>
      <c r="AA31" s="109">
        <v>44.6</v>
      </c>
      <c r="AB31" s="109">
        <v>37.9</v>
      </c>
      <c r="AC31" s="109">
        <v>67.400000000000006</v>
      </c>
      <c r="AD31" s="109">
        <v>66.900000000000006</v>
      </c>
      <c r="AE31" s="109">
        <v>58.8</v>
      </c>
      <c r="AF31" s="109">
        <v>68.599999999999994</v>
      </c>
      <c r="AG31" s="109">
        <v>62.8</v>
      </c>
      <c r="AH31" s="109">
        <v>63.4</v>
      </c>
      <c r="AI31" s="109">
        <v>61.9</v>
      </c>
      <c r="AJ31" s="109">
        <v>62.8</v>
      </c>
      <c r="AK31" s="109">
        <v>53.4</v>
      </c>
      <c r="AL31" s="109">
        <v>59</v>
      </c>
      <c r="AM31" s="109">
        <v>64.900000000000006</v>
      </c>
      <c r="AN31" s="109">
        <v>58.6</v>
      </c>
      <c r="AO31" s="109">
        <v>61.3</v>
      </c>
      <c r="AP31" s="109">
        <v>63</v>
      </c>
      <c r="AQ31" s="109">
        <v>63.4</v>
      </c>
      <c r="AR31" s="109">
        <v>52.4</v>
      </c>
      <c r="AS31" s="109">
        <v>60.3</v>
      </c>
      <c r="AT31" s="109">
        <v>60.9</v>
      </c>
      <c r="AU31" s="109">
        <v>59</v>
      </c>
      <c r="AV31" s="109">
        <v>63.1</v>
      </c>
      <c r="AW31" s="109">
        <v>61.6</v>
      </c>
      <c r="AX31" s="109">
        <v>66.3</v>
      </c>
      <c r="AY31" s="109">
        <v>60.1</v>
      </c>
      <c r="AZ31" s="109">
        <v>50.7</v>
      </c>
      <c r="BA31" s="109">
        <v>62.1</v>
      </c>
      <c r="BB31" s="109">
        <v>61.7</v>
      </c>
      <c r="BC31" s="109">
        <v>53.1</v>
      </c>
      <c r="BD31" s="109">
        <v>56.2</v>
      </c>
      <c r="BE31" s="109">
        <v>54.6</v>
      </c>
      <c r="BF31" s="109">
        <v>64.599999999999994</v>
      </c>
      <c r="BG31" s="109">
        <v>61.4</v>
      </c>
      <c r="BH31" s="109">
        <v>43.1</v>
      </c>
      <c r="BI31" s="109">
        <v>62.2</v>
      </c>
      <c r="BJ31" s="109">
        <v>55.4</v>
      </c>
      <c r="BK31" s="109">
        <v>59.3</v>
      </c>
      <c r="BL31" s="109">
        <v>57.8</v>
      </c>
      <c r="BM31" s="109">
        <v>65</v>
      </c>
      <c r="BN31" s="109">
        <v>52.1</v>
      </c>
      <c r="BO31" s="109">
        <v>64.599999999999994</v>
      </c>
      <c r="BP31" s="109">
        <v>48.6</v>
      </c>
      <c r="BQ31" s="109">
        <v>47.4</v>
      </c>
      <c r="BR31" s="109">
        <v>54.8</v>
      </c>
      <c r="BS31" s="109">
        <v>65.5</v>
      </c>
      <c r="BT31" s="109">
        <v>59.4</v>
      </c>
      <c r="BU31" s="109">
        <v>56.3</v>
      </c>
      <c r="BV31" s="109"/>
      <c r="BW31" s="109">
        <v>47.9</v>
      </c>
      <c r="BX31" s="109">
        <v>54</v>
      </c>
      <c r="BY31" s="109">
        <v>57.9</v>
      </c>
      <c r="BZ31" s="109">
        <v>47.8</v>
      </c>
      <c r="CA31" s="109">
        <v>56.5</v>
      </c>
      <c r="CB31" s="109">
        <v>54.1</v>
      </c>
      <c r="CC31" s="109">
        <v>51</v>
      </c>
      <c r="CD31" s="109">
        <v>60.4</v>
      </c>
      <c r="CE31" s="109">
        <v>41.8</v>
      </c>
      <c r="CF31" s="109">
        <v>61.3</v>
      </c>
      <c r="CG31" s="109">
        <v>69.099999999999994</v>
      </c>
      <c r="CH31" s="109">
        <v>58</v>
      </c>
      <c r="CI31" s="109">
        <v>62.9</v>
      </c>
      <c r="CJ31" s="109">
        <v>60</v>
      </c>
      <c r="CK31" s="109">
        <v>61.4</v>
      </c>
      <c r="CL31" s="109">
        <v>52.9</v>
      </c>
      <c r="CM31" s="109">
        <v>41.4</v>
      </c>
      <c r="CN31" s="109">
        <v>43.6</v>
      </c>
      <c r="CO31" s="109">
        <v>53.7</v>
      </c>
      <c r="CP31" s="109">
        <v>50.2</v>
      </c>
      <c r="CQ31" s="109">
        <v>57.2</v>
      </c>
      <c r="CR31" s="109"/>
      <c r="CS31" s="109">
        <v>57.5</v>
      </c>
      <c r="CT31" s="109">
        <v>64.400000000000006</v>
      </c>
      <c r="CU31" s="109">
        <v>66.3</v>
      </c>
      <c r="CV31" s="109">
        <v>56.4</v>
      </c>
      <c r="CW31" s="109">
        <v>62</v>
      </c>
      <c r="CX31">
        <v>60.6</v>
      </c>
    </row>
    <row r="32" spans="1:102" x14ac:dyDescent="0.25">
      <c r="A32" t="s">
        <v>278</v>
      </c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  <c r="L32">
        <v>11</v>
      </c>
      <c r="M32">
        <v>12</v>
      </c>
      <c r="N32">
        <v>13</v>
      </c>
      <c r="O32">
        <v>14</v>
      </c>
      <c r="P32">
        <v>15</v>
      </c>
      <c r="Q32">
        <v>16</v>
      </c>
      <c r="R32">
        <v>17</v>
      </c>
      <c r="S32">
        <v>18</v>
      </c>
      <c r="T32">
        <v>19</v>
      </c>
      <c r="U32">
        <v>20</v>
      </c>
      <c r="V32">
        <v>21</v>
      </c>
      <c r="W32">
        <v>22</v>
      </c>
      <c r="X32">
        <v>23</v>
      </c>
      <c r="Y32">
        <v>24</v>
      </c>
      <c r="Z32">
        <v>25</v>
      </c>
      <c r="AA32">
        <v>26</v>
      </c>
      <c r="AB32">
        <v>27</v>
      </c>
      <c r="AC32">
        <v>28</v>
      </c>
      <c r="AD32">
        <v>29</v>
      </c>
      <c r="AE32">
        <v>30</v>
      </c>
      <c r="AF32">
        <v>31</v>
      </c>
      <c r="AG32">
        <v>32</v>
      </c>
      <c r="AH32">
        <v>33</v>
      </c>
      <c r="AI32">
        <v>34</v>
      </c>
      <c r="AJ32">
        <v>35</v>
      </c>
      <c r="AK32">
        <v>36</v>
      </c>
      <c r="AL32">
        <v>37</v>
      </c>
      <c r="AM32">
        <v>38</v>
      </c>
      <c r="AN32">
        <v>39</v>
      </c>
      <c r="AO32">
        <v>40</v>
      </c>
      <c r="AP32">
        <v>41</v>
      </c>
      <c r="AQ32">
        <v>42</v>
      </c>
      <c r="AR32">
        <v>43</v>
      </c>
      <c r="AS32">
        <v>44</v>
      </c>
      <c r="AT32">
        <v>45</v>
      </c>
      <c r="AU32">
        <v>46</v>
      </c>
      <c r="AV32">
        <v>47</v>
      </c>
      <c r="AW32">
        <v>48</v>
      </c>
      <c r="AX32">
        <v>49</v>
      </c>
      <c r="AY32">
        <v>50</v>
      </c>
      <c r="AZ32">
        <v>51</v>
      </c>
      <c r="BA32">
        <v>52</v>
      </c>
      <c r="BB32">
        <v>53</v>
      </c>
      <c r="BC32">
        <v>54</v>
      </c>
      <c r="BD32">
        <v>55</v>
      </c>
      <c r="BE32">
        <v>56</v>
      </c>
      <c r="BF32">
        <v>57</v>
      </c>
      <c r="BG32">
        <v>58</v>
      </c>
      <c r="BH32">
        <v>59</v>
      </c>
      <c r="BI32">
        <v>60</v>
      </c>
      <c r="BJ32">
        <v>61</v>
      </c>
      <c r="BK32">
        <v>62</v>
      </c>
      <c r="BL32">
        <v>63</v>
      </c>
      <c r="BM32">
        <v>64</v>
      </c>
      <c r="BN32">
        <v>65</v>
      </c>
      <c r="BO32">
        <v>66</v>
      </c>
      <c r="BP32">
        <v>67</v>
      </c>
      <c r="BQ32">
        <v>68</v>
      </c>
      <c r="BR32">
        <v>69</v>
      </c>
      <c r="BS32">
        <v>70</v>
      </c>
      <c r="BT32">
        <v>71</v>
      </c>
      <c r="BU32">
        <v>72</v>
      </c>
      <c r="BV32">
        <v>73</v>
      </c>
      <c r="BW32">
        <v>74</v>
      </c>
      <c r="BX32">
        <v>75</v>
      </c>
      <c r="BY32">
        <v>76</v>
      </c>
      <c r="BZ32">
        <v>77</v>
      </c>
      <c r="CA32">
        <v>78</v>
      </c>
      <c r="CB32">
        <v>79</v>
      </c>
      <c r="CC32">
        <v>80</v>
      </c>
      <c r="CD32">
        <v>81</v>
      </c>
      <c r="CE32">
        <v>82</v>
      </c>
      <c r="CF32">
        <v>83</v>
      </c>
      <c r="CG32">
        <v>84</v>
      </c>
      <c r="CH32">
        <v>85</v>
      </c>
      <c r="CI32">
        <v>86</v>
      </c>
      <c r="CJ32">
        <v>87</v>
      </c>
      <c r="CK32">
        <v>88</v>
      </c>
      <c r="CL32">
        <v>89</v>
      </c>
      <c r="CM32">
        <v>90</v>
      </c>
      <c r="CN32">
        <v>91</v>
      </c>
      <c r="CO32">
        <v>92</v>
      </c>
      <c r="CP32">
        <v>93</v>
      </c>
      <c r="CQ32">
        <v>94</v>
      </c>
      <c r="CR32">
        <v>95</v>
      </c>
      <c r="CS32">
        <v>96</v>
      </c>
      <c r="CT32">
        <v>97</v>
      </c>
      <c r="CU32">
        <v>98</v>
      </c>
      <c r="CV32">
        <v>99</v>
      </c>
      <c r="CW32">
        <v>100</v>
      </c>
      <c r="CX32">
        <v>101</v>
      </c>
    </row>
    <row r="34" spans="1:10" x14ac:dyDescent="0.25">
      <c r="A34" t="s">
        <v>252</v>
      </c>
      <c r="B34">
        <f>VLOOKUP('Sensitivity Analysis'!B7,'Historic Yields S'!$E$73:$F$172,2,0)</f>
        <v>44</v>
      </c>
    </row>
    <row r="35" spans="1:10" x14ac:dyDescent="0.25">
      <c r="A35" t="s">
        <v>251</v>
      </c>
      <c r="B35">
        <f>'Sensitivity Analysis'!B24</f>
        <v>64.099999999999994</v>
      </c>
      <c r="C35">
        <f>'Sensitivity Analysis'!C24</f>
        <v>60.3</v>
      </c>
      <c r="D35">
        <f>'Sensitivity Analysis'!D24</f>
        <v>57</v>
      </c>
      <c r="E35">
        <f>'Sensitivity Analysis'!E24</f>
        <v>54</v>
      </c>
      <c r="F35">
        <f>'Sensitivity Analysis'!F24</f>
        <v>51.3</v>
      </c>
      <c r="G35">
        <f>'Sensitivity Analysis'!G24</f>
        <v>48.8</v>
      </c>
      <c r="H35">
        <f>'Sensitivity Analysis'!H24</f>
        <v>46.6</v>
      </c>
      <c r="I35">
        <f>'Sensitivity Analysis'!I24</f>
        <v>44.6</v>
      </c>
      <c r="J35">
        <f>'Sensitivity Analysis'!J24</f>
        <v>42.7</v>
      </c>
    </row>
    <row r="36" spans="1:10" x14ac:dyDescent="0.25">
      <c r="A36">
        <v>1</v>
      </c>
      <c r="B36">
        <f t="shared" ref="B36:J45" si="0">IF(INDEX($B$2:$CX$31,$A36,$B$34)&gt;0,IF(INDEX($B$2:$CX$31,$A36,$B$34)&lt;B$35,1,0),"N/A")</f>
        <v>1</v>
      </c>
      <c r="C36">
        <f t="shared" si="0"/>
        <v>1</v>
      </c>
      <c r="D36">
        <f t="shared" si="0"/>
        <v>1</v>
      </c>
      <c r="E36">
        <f t="shared" si="0"/>
        <v>1</v>
      </c>
      <c r="F36">
        <f t="shared" si="0"/>
        <v>1</v>
      </c>
      <c r="G36">
        <f t="shared" si="0"/>
        <v>1</v>
      </c>
      <c r="H36">
        <f t="shared" si="0"/>
        <v>1</v>
      </c>
      <c r="I36">
        <f t="shared" si="0"/>
        <v>1</v>
      </c>
      <c r="J36">
        <f t="shared" si="0"/>
        <v>1</v>
      </c>
    </row>
    <row r="37" spans="1:10" x14ac:dyDescent="0.25">
      <c r="A37">
        <f t="shared" ref="A37:A65" si="1">A36+1</f>
        <v>2</v>
      </c>
      <c r="B37">
        <f t="shared" si="0"/>
        <v>1</v>
      </c>
      <c r="C37">
        <f t="shared" si="0"/>
        <v>1</v>
      </c>
      <c r="D37">
        <f t="shared" si="0"/>
        <v>1</v>
      </c>
      <c r="E37">
        <f t="shared" si="0"/>
        <v>0</v>
      </c>
      <c r="F37">
        <f t="shared" si="0"/>
        <v>0</v>
      </c>
      <c r="G37">
        <f t="shared" si="0"/>
        <v>0</v>
      </c>
      <c r="H37">
        <f t="shared" si="0"/>
        <v>0</v>
      </c>
      <c r="I37">
        <f t="shared" si="0"/>
        <v>0</v>
      </c>
      <c r="J37">
        <f t="shared" si="0"/>
        <v>0</v>
      </c>
    </row>
    <row r="38" spans="1:10" x14ac:dyDescent="0.25">
      <c r="A38">
        <f t="shared" si="1"/>
        <v>3</v>
      </c>
      <c r="B38">
        <f t="shared" si="0"/>
        <v>1</v>
      </c>
      <c r="C38">
        <f t="shared" si="0"/>
        <v>1</v>
      </c>
      <c r="D38">
        <f t="shared" si="0"/>
        <v>1</v>
      </c>
      <c r="E38">
        <f t="shared" si="0"/>
        <v>1</v>
      </c>
      <c r="F38">
        <f t="shared" si="0"/>
        <v>1</v>
      </c>
      <c r="G38">
        <f t="shared" si="0"/>
        <v>1</v>
      </c>
      <c r="H38">
        <f t="shared" si="0"/>
        <v>1</v>
      </c>
      <c r="I38">
        <f t="shared" si="0"/>
        <v>1</v>
      </c>
      <c r="J38">
        <f t="shared" si="0"/>
        <v>1</v>
      </c>
    </row>
    <row r="39" spans="1:10" x14ac:dyDescent="0.25">
      <c r="A39">
        <f t="shared" si="1"/>
        <v>4</v>
      </c>
      <c r="B39">
        <f t="shared" si="0"/>
        <v>1</v>
      </c>
      <c r="C39">
        <f t="shared" si="0"/>
        <v>1</v>
      </c>
      <c r="D39">
        <f t="shared" si="0"/>
        <v>1</v>
      </c>
      <c r="E39">
        <f t="shared" si="0"/>
        <v>1</v>
      </c>
      <c r="F39">
        <f t="shared" si="0"/>
        <v>1</v>
      </c>
      <c r="G39">
        <f t="shared" si="0"/>
        <v>1</v>
      </c>
      <c r="H39">
        <f t="shared" si="0"/>
        <v>1</v>
      </c>
      <c r="I39">
        <f t="shared" si="0"/>
        <v>0</v>
      </c>
      <c r="J39">
        <f t="shared" si="0"/>
        <v>0</v>
      </c>
    </row>
    <row r="40" spans="1:10" x14ac:dyDescent="0.25">
      <c r="A40">
        <f t="shared" si="1"/>
        <v>5</v>
      </c>
      <c r="B40">
        <f t="shared" si="0"/>
        <v>1</v>
      </c>
      <c r="C40">
        <f t="shared" si="0"/>
        <v>1</v>
      </c>
      <c r="D40">
        <f t="shared" si="0"/>
        <v>1</v>
      </c>
      <c r="E40">
        <f t="shared" si="0"/>
        <v>1</v>
      </c>
      <c r="F40">
        <f t="shared" si="0"/>
        <v>1</v>
      </c>
      <c r="G40">
        <f t="shared" si="0"/>
        <v>0</v>
      </c>
      <c r="H40">
        <f t="shared" si="0"/>
        <v>0</v>
      </c>
      <c r="I40">
        <f t="shared" si="0"/>
        <v>0</v>
      </c>
      <c r="J40">
        <f t="shared" si="0"/>
        <v>0</v>
      </c>
    </row>
    <row r="41" spans="1:10" x14ac:dyDescent="0.25">
      <c r="A41">
        <f t="shared" si="1"/>
        <v>6</v>
      </c>
      <c r="B41">
        <f t="shared" si="0"/>
        <v>1</v>
      </c>
      <c r="C41">
        <f t="shared" si="0"/>
        <v>1</v>
      </c>
      <c r="D41">
        <f t="shared" si="0"/>
        <v>1</v>
      </c>
      <c r="E41">
        <f t="shared" si="0"/>
        <v>1</v>
      </c>
      <c r="F41">
        <f t="shared" si="0"/>
        <v>0</v>
      </c>
      <c r="G41">
        <f t="shared" si="0"/>
        <v>0</v>
      </c>
      <c r="H41">
        <f t="shared" si="0"/>
        <v>0</v>
      </c>
      <c r="I41">
        <f t="shared" si="0"/>
        <v>0</v>
      </c>
      <c r="J41">
        <f t="shared" si="0"/>
        <v>0</v>
      </c>
    </row>
    <row r="42" spans="1:10" x14ac:dyDescent="0.25">
      <c r="A42">
        <f t="shared" si="1"/>
        <v>7</v>
      </c>
      <c r="B42">
        <f t="shared" si="0"/>
        <v>1</v>
      </c>
      <c r="C42">
        <f t="shared" si="0"/>
        <v>1</v>
      </c>
      <c r="D42">
        <f t="shared" si="0"/>
        <v>1</v>
      </c>
      <c r="E42">
        <f t="shared" si="0"/>
        <v>1</v>
      </c>
      <c r="F42">
        <f t="shared" si="0"/>
        <v>1</v>
      </c>
      <c r="G42">
        <f t="shared" si="0"/>
        <v>1</v>
      </c>
      <c r="H42">
        <f t="shared" si="0"/>
        <v>1</v>
      </c>
      <c r="I42">
        <f t="shared" si="0"/>
        <v>1</v>
      </c>
      <c r="J42">
        <f t="shared" si="0"/>
        <v>1</v>
      </c>
    </row>
    <row r="43" spans="1:10" x14ac:dyDescent="0.25">
      <c r="A43">
        <f t="shared" si="1"/>
        <v>8</v>
      </c>
      <c r="B43">
        <f t="shared" si="0"/>
        <v>1</v>
      </c>
      <c r="C43">
        <f t="shared" si="0"/>
        <v>1</v>
      </c>
      <c r="D43">
        <f t="shared" si="0"/>
        <v>1</v>
      </c>
      <c r="E43">
        <f t="shared" si="0"/>
        <v>1</v>
      </c>
      <c r="F43">
        <f t="shared" si="0"/>
        <v>1</v>
      </c>
      <c r="G43">
        <f t="shared" si="0"/>
        <v>1</v>
      </c>
      <c r="H43">
        <f t="shared" si="0"/>
        <v>1</v>
      </c>
      <c r="I43">
        <f t="shared" si="0"/>
        <v>1</v>
      </c>
      <c r="J43">
        <f t="shared" si="0"/>
        <v>1</v>
      </c>
    </row>
    <row r="44" spans="1:10" x14ac:dyDescent="0.25">
      <c r="A44">
        <f t="shared" si="1"/>
        <v>9</v>
      </c>
      <c r="B44">
        <f t="shared" si="0"/>
        <v>1</v>
      </c>
      <c r="C44">
        <f t="shared" si="0"/>
        <v>1</v>
      </c>
      <c r="D44">
        <f t="shared" si="0"/>
        <v>1</v>
      </c>
      <c r="E44">
        <f t="shared" si="0"/>
        <v>1</v>
      </c>
      <c r="F44">
        <f t="shared" si="0"/>
        <v>1</v>
      </c>
      <c r="G44">
        <f t="shared" si="0"/>
        <v>1</v>
      </c>
      <c r="H44">
        <f t="shared" si="0"/>
        <v>1</v>
      </c>
      <c r="I44">
        <f t="shared" si="0"/>
        <v>1</v>
      </c>
      <c r="J44">
        <f t="shared" si="0"/>
        <v>0</v>
      </c>
    </row>
    <row r="45" spans="1:10" x14ac:dyDescent="0.25">
      <c r="A45">
        <f t="shared" si="1"/>
        <v>10</v>
      </c>
      <c r="B45">
        <f t="shared" si="0"/>
        <v>1</v>
      </c>
      <c r="C45">
        <f t="shared" si="0"/>
        <v>1</v>
      </c>
      <c r="D45">
        <f t="shared" si="0"/>
        <v>1</v>
      </c>
      <c r="E45">
        <f t="shared" si="0"/>
        <v>1</v>
      </c>
      <c r="F45">
        <f t="shared" si="0"/>
        <v>1</v>
      </c>
      <c r="G45">
        <f t="shared" si="0"/>
        <v>1</v>
      </c>
      <c r="H45">
        <f t="shared" si="0"/>
        <v>0</v>
      </c>
      <c r="I45">
        <f t="shared" si="0"/>
        <v>0</v>
      </c>
      <c r="J45">
        <f t="shared" si="0"/>
        <v>0</v>
      </c>
    </row>
    <row r="46" spans="1:10" x14ac:dyDescent="0.25">
      <c r="A46">
        <f t="shared" si="1"/>
        <v>11</v>
      </c>
      <c r="B46">
        <f t="shared" ref="B46:J55" si="2">IF(INDEX($B$2:$CX$31,$A46,$B$34)&gt;0,IF(INDEX($B$2:$CX$31,$A46,$B$34)&lt;B$35,1,0),"N/A")</f>
        <v>1</v>
      </c>
      <c r="C46">
        <f t="shared" si="2"/>
        <v>1</v>
      </c>
      <c r="D46">
        <f t="shared" si="2"/>
        <v>1</v>
      </c>
      <c r="E46">
        <f t="shared" si="2"/>
        <v>1</v>
      </c>
      <c r="F46">
        <f t="shared" si="2"/>
        <v>1</v>
      </c>
      <c r="G46">
        <f t="shared" si="2"/>
        <v>1</v>
      </c>
      <c r="H46">
        <f t="shared" si="2"/>
        <v>1</v>
      </c>
      <c r="I46">
        <f t="shared" si="2"/>
        <v>1</v>
      </c>
      <c r="J46">
        <f t="shared" si="2"/>
        <v>1</v>
      </c>
    </row>
    <row r="47" spans="1:10" x14ac:dyDescent="0.25">
      <c r="A47">
        <f t="shared" si="1"/>
        <v>12</v>
      </c>
      <c r="B47">
        <f t="shared" si="2"/>
        <v>1</v>
      </c>
      <c r="C47">
        <f t="shared" si="2"/>
        <v>1</v>
      </c>
      <c r="D47">
        <f t="shared" si="2"/>
        <v>1</v>
      </c>
      <c r="E47">
        <f t="shared" si="2"/>
        <v>0</v>
      </c>
      <c r="F47">
        <f t="shared" si="2"/>
        <v>0</v>
      </c>
      <c r="G47">
        <f t="shared" si="2"/>
        <v>0</v>
      </c>
      <c r="H47">
        <f t="shared" si="2"/>
        <v>0</v>
      </c>
      <c r="I47">
        <f t="shared" si="2"/>
        <v>0</v>
      </c>
      <c r="J47">
        <f t="shared" si="2"/>
        <v>0</v>
      </c>
    </row>
    <row r="48" spans="1:10" x14ac:dyDescent="0.25">
      <c r="A48">
        <f t="shared" si="1"/>
        <v>13</v>
      </c>
      <c r="B48">
        <f t="shared" si="2"/>
        <v>1</v>
      </c>
      <c r="C48">
        <f t="shared" si="2"/>
        <v>1</v>
      </c>
      <c r="D48">
        <f t="shared" si="2"/>
        <v>1</v>
      </c>
      <c r="E48">
        <f t="shared" si="2"/>
        <v>1</v>
      </c>
      <c r="F48">
        <f t="shared" si="2"/>
        <v>0</v>
      </c>
      <c r="G48">
        <f t="shared" si="2"/>
        <v>0</v>
      </c>
      <c r="H48">
        <f t="shared" si="2"/>
        <v>0</v>
      </c>
      <c r="I48">
        <f t="shared" si="2"/>
        <v>0</v>
      </c>
      <c r="J48">
        <f t="shared" si="2"/>
        <v>0</v>
      </c>
    </row>
    <row r="49" spans="1:10" x14ac:dyDescent="0.25">
      <c r="A49">
        <f t="shared" si="1"/>
        <v>14</v>
      </c>
      <c r="B49">
        <f t="shared" si="2"/>
        <v>1</v>
      </c>
      <c r="C49">
        <f t="shared" si="2"/>
        <v>1</v>
      </c>
      <c r="D49">
        <f t="shared" si="2"/>
        <v>1</v>
      </c>
      <c r="E49">
        <f t="shared" si="2"/>
        <v>1</v>
      </c>
      <c r="F49">
        <f t="shared" si="2"/>
        <v>1</v>
      </c>
      <c r="G49">
        <f t="shared" si="2"/>
        <v>0</v>
      </c>
      <c r="H49">
        <f t="shared" si="2"/>
        <v>0</v>
      </c>
      <c r="I49">
        <f t="shared" si="2"/>
        <v>0</v>
      </c>
      <c r="J49">
        <f t="shared" si="2"/>
        <v>0</v>
      </c>
    </row>
    <row r="50" spans="1:10" x14ac:dyDescent="0.25">
      <c r="A50">
        <f t="shared" si="1"/>
        <v>15</v>
      </c>
      <c r="B50">
        <f t="shared" si="2"/>
        <v>1</v>
      </c>
      <c r="C50">
        <f t="shared" si="2"/>
        <v>1</v>
      </c>
      <c r="D50">
        <f t="shared" si="2"/>
        <v>1</v>
      </c>
      <c r="E50">
        <f t="shared" si="2"/>
        <v>1</v>
      </c>
      <c r="F50">
        <f t="shared" si="2"/>
        <v>1</v>
      </c>
      <c r="G50">
        <f t="shared" si="2"/>
        <v>0</v>
      </c>
      <c r="H50">
        <f t="shared" si="2"/>
        <v>0</v>
      </c>
      <c r="I50">
        <f t="shared" si="2"/>
        <v>0</v>
      </c>
      <c r="J50">
        <f t="shared" si="2"/>
        <v>0</v>
      </c>
    </row>
    <row r="51" spans="1:10" x14ac:dyDescent="0.25">
      <c r="A51">
        <f t="shared" si="1"/>
        <v>16</v>
      </c>
      <c r="B51">
        <f t="shared" si="2"/>
        <v>1</v>
      </c>
      <c r="C51">
        <f t="shared" si="2"/>
        <v>1</v>
      </c>
      <c r="D51">
        <f t="shared" si="2"/>
        <v>1</v>
      </c>
      <c r="E51">
        <f t="shared" si="2"/>
        <v>1</v>
      </c>
      <c r="F51">
        <f t="shared" si="2"/>
        <v>1</v>
      </c>
      <c r="G51">
        <f t="shared" si="2"/>
        <v>1</v>
      </c>
      <c r="H51">
        <f t="shared" si="2"/>
        <v>0</v>
      </c>
      <c r="I51">
        <f t="shared" si="2"/>
        <v>0</v>
      </c>
      <c r="J51">
        <f t="shared" si="2"/>
        <v>0</v>
      </c>
    </row>
    <row r="52" spans="1:10" x14ac:dyDescent="0.25">
      <c r="A52">
        <f t="shared" si="1"/>
        <v>17</v>
      </c>
      <c r="B52">
        <f t="shared" si="2"/>
        <v>1</v>
      </c>
      <c r="C52">
        <f t="shared" si="2"/>
        <v>1</v>
      </c>
      <c r="D52">
        <f t="shared" si="2"/>
        <v>1</v>
      </c>
      <c r="E52">
        <f t="shared" si="2"/>
        <v>1</v>
      </c>
      <c r="F52">
        <f t="shared" si="2"/>
        <v>0</v>
      </c>
      <c r="G52">
        <f t="shared" si="2"/>
        <v>0</v>
      </c>
      <c r="H52">
        <f t="shared" si="2"/>
        <v>0</v>
      </c>
      <c r="I52">
        <f t="shared" si="2"/>
        <v>0</v>
      </c>
      <c r="J52">
        <f t="shared" si="2"/>
        <v>0</v>
      </c>
    </row>
    <row r="53" spans="1:10" x14ac:dyDescent="0.25">
      <c r="A53">
        <f t="shared" si="1"/>
        <v>18</v>
      </c>
      <c r="B53">
        <f t="shared" si="2"/>
        <v>1</v>
      </c>
      <c r="C53">
        <f t="shared" si="2"/>
        <v>1</v>
      </c>
      <c r="D53">
        <f t="shared" si="2"/>
        <v>1</v>
      </c>
      <c r="E53">
        <f t="shared" si="2"/>
        <v>1</v>
      </c>
      <c r="F53">
        <f t="shared" si="2"/>
        <v>1</v>
      </c>
      <c r="G53">
        <f t="shared" si="2"/>
        <v>0</v>
      </c>
      <c r="H53">
        <f t="shared" si="2"/>
        <v>0</v>
      </c>
      <c r="I53">
        <f t="shared" si="2"/>
        <v>0</v>
      </c>
      <c r="J53">
        <f t="shared" si="2"/>
        <v>0</v>
      </c>
    </row>
    <row r="54" spans="1:10" x14ac:dyDescent="0.25">
      <c r="A54">
        <f t="shared" si="1"/>
        <v>19</v>
      </c>
      <c r="B54">
        <f t="shared" si="2"/>
        <v>1</v>
      </c>
      <c r="C54">
        <f t="shared" si="2"/>
        <v>1</v>
      </c>
      <c r="D54">
        <f t="shared" si="2"/>
        <v>1</v>
      </c>
      <c r="E54">
        <f t="shared" si="2"/>
        <v>1</v>
      </c>
      <c r="F54">
        <f t="shared" si="2"/>
        <v>1</v>
      </c>
      <c r="G54">
        <f t="shared" si="2"/>
        <v>1</v>
      </c>
      <c r="H54">
        <f t="shared" si="2"/>
        <v>1</v>
      </c>
      <c r="I54">
        <f t="shared" si="2"/>
        <v>1</v>
      </c>
      <c r="J54">
        <f t="shared" si="2"/>
        <v>0</v>
      </c>
    </row>
    <row r="55" spans="1:10" x14ac:dyDescent="0.25">
      <c r="A55">
        <f t="shared" si="1"/>
        <v>20</v>
      </c>
      <c r="B55">
        <f t="shared" si="2"/>
        <v>1</v>
      </c>
      <c r="C55">
        <f t="shared" si="2"/>
        <v>1</v>
      </c>
      <c r="D55">
        <f t="shared" si="2"/>
        <v>1</v>
      </c>
      <c r="E55">
        <f t="shared" si="2"/>
        <v>1</v>
      </c>
      <c r="F55">
        <f t="shared" si="2"/>
        <v>1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</row>
    <row r="56" spans="1:10" x14ac:dyDescent="0.25">
      <c r="A56">
        <f t="shared" si="1"/>
        <v>21</v>
      </c>
      <c r="B56">
        <f t="shared" ref="B56:J65" si="3">IF(INDEX($B$2:$CX$31,$A56,$B$34)&gt;0,IF(INDEX($B$2:$CX$31,$A56,$B$34)&lt;B$35,1,0),"N/A")</f>
        <v>1</v>
      </c>
      <c r="C56">
        <f t="shared" si="3"/>
        <v>1</v>
      </c>
      <c r="D56">
        <f t="shared" si="3"/>
        <v>1</v>
      </c>
      <c r="E56">
        <f t="shared" si="3"/>
        <v>1</v>
      </c>
      <c r="F56">
        <f t="shared" si="3"/>
        <v>1</v>
      </c>
      <c r="G56">
        <f t="shared" si="3"/>
        <v>1</v>
      </c>
      <c r="H56">
        <f t="shared" si="3"/>
        <v>1</v>
      </c>
      <c r="I56">
        <f t="shared" si="3"/>
        <v>0</v>
      </c>
      <c r="J56">
        <f t="shared" si="3"/>
        <v>0</v>
      </c>
    </row>
    <row r="57" spans="1:10" x14ac:dyDescent="0.25">
      <c r="A57">
        <f t="shared" si="1"/>
        <v>22</v>
      </c>
      <c r="B57">
        <f t="shared" si="3"/>
        <v>1</v>
      </c>
      <c r="C57">
        <f t="shared" si="3"/>
        <v>1</v>
      </c>
      <c r="D57">
        <f t="shared" si="3"/>
        <v>1</v>
      </c>
      <c r="E57">
        <f t="shared" si="3"/>
        <v>0</v>
      </c>
      <c r="F57">
        <f t="shared" si="3"/>
        <v>0</v>
      </c>
      <c r="G57">
        <f t="shared" si="3"/>
        <v>0</v>
      </c>
      <c r="H57">
        <f t="shared" si="3"/>
        <v>0</v>
      </c>
      <c r="I57">
        <f t="shared" si="3"/>
        <v>0</v>
      </c>
      <c r="J57">
        <f t="shared" si="3"/>
        <v>0</v>
      </c>
    </row>
    <row r="58" spans="1:10" x14ac:dyDescent="0.25">
      <c r="A58">
        <f t="shared" si="1"/>
        <v>23</v>
      </c>
      <c r="B58">
        <f t="shared" si="3"/>
        <v>1</v>
      </c>
      <c r="C58">
        <f t="shared" si="3"/>
        <v>1</v>
      </c>
      <c r="D58">
        <f t="shared" si="3"/>
        <v>1</v>
      </c>
      <c r="E58">
        <f t="shared" si="3"/>
        <v>0</v>
      </c>
      <c r="F58">
        <f t="shared" si="3"/>
        <v>0</v>
      </c>
      <c r="G58">
        <f t="shared" si="3"/>
        <v>0</v>
      </c>
      <c r="H58">
        <f t="shared" si="3"/>
        <v>0</v>
      </c>
      <c r="I58">
        <f t="shared" si="3"/>
        <v>0</v>
      </c>
      <c r="J58">
        <f t="shared" si="3"/>
        <v>0</v>
      </c>
    </row>
    <row r="59" spans="1:10" x14ac:dyDescent="0.25">
      <c r="A59">
        <f t="shared" si="1"/>
        <v>24</v>
      </c>
      <c r="B59">
        <f t="shared" si="3"/>
        <v>1</v>
      </c>
      <c r="C59">
        <f t="shared" si="3"/>
        <v>1</v>
      </c>
      <c r="D59">
        <f t="shared" si="3"/>
        <v>0</v>
      </c>
      <c r="E59">
        <f t="shared" si="3"/>
        <v>0</v>
      </c>
      <c r="F59">
        <f t="shared" si="3"/>
        <v>0</v>
      </c>
      <c r="G59">
        <f t="shared" si="3"/>
        <v>0</v>
      </c>
      <c r="H59">
        <f t="shared" si="3"/>
        <v>0</v>
      </c>
      <c r="I59">
        <f t="shared" si="3"/>
        <v>0</v>
      </c>
      <c r="J59">
        <f t="shared" si="3"/>
        <v>0</v>
      </c>
    </row>
    <row r="60" spans="1:10" x14ac:dyDescent="0.25">
      <c r="A60">
        <f t="shared" si="1"/>
        <v>25</v>
      </c>
      <c r="B60">
        <f t="shared" si="3"/>
        <v>1</v>
      </c>
      <c r="C60">
        <f t="shared" si="3"/>
        <v>0</v>
      </c>
      <c r="D60">
        <f t="shared" si="3"/>
        <v>0</v>
      </c>
      <c r="E60">
        <f t="shared" si="3"/>
        <v>0</v>
      </c>
      <c r="F60">
        <f t="shared" si="3"/>
        <v>0</v>
      </c>
      <c r="G60">
        <f t="shared" si="3"/>
        <v>0</v>
      </c>
      <c r="H60">
        <f t="shared" si="3"/>
        <v>0</v>
      </c>
      <c r="I60">
        <f t="shared" si="3"/>
        <v>0</v>
      </c>
      <c r="J60">
        <f t="shared" si="3"/>
        <v>0</v>
      </c>
    </row>
    <row r="61" spans="1:10" x14ac:dyDescent="0.25">
      <c r="A61">
        <f t="shared" si="1"/>
        <v>26</v>
      </c>
      <c r="B61">
        <f t="shared" si="3"/>
        <v>1</v>
      </c>
      <c r="C61">
        <f t="shared" si="3"/>
        <v>0</v>
      </c>
      <c r="D61">
        <f t="shared" si="3"/>
        <v>0</v>
      </c>
      <c r="E61">
        <f t="shared" si="3"/>
        <v>0</v>
      </c>
      <c r="F61">
        <f t="shared" si="3"/>
        <v>0</v>
      </c>
      <c r="G61">
        <f t="shared" si="3"/>
        <v>0</v>
      </c>
      <c r="H61">
        <f t="shared" si="3"/>
        <v>0</v>
      </c>
      <c r="I61">
        <f t="shared" si="3"/>
        <v>0</v>
      </c>
      <c r="J61">
        <f t="shared" si="3"/>
        <v>0</v>
      </c>
    </row>
    <row r="62" spans="1:10" x14ac:dyDescent="0.25">
      <c r="A62">
        <f t="shared" si="1"/>
        <v>27</v>
      </c>
      <c r="B62">
        <f t="shared" si="3"/>
        <v>1</v>
      </c>
      <c r="C62">
        <f t="shared" si="3"/>
        <v>1</v>
      </c>
      <c r="D62">
        <f t="shared" si="3"/>
        <v>1</v>
      </c>
      <c r="E62">
        <f t="shared" si="3"/>
        <v>0</v>
      </c>
      <c r="F62">
        <f t="shared" si="3"/>
        <v>0</v>
      </c>
      <c r="G62">
        <f t="shared" si="3"/>
        <v>0</v>
      </c>
      <c r="H62">
        <f t="shared" si="3"/>
        <v>0</v>
      </c>
      <c r="I62">
        <f t="shared" si="3"/>
        <v>0</v>
      </c>
      <c r="J62">
        <f t="shared" si="3"/>
        <v>0</v>
      </c>
    </row>
    <row r="63" spans="1:10" x14ac:dyDescent="0.25">
      <c r="A63">
        <f t="shared" si="1"/>
        <v>28</v>
      </c>
      <c r="B63">
        <f t="shared" si="3"/>
        <v>1</v>
      </c>
      <c r="C63">
        <f t="shared" si="3"/>
        <v>1</v>
      </c>
      <c r="D63">
        <f t="shared" si="3"/>
        <v>1</v>
      </c>
      <c r="E63">
        <f t="shared" si="3"/>
        <v>0</v>
      </c>
      <c r="F63">
        <f t="shared" si="3"/>
        <v>0</v>
      </c>
      <c r="G63">
        <f t="shared" si="3"/>
        <v>0</v>
      </c>
      <c r="H63">
        <f t="shared" si="3"/>
        <v>0</v>
      </c>
      <c r="I63">
        <f t="shared" si="3"/>
        <v>0</v>
      </c>
      <c r="J63">
        <f t="shared" si="3"/>
        <v>0</v>
      </c>
    </row>
    <row r="64" spans="1:10" x14ac:dyDescent="0.25">
      <c r="A64">
        <f t="shared" si="1"/>
        <v>29</v>
      </c>
      <c r="B64">
        <f t="shared" si="3"/>
        <v>1</v>
      </c>
      <c r="C64">
        <f t="shared" si="3"/>
        <v>1</v>
      </c>
      <c r="D64">
        <f t="shared" si="3"/>
        <v>0</v>
      </c>
      <c r="E64">
        <f t="shared" si="3"/>
        <v>0</v>
      </c>
      <c r="F64">
        <f t="shared" si="3"/>
        <v>0</v>
      </c>
      <c r="G64">
        <f t="shared" si="3"/>
        <v>0</v>
      </c>
      <c r="H64">
        <f t="shared" si="3"/>
        <v>0</v>
      </c>
      <c r="I64">
        <f t="shared" si="3"/>
        <v>0</v>
      </c>
      <c r="J64">
        <f t="shared" si="3"/>
        <v>0</v>
      </c>
    </row>
    <row r="65" spans="1:10" x14ac:dyDescent="0.25">
      <c r="A65">
        <f t="shared" si="1"/>
        <v>30</v>
      </c>
      <c r="B65">
        <f t="shared" si="3"/>
        <v>1</v>
      </c>
      <c r="C65">
        <f t="shared" si="3"/>
        <v>0</v>
      </c>
      <c r="D65">
        <f t="shared" si="3"/>
        <v>0</v>
      </c>
      <c r="E65">
        <f t="shared" si="3"/>
        <v>0</v>
      </c>
      <c r="F65">
        <f t="shared" si="3"/>
        <v>0</v>
      </c>
      <c r="G65">
        <f t="shared" si="3"/>
        <v>0</v>
      </c>
      <c r="H65">
        <f t="shared" si="3"/>
        <v>0</v>
      </c>
      <c r="I65">
        <f t="shared" si="3"/>
        <v>0</v>
      </c>
      <c r="J65">
        <f t="shared" si="3"/>
        <v>0</v>
      </c>
    </row>
    <row r="67" spans="1:10" x14ac:dyDescent="0.25">
      <c r="A67" t="s">
        <v>254</v>
      </c>
      <c r="B67">
        <f>SUM(B56:B65)/COUNT(B56:B65)</f>
        <v>1</v>
      </c>
      <c r="C67">
        <f t="shared" ref="C67:J67" si="4">SUM(C56:C65)/COUNT(C56:C65)</f>
        <v>0.7</v>
      </c>
      <c r="D67">
        <f t="shared" si="4"/>
        <v>0.5</v>
      </c>
      <c r="E67">
        <f t="shared" si="4"/>
        <v>0.1</v>
      </c>
      <c r="F67">
        <f t="shared" si="4"/>
        <v>0.1</v>
      </c>
      <c r="G67">
        <f>SUM(G56:G65)/COUNT(G56:G65)</f>
        <v>0.1</v>
      </c>
      <c r="H67">
        <f t="shared" si="4"/>
        <v>0.1</v>
      </c>
      <c r="I67">
        <f t="shared" si="4"/>
        <v>0</v>
      </c>
      <c r="J67">
        <f t="shared" si="4"/>
        <v>0</v>
      </c>
    </row>
    <row r="68" spans="1:10" x14ac:dyDescent="0.25">
      <c r="A68" t="s">
        <v>255</v>
      </c>
      <c r="B68">
        <f>SUM(B46:B65)/COUNT(B46:B65)</f>
        <v>1</v>
      </c>
      <c r="C68">
        <f t="shared" ref="C68:J68" si="5">SUM(C46:C65)/COUNT(C46:C65)</f>
        <v>0.85</v>
      </c>
      <c r="D68">
        <f t="shared" si="5"/>
        <v>0.75</v>
      </c>
      <c r="E68">
        <f t="shared" si="5"/>
        <v>0.5</v>
      </c>
      <c r="F68">
        <f t="shared" si="5"/>
        <v>0.4</v>
      </c>
      <c r="G68">
        <f t="shared" si="5"/>
        <v>0.2</v>
      </c>
      <c r="H68">
        <f t="shared" si="5"/>
        <v>0.15</v>
      </c>
      <c r="I68">
        <f t="shared" si="5"/>
        <v>0.1</v>
      </c>
      <c r="J68">
        <f t="shared" si="5"/>
        <v>0.05</v>
      </c>
    </row>
    <row r="69" spans="1:10" x14ac:dyDescent="0.25">
      <c r="A69" t="s">
        <v>256</v>
      </c>
      <c r="B69">
        <f>SUM(B36:B65)/COUNT(B36:B65)</f>
        <v>1</v>
      </c>
      <c r="C69">
        <f t="shared" ref="C69:J69" si="6">SUM(C36:C65)/COUNT(C36:C65)</f>
        <v>0.9</v>
      </c>
      <c r="D69">
        <f t="shared" si="6"/>
        <v>0.83333333333333337</v>
      </c>
      <c r="E69">
        <f t="shared" si="6"/>
        <v>0.6333333333333333</v>
      </c>
      <c r="F69">
        <f t="shared" si="6"/>
        <v>0.53333333333333333</v>
      </c>
      <c r="G69">
        <f t="shared" si="6"/>
        <v>0.36666666666666664</v>
      </c>
      <c r="H69">
        <f t="shared" si="6"/>
        <v>0.3</v>
      </c>
      <c r="I69">
        <f t="shared" si="6"/>
        <v>0.23333333333333334</v>
      </c>
      <c r="J69">
        <f t="shared" si="6"/>
        <v>0.16666666666666666</v>
      </c>
    </row>
    <row r="72" spans="1:10" x14ac:dyDescent="0.25">
      <c r="F72" t="s">
        <v>253</v>
      </c>
    </row>
    <row r="73" spans="1:10" x14ac:dyDescent="0.25">
      <c r="A73" t="s">
        <v>151</v>
      </c>
      <c r="B73">
        <f>+HLOOKUP(A73,$B$1:$CX$32,32,0)</f>
        <v>1</v>
      </c>
      <c r="E73" s="14" t="s">
        <v>4</v>
      </c>
      <c r="F73">
        <f>VLOOKUP(E73,$A$73:$B$172,2,0)</f>
        <v>1</v>
      </c>
    </row>
    <row r="74" spans="1:10" x14ac:dyDescent="0.25">
      <c r="A74" t="s">
        <v>152</v>
      </c>
      <c r="B74">
        <f t="shared" ref="B74:B137" si="7">+HLOOKUP(A74,$B$1:$CX$32,32,0)</f>
        <v>2</v>
      </c>
      <c r="E74" s="15" t="s">
        <v>5</v>
      </c>
      <c r="F74">
        <f t="shared" ref="F74:F137" si="8">VLOOKUP(E74,$A$73:$B$172,2,0)</f>
        <v>2</v>
      </c>
    </row>
    <row r="75" spans="1:10" x14ac:dyDescent="0.25">
      <c r="A75" t="s">
        <v>153</v>
      </c>
      <c r="B75">
        <f t="shared" si="7"/>
        <v>3</v>
      </c>
      <c r="E75" s="16" t="s">
        <v>6</v>
      </c>
      <c r="F75">
        <f t="shared" si="8"/>
        <v>3</v>
      </c>
    </row>
    <row r="76" spans="1:10" x14ac:dyDescent="0.25">
      <c r="A76" t="s">
        <v>154</v>
      </c>
      <c r="B76">
        <f t="shared" si="7"/>
        <v>4</v>
      </c>
      <c r="E76" s="15" t="s">
        <v>7</v>
      </c>
      <c r="F76">
        <f t="shared" si="8"/>
        <v>4</v>
      </c>
    </row>
    <row r="77" spans="1:10" x14ac:dyDescent="0.25">
      <c r="A77" t="s">
        <v>155</v>
      </c>
      <c r="B77">
        <f t="shared" si="7"/>
        <v>5</v>
      </c>
      <c r="E77" s="16" t="s">
        <v>8</v>
      </c>
      <c r="F77">
        <f t="shared" si="8"/>
        <v>5</v>
      </c>
    </row>
    <row r="78" spans="1:10" x14ac:dyDescent="0.25">
      <c r="A78" t="s">
        <v>156</v>
      </c>
      <c r="B78">
        <f t="shared" si="7"/>
        <v>6</v>
      </c>
      <c r="E78" s="15" t="s">
        <v>9</v>
      </c>
      <c r="F78">
        <f t="shared" si="8"/>
        <v>6</v>
      </c>
    </row>
    <row r="79" spans="1:10" x14ac:dyDescent="0.25">
      <c r="A79" t="s">
        <v>157</v>
      </c>
      <c r="B79">
        <f t="shared" si="7"/>
        <v>7</v>
      </c>
      <c r="E79" s="16" t="s">
        <v>10</v>
      </c>
      <c r="F79">
        <f t="shared" si="8"/>
        <v>7</v>
      </c>
    </row>
    <row r="80" spans="1:10" x14ac:dyDescent="0.25">
      <c r="A80" t="s">
        <v>158</v>
      </c>
      <c r="B80">
        <f t="shared" si="7"/>
        <v>8</v>
      </c>
      <c r="E80" s="15" t="s">
        <v>11</v>
      </c>
      <c r="F80">
        <f t="shared" si="8"/>
        <v>8</v>
      </c>
    </row>
    <row r="81" spans="1:6" x14ac:dyDescent="0.25">
      <c r="A81" t="s">
        <v>159</v>
      </c>
      <c r="B81">
        <f t="shared" si="7"/>
        <v>9</v>
      </c>
      <c r="E81" s="16" t="s">
        <v>12</v>
      </c>
      <c r="F81">
        <f t="shared" si="8"/>
        <v>9</v>
      </c>
    </row>
    <row r="82" spans="1:6" x14ac:dyDescent="0.25">
      <c r="A82" t="s">
        <v>160</v>
      </c>
      <c r="B82">
        <f t="shared" si="7"/>
        <v>10</v>
      </c>
      <c r="E82" s="15" t="s">
        <v>13</v>
      </c>
      <c r="F82">
        <f t="shared" si="8"/>
        <v>10</v>
      </c>
    </row>
    <row r="83" spans="1:6" x14ac:dyDescent="0.25">
      <c r="A83" t="s">
        <v>161</v>
      </c>
      <c r="B83">
        <f t="shared" si="7"/>
        <v>11</v>
      </c>
      <c r="E83" s="16" t="s">
        <v>14</v>
      </c>
      <c r="F83">
        <f t="shared" si="8"/>
        <v>11</v>
      </c>
    </row>
    <row r="84" spans="1:6" x14ac:dyDescent="0.25">
      <c r="A84" t="s">
        <v>162</v>
      </c>
      <c r="B84">
        <f t="shared" si="7"/>
        <v>12</v>
      </c>
      <c r="E84" s="15" t="s">
        <v>15</v>
      </c>
      <c r="F84">
        <f t="shared" si="8"/>
        <v>12</v>
      </c>
    </row>
    <row r="85" spans="1:6" x14ac:dyDescent="0.25">
      <c r="A85" t="s">
        <v>163</v>
      </c>
      <c r="B85">
        <f t="shared" si="7"/>
        <v>13</v>
      </c>
      <c r="E85" s="16" t="s">
        <v>16</v>
      </c>
      <c r="F85">
        <f t="shared" si="8"/>
        <v>13</v>
      </c>
    </row>
    <row r="86" spans="1:6" x14ac:dyDescent="0.25">
      <c r="A86" t="s">
        <v>164</v>
      </c>
      <c r="B86">
        <f t="shared" si="7"/>
        <v>14</v>
      </c>
      <c r="E86" s="15" t="s">
        <v>17</v>
      </c>
      <c r="F86">
        <f t="shared" si="8"/>
        <v>14</v>
      </c>
    </row>
    <row r="87" spans="1:6" x14ac:dyDescent="0.25">
      <c r="A87" t="s">
        <v>165</v>
      </c>
      <c r="B87">
        <f t="shared" si="7"/>
        <v>15</v>
      </c>
      <c r="E87" s="16" t="s">
        <v>18</v>
      </c>
      <c r="F87">
        <f t="shared" si="8"/>
        <v>15</v>
      </c>
    </row>
    <row r="88" spans="1:6" x14ac:dyDescent="0.25">
      <c r="A88" t="s">
        <v>166</v>
      </c>
      <c r="B88">
        <f t="shared" si="7"/>
        <v>16</v>
      </c>
      <c r="E88" s="15" t="s">
        <v>19</v>
      </c>
      <c r="F88">
        <f t="shared" si="8"/>
        <v>16</v>
      </c>
    </row>
    <row r="89" spans="1:6" x14ac:dyDescent="0.25">
      <c r="A89" t="s">
        <v>167</v>
      </c>
      <c r="B89">
        <f t="shared" si="7"/>
        <v>17</v>
      </c>
      <c r="E89" s="16" t="s">
        <v>20</v>
      </c>
      <c r="F89">
        <f t="shared" si="8"/>
        <v>17</v>
      </c>
    </row>
    <row r="90" spans="1:6" x14ac:dyDescent="0.25">
      <c r="A90" t="s">
        <v>168</v>
      </c>
      <c r="B90">
        <f t="shared" si="7"/>
        <v>18</v>
      </c>
      <c r="E90" s="15" t="s">
        <v>21</v>
      </c>
      <c r="F90">
        <f t="shared" si="8"/>
        <v>18</v>
      </c>
    </row>
    <row r="91" spans="1:6" x14ac:dyDescent="0.25">
      <c r="A91" t="s">
        <v>169</v>
      </c>
      <c r="B91">
        <f t="shared" si="7"/>
        <v>19</v>
      </c>
      <c r="E91" s="16" t="s">
        <v>22</v>
      </c>
      <c r="F91">
        <f t="shared" si="8"/>
        <v>19</v>
      </c>
    </row>
    <row r="92" spans="1:6" x14ac:dyDescent="0.25">
      <c r="A92" t="s">
        <v>170</v>
      </c>
      <c r="B92">
        <f t="shared" si="7"/>
        <v>20</v>
      </c>
      <c r="E92" s="15" t="s">
        <v>23</v>
      </c>
      <c r="F92">
        <f t="shared" si="8"/>
        <v>20</v>
      </c>
    </row>
    <row r="93" spans="1:6" x14ac:dyDescent="0.25">
      <c r="A93" t="s">
        <v>171</v>
      </c>
      <c r="B93">
        <f t="shared" si="7"/>
        <v>21</v>
      </c>
      <c r="E93" s="16" t="s">
        <v>24</v>
      </c>
      <c r="F93">
        <f t="shared" si="8"/>
        <v>21</v>
      </c>
    </row>
    <row r="94" spans="1:6" x14ac:dyDescent="0.25">
      <c r="A94" t="s">
        <v>172</v>
      </c>
      <c r="B94">
        <f t="shared" si="7"/>
        <v>22</v>
      </c>
      <c r="E94" s="15" t="s">
        <v>25</v>
      </c>
      <c r="F94">
        <f t="shared" si="8"/>
        <v>22</v>
      </c>
    </row>
    <row r="95" spans="1:6" x14ac:dyDescent="0.25">
      <c r="A95" t="s">
        <v>173</v>
      </c>
      <c r="B95">
        <f t="shared" si="7"/>
        <v>23</v>
      </c>
      <c r="E95" s="16" t="s">
        <v>26</v>
      </c>
      <c r="F95">
        <f t="shared" si="8"/>
        <v>23</v>
      </c>
    </row>
    <row r="96" spans="1:6" x14ac:dyDescent="0.25">
      <c r="A96" t="s">
        <v>174</v>
      </c>
      <c r="B96">
        <f t="shared" si="7"/>
        <v>24</v>
      </c>
      <c r="E96" s="15" t="s">
        <v>27</v>
      </c>
      <c r="F96">
        <f t="shared" si="8"/>
        <v>24</v>
      </c>
    </row>
    <row r="97" spans="1:6" x14ac:dyDescent="0.25">
      <c r="A97" t="s">
        <v>175</v>
      </c>
      <c r="B97">
        <f t="shared" si="7"/>
        <v>25</v>
      </c>
      <c r="E97" s="16" t="s">
        <v>28</v>
      </c>
      <c r="F97">
        <f t="shared" si="8"/>
        <v>25</v>
      </c>
    </row>
    <row r="98" spans="1:6" x14ac:dyDescent="0.25">
      <c r="A98" t="s">
        <v>176</v>
      </c>
      <c r="B98">
        <f t="shared" si="7"/>
        <v>26</v>
      </c>
      <c r="E98" s="15" t="s">
        <v>29</v>
      </c>
      <c r="F98">
        <f t="shared" si="8"/>
        <v>26</v>
      </c>
    </row>
    <row r="99" spans="1:6" x14ac:dyDescent="0.25">
      <c r="A99" t="s">
        <v>177</v>
      </c>
      <c r="B99">
        <f t="shared" si="7"/>
        <v>27</v>
      </c>
      <c r="E99" s="16" t="s">
        <v>30</v>
      </c>
      <c r="F99">
        <f t="shared" si="8"/>
        <v>27</v>
      </c>
    </row>
    <row r="100" spans="1:6" x14ac:dyDescent="0.25">
      <c r="A100" t="s">
        <v>178</v>
      </c>
      <c r="B100">
        <f t="shared" si="7"/>
        <v>28</v>
      </c>
      <c r="E100" s="15" t="s">
        <v>31</v>
      </c>
      <c r="F100">
        <f t="shared" si="8"/>
        <v>28</v>
      </c>
    </row>
    <row r="101" spans="1:6" x14ac:dyDescent="0.25">
      <c r="A101" t="s">
        <v>179</v>
      </c>
      <c r="B101">
        <f t="shared" si="7"/>
        <v>29</v>
      </c>
      <c r="E101" s="16" t="s">
        <v>32</v>
      </c>
      <c r="F101">
        <f t="shared" si="8"/>
        <v>29</v>
      </c>
    </row>
    <row r="102" spans="1:6" x14ac:dyDescent="0.25">
      <c r="A102" t="s">
        <v>180</v>
      </c>
      <c r="B102">
        <f t="shared" si="7"/>
        <v>30</v>
      </c>
      <c r="E102" s="15" t="s">
        <v>33</v>
      </c>
      <c r="F102">
        <f t="shared" si="8"/>
        <v>30</v>
      </c>
    </row>
    <row r="103" spans="1:6" x14ac:dyDescent="0.25">
      <c r="A103" t="s">
        <v>181</v>
      </c>
      <c r="B103">
        <f t="shared" si="7"/>
        <v>31</v>
      </c>
      <c r="E103" s="16" t="s">
        <v>34</v>
      </c>
      <c r="F103">
        <f t="shared" si="8"/>
        <v>31</v>
      </c>
    </row>
    <row r="104" spans="1:6" x14ac:dyDescent="0.25">
      <c r="A104" t="s">
        <v>182</v>
      </c>
      <c r="B104">
        <f t="shared" si="7"/>
        <v>32</v>
      </c>
      <c r="E104" s="15" t="s">
        <v>35</v>
      </c>
      <c r="F104">
        <f t="shared" si="8"/>
        <v>32</v>
      </c>
    </row>
    <row r="105" spans="1:6" x14ac:dyDescent="0.25">
      <c r="A105" t="s">
        <v>183</v>
      </c>
      <c r="B105">
        <f t="shared" si="7"/>
        <v>33</v>
      </c>
      <c r="E105" s="16" t="s">
        <v>36</v>
      </c>
      <c r="F105">
        <f t="shared" si="8"/>
        <v>33</v>
      </c>
    </row>
    <row r="106" spans="1:6" x14ac:dyDescent="0.25">
      <c r="A106" t="s">
        <v>184</v>
      </c>
      <c r="B106">
        <f t="shared" si="7"/>
        <v>34</v>
      </c>
      <c r="E106" s="15" t="s">
        <v>37</v>
      </c>
      <c r="F106">
        <f t="shared" si="8"/>
        <v>34</v>
      </c>
    </row>
    <row r="107" spans="1:6" x14ac:dyDescent="0.25">
      <c r="A107" t="s">
        <v>185</v>
      </c>
      <c r="B107">
        <f t="shared" si="7"/>
        <v>35</v>
      </c>
      <c r="E107" s="16" t="s">
        <v>38</v>
      </c>
      <c r="F107">
        <f t="shared" si="8"/>
        <v>35</v>
      </c>
    </row>
    <row r="108" spans="1:6" x14ac:dyDescent="0.25">
      <c r="A108" t="s">
        <v>186</v>
      </c>
      <c r="B108">
        <f t="shared" si="7"/>
        <v>36</v>
      </c>
      <c r="E108" s="15" t="s">
        <v>39</v>
      </c>
      <c r="F108">
        <f t="shared" si="8"/>
        <v>36</v>
      </c>
    </row>
    <row r="109" spans="1:6" x14ac:dyDescent="0.25">
      <c r="A109" t="s">
        <v>187</v>
      </c>
      <c r="B109">
        <f t="shared" si="7"/>
        <v>37</v>
      </c>
      <c r="E109" s="16" t="s">
        <v>40</v>
      </c>
      <c r="F109">
        <f t="shared" si="8"/>
        <v>37</v>
      </c>
    </row>
    <row r="110" spans="1:6" x14ac:dyDescent="0.25">
      <c r="A110" t="s">
        <v>188</v>
      </c>
      <c r="B110">
        <f t="shared" si="7"/>
        <v>38</v>
      </c>
      <c r="E110" s="15" t="s">
        <v>41</v>
      </c>
      <c r="F110">
        <f t="shared" si="8"/>
        <v>38</v>
      </c>
    </row>
    <row r="111" spans="1:6" x14ac:dyDescent="0.25">
      <c r="A111" t="s">
        <v>189</v>
      </c>
      <c r="B111">
        <f t="shared" si="7"/>
        <v>39</v>
      </c>
      <c r="E111" s="16" t="s">
        <v>42</v>
      </c>
      <c r="F111">
        <f t="shared" si="8"/>
        <v>39</v>
      </c>
    </row>
    <row r="112" spans="1:6" x14ac:dyDescent="0.25">
      <c r="A112" t="s">
        <v>190</v>
      </c>
      <c r="B112">
        <f t="shared" si="7"/>
        <v>40</v>
      </c>
      <c r="E112" s="15" t="s">
        <v>43</v>
      </c>
      <c r="F112">
        <f t="shared" si="8"/>
        <v>40</v>
      </c>
    </row>
    <row r="113" spans="1:6" x14ac:dyDescent="0.25">
      <c r="A113" t="s">
        <v>191</v>
      </c>
      <c r="B113">
        <f t="shared" si="7"/>
        <v>41</v>
      </c>
      <c r="E113" s="16" t="s">
        <v>44</v>
      </c>
      <c r="F113">
        <f t="shared" si="8"/>
        <v>41</v>
      </c>
    </row>
    <row r="114" spans="1:6" x14ac:dyDescent="0.25">
      <c r="A114" t="s">
        <v>192</v>
      </c>
      <c r="B114">
        <f t="shared" si="7"/>
        <v>42</v>
      </c>
      <c r="E114" s="15" t="s">
        <v>45</v>
      </c>
      <c r="F114">
        <f t="shared" si="8"/>
        <v>42</v>
      </c>
    </row>
    <row r="115" spans="1:6" x14ac:dyDescent="0.25">
      <c r="A115" t="s">
        <v>193</v>
      </c>
      <c r="B115">
        <f t="shared" si="7"/>
        <v>43</v>
      </c>
      <c r="E115" s="16" t="s">
        <v>46</v>
      </c>
      <c r="F115">
        <f t="shared" si="8"/>
        <v>43</v>
      </c>
    </row>
    <row r="116" spans="1:6" x14ac:dyDescent="0.25">
      <c r="A116" t="s">
        <v>194</v>
      </c>
      <c r="B116">
        <f t="shared" si="7"/>
        <v>44</v>
      </c>
      <c r="E116" s="15" t="s">
        <v>47</v>
      </c>
      <c r="F116">
        <f t="shared" si="8"/>
        <v>44</v>
      </c>
    </row>
    <row r="117" spans="1:6" x14ac:dyDescent="0.25">
      <c r="A117" t="s">
        <v>195</v>
      </c>
      <c r="B117">
        <f t="shared" si="7"/>
        <v>45</v>
      </c>
      <c r="E117" s="16" t="s">
        <v>48</v>
      </c>
      <c r="F117">
        <f t="shared" si="8"/>
        <v>45</v>
      </c>
    </row>
    <row r="118" spans="1:6" x14ac:dyDescent="0.25">
      <c r="A118" t="s">
        <v>196</v>
      </c>
      <c r="B118">
        <f t="shared" si="7"/>
        <v>46</v>
      </c>
      <c r="E118" s="15" t="s">
        <v>49</v>
      </c>
      <c r="F118">
        <f t="shared" si="8"/>
        <v>46</v>
      </c>
    </row>
    <row r="119" spans="1:6" x14ac:dyDescent="0.25">
      <c r="A119" t="s">
        <v>197</v>
      </c>
      <c r="B119">
        <f t="shared" si="7"/>
        <v>47</v>
      </c>
      <c r="E119" s="16" t="s">
        <v>50</v>
      </c>
      <c r="F119">
        <f t="shared" si="8"/>
        <v>47</v>
      </c>
    </row>
    <row r="120" spans="1:6" x14ac:dyDescent="0.25">
      <c r="A120" t="s">
        <v>198</v>
      </c>
      <c r="B120">
        <f t="shared" si="7"/>
        <v>48</v>
      </c>
      <c r="E120" s="15" t="s">
        <v>51</v>
      </c>
      <c r="F120">
        <f t="shared" si="8"/>
        <v>48</v>
      </c>
    </row>
    <row r="121" spans="1:6" x14ac:dyDescent="0.25">
      <c r="A121" t="s">
        <v>199</v>
      </c>
      <c r="B121">
        <f t="shared" si="7"/>
        <v>49</v>
      </c>
      <c r="E121" s="16" t="s">
        <v>52</v>
      </c>
      <c r="F121">
        <f t="shared" si="8"/>
        <v>49</v>
      </c>
    </row>
    <row r="122" spans="1:6" x14ac:dyDescent="0.25">
      <c r="A122" t="s">
        <v>200</v>
      </c>
      <c r="B122">
        <f t="shared" si="7"/>
        <v>50</v>
      </c>
      <c r="E122" s="15" t="s">
        <v>53</v>
      </c>
      <c r="F122">
        <f t="shared" si="8"/>
        <v>50</v>
      </c>
    </row>
    <row r="123" spans="1:6" x14ac:dyDescent="0.25">
      <c r="A123" t="s">
        <v>201</v>
      </c>
      <c r="B123">
        <f t="shared" si="7"/>
        <v>51</v>
      </c>
      <c r="E123" s="16" t="s">
        <v>54</v>
      </c>
      <c r="F123">
        <f t="shared" si="8"/>
        <v>51</v>
      </c>
    </row>
    <row r="124" spans="1:6" x14ac:dyDescent="0.25">
      <c r="A124" t="s">
        <v>202</v>
      </c>
      <c r="B124">
        <f t="shared" si="7"/>
        <v>52</v>
      </c>
      <c r="E124" s="15" t="s">
        <v>55</v>
      </c>
      <c r="F124">
        <f t="shared" si="8"/>
        <v>52</v>
      </c>
    </row>
    <row r="125" spans="1:6" x14ac:dyDescent="0.25">
      <c r="A125" t="s">
        <v>203</v>
      </c>
      <c r="B125">
        <f t="shared" si="7"/>
        <v>53</v>
      </c>
      <c r="E125" s="16" t="s">
        <v>56</v>
      </c>
      <c r="F125">
        <f t="shared" si="8"/>
        <v>53</v>
      </c>
    </row>
    <row r="126" spans="1:6" x14ac:dyDescent="0.25">
      <c r="A126" t="s">
        <v>204</v>
      </c>
      <c r="B126">
        <f t="shared" si="7"/>
        <v>54</v>
      </c>
      <c r="E126" s="15" t="s">
        <v>57</v>
      </c>
      <c r="F126">
        <f t="shared" si="8"/>
        <v>54</v>
      </c>
    </row>
    <row r="127" spans="1:6" x14ac:dyDescent="0.25">
      <c r="A127" t="s">
        <v>205</v>
      </c>
      <c r="B127">
        <f t="shared" si="7"/>
        <v>55</v>
      </c>
      <c r="E127" s="16" t="s">
        <v>58</v>
      </c>
      <c r="F127">
        <f t="shared" si="8"/>
        <v>55</v>
      </c>
    </row>
    <row r="128" spans="1:6" x14ac:dyDescent="0.25">
      <c r="A128" t="s">
        <v>206</v>
      </c>
      <c r="B128">
        <f t="shared" si="7"/>
        <v>56</v>
      </c>
      <c r="E128" s="15" t="s">
        <v>59</v>
      </c>
      <c r="F128">
        <f t="shared" si="8"/>
        <v>56</v>
      </c>
    </row>
    <row r="129" spans="1:6" x14ac:dyDescent="0.25">
      <c r="A129" t="s">
        <v>207</v>
      </c>
      <c r="B129">
        <f t="shared" si="7"/>
        <v>57</v>
      </c>
      <c r="E129" s="16" t="s">
        <v>60</v>
      </c>
      <c r="F129">
        <f t="shared" si="8"/>
        <v>57</v>
      </c>
    </row>
    <row r="130" spans="1:6" x14ac:dyDescent="0.25">
      <c r="A130" t="s">
        <v>208</v>
      </c>
      <c r="B130">
        <f t="shared" si="7"/>
        <v>58</v>
      </c>
      <c r="E130" s="15" t="s">
        <v>61</v>
      </c>
      <c r="F130">
        <f t="shared" si="8"/>
        <v>58</v>
      </c>
    </row>
    <row r="131" spans="1:6" x14ac:dyDescent="0.25">
      <c r="A131" t="s">
        <v>209</v>
      </c>
      <c r="B131">
        <f t="shared" si="7"/>
        <v>59</v>
      </c>
      <c r="E131" s="16" t="s">
        <v>62</v>
      </c>
      <c r="F131">
        <f t="shared" si="8"/>
        <v>59</v>
      </c>
    </row>
    <row r="132" spans="1:6" x14ac:dyDescent="0.25">
      <c r="A132" t="s">
        <v>210</v>
      </c>
      <c r="B132">
        <f t="shared" si="7"/>
        <v>60</v>
      </c>
      <c r="E132" s="15" t="s">
        <v>63</v>
      </c>
      <c r="F132">
        <f t="shared" si="8"/>
        <v>60</v>
      </c>
    </row>
    <row r="133" spans="1:6" x14ac:dyDescent="0.25">
      <c r="A133" t="s">
        <v>211</v>
      </c>
      <c r="B133">
        <f t="shared" si="7"/>
        <v>61</v>
      </c>
      <c r="E133" s="16" t="s">
        <v>64</v>
      </c>
      <c r="F133">
        <f t="shared" si="8"/>
        <v>61</v>
      </c>
    </row>
    <row r="134" spans="1:6" x14ac:dyDescent="0.25">
      <c r="A134" t="s">
        <v>212</v>
      </c>
      <c r="B134">
        <f t="shared" si="7"/>
        <v>62</v>
      </c>
      <c r="E134" s="15" t="s">
        <v>65</v>
      </c>
      <c r="F134">
        <f t="shared" si="8"/>
        <v>62</v>
      </c>
    </row>
    <row r="135" spans="1:6" x14ac:dyDescent="0.25">
      <c r="A135" t="s">
        <v>213</v>
      </c>
      <c r="B135">
        <f t="shared" si="7"/>
        <v>63</v>
      </c>
      <c r="E135" s="16" t="s">
        <v>66</v>
      </c>
      <c r="F135">
        <f t="shared" si="8"/>
        <v>63</v>
      </c>
    </row>
    <row r="136" spans="1:6" x14ac:dyDescent="0.25">
      <c r="A136" t="s">
        <v>214</v>
      </c>
      <c r="B136">
        <f t="shared" si="7"/>
        <v>64</v>
      </c>
      <c r="E136" s="15" t="s">
        <v>67</v>
      </c>
      <c r="F136">
        <f t="shared" si="8"/>
        <v>64</v>
      </c>
    </row>
    <row r="137" spans="1:6" x14ac:dyDescent="0.25">
      <c r="A137" t="s">
        <v>215</v>
      </c>
      <c r="B137">
        <f t="shared" si="7"/>
        <v>65</v>
      </c>
      <c r="E137" s="16" t="s">
        <v>68</v>
      </c>
      <c r="F137">
        <f t="shared" si="8"/>
        <v>65</v>
      </c>
    </row>
    <row r="138" spans="1:6" x14ac:dyDescent="0.25">
      <c r="A138" t="s">
        <v>216</v>
      </c>
      <c r="B138">
        <f t="shared" ref="B138:B172" si="9">+HLOOKUP(A138,$B$1:$CX$32,32,0)</f>
        <v>66</v>
      </c>
      <c r="E138" s="15" t="s">
        <v>69</v>
      </c>
      <c r="F138">
        <f t="shared" ref="F138:F172" si="10">VLOOKUP(E138,$A$73:$B$172,2,0)</f>
        <v>66</v>
      </c>
    </row>
    <row r="139" spans="1:6" x14ac:dyDescent="0.25">
      <c r="A139" t="s">
        <v>217</v>
      </c>
      <c r="B139">
        <f t="shared" si="9"/>
        <v>67</v>
      </c>
      <c r="E139" s="16" t="s">
        <v>70</v>
      </c>
      <c r="F139">
        <f t="shared" si="10"/>
        <v>67</v>
      </c>
    </row>
    <row r="140" spans="1:6" x14ac:dyDescent="0.25">
      <c r="A140" t="s">
        <v>218</v>
      </c>
      <c r="B140">
        <f t="shared" si="9"/>
        <v>68</v>
      </c>
      <c r="E140" s="15" t="s">
        <v>71</v>
      </c>
      <c r="F140">
        <f t="shared" si="10"/>
        <v>68</v>
      </c>
    </row>
    <row r="141" spans="1:6" x14ac:dyDescent="0.25">
      <c r="A141" t="s">
        <v>219</v>
      </c>
      <c r="B141">
        <f t="shared" si="9"/>
        <v>69</v>
      </c>
      <c r="E141" s="16" t="s">
        <v>72</v>
      </c>
      <c r="F141">
        <f t="shared" si="10"/>
        <v>69</v>
      </c>
    </row>
    <row r="142" spans="1:6" x14ac:dyDescent="0.25">
      <c r="A142" t="s">
        <v>220</v>
      </c>
      <c r="B142">
        <f t="shared" si="9"/>
        <v>70</v>
      </c>
      <c r="E142" s="15" t="s">
        <v>73</v>
      </c>
      <c r="F142">
        <f t="shared" si="10"/>
        <v>70</v>
      </c>
    </row>
    <row r="143" spans="1:6" x14ac:dyDescent="0.25">
      <c r="A143" s="111" t="s">
        <v>277</v>
      </c>
      <c r="B143">
        <f t="shared" si="9"/>
        <v>71</v>
      </c>
      <c r="E143" s="16" t="s">
        <v>74</v>
      </c>
      <c r="F143">
        <f>VLOOKUP("O Brien",$A$73:$B$172,2,0)</f>
        <v>71</v>
      </c>
    </row>
    <row r="144" spans="1:6" x14ac:dyDescent="0.25">
      <c r="A144" t="s">
        <v>222</v>
      </c>
      <c r="B144">
        <f t="shared" si="9"/>
        <v>72</v>
      </c>
      <c r="E144" s="15" t="s">
        <v>75</v>
      </c>
      <c r="F144">
        <f t="shared" si="10"/>
        <v>72</v>
      </c>
    </row>
    <row r="145" spans="1:6" x14ac:dyDescent="0.25">
      <c r="A145" t="s">
        <v>223</v>
      </c>
      <c r="B145">
        <f t="shared" si="9"/>
        <v>73</v>
      </c>
      <c r="E145" s="16" t="s">
        <v>76</v>
      </c>
      <c r="F145">
        <f t="shared" si="10"/>
        <v>75</v>
      </c>
    </row>
    <row r="146" spans="1:6" x14ac:dyDescent="0.25">
      <c r="A146" t="s">
        <v>224</v>
      </c>
      <c r="B146">
        <f t="shared" si="9"/>
        <v>75</v>
      </c>
      <c r="E146" s="15" t="s">
        <v>77</v>
      </c>
      <c r="F146">
        <f t="shared" si="10"/>
        <v>76</v>
      </c>
    </row>
    <row r="147" spans="1:6" x14ac:dyDescent="0.25">
      <c r="A147" t="s">
        <v>225</v>
      </c>
      <c r="B147">
        <f t="shared" si="9"/>
        <v>76</v>
      </c>
      <c r="E147" s="16" t="s">
        <v>78</v>
      </c>
      <c r="F147">
        <f t="shared" si="10"/>
        <v>77</v>
      </c>
    </row>
    <row r="148" spans="1:6" x14ac:dyDescent="0.25">
      <c r="A148" t="s">
        <v>226</v>
      </c>
      <c r="B148">
        <f t="shared" si="9"/>
        <v>77</v>
      </c>
      <c r="E148" s="15" t="s">
        <v>79</v>
      </c>
      <c r="F148">
        <f t="shared" si="10"/>
        <v>78</v>
      </c>
    </row>
    <row r="149" spans="1:6" x14ac:dyDescent="0.25">
      <c r="A149" t="s">
        <v>227</v>
      </c>
      <c r="B149">
        <f t="shared" si="9"/>
        <v>78</v>
      </c>
      <c r="E149" s="16" t="s">
        <v>80</v>
      </c>
      <c r="F149">
        <f t="shared" si="10"/>
        <v>79</v>
      </c>
    </row>
    <row r="150" spans="1:6" x14ac:dyDescent="0.25">
      <c r="A150" t="s">
        <v>228</v>
      </c>
      <c r="B150">
        <f t="shared" si="9"/>
        <v>79</v>
      </c>
      <c r="E150" s="15" t="s">
        <v>128</v>
      </c>
      <c r="F150" s="188">
        <f>VLOOKUP("Pottawattamie",$A$73:$B$172,2,0)</f>
        <v>80</v>
      </c>
    </row>
    <row r="151" spans="1:6" x14ac:dyDescent="0.25">
      <c r="A151" t="s">
        <v>229</v>
      </c>
      <c r="B151">
        <f t="shared" si="9"/>
        <v>80</v>
      </c>
      <c r="E151" s="16" t="s">
        <v>129</v>
      </c>
      <c r="F151" s="188">
        <f>+F150</f>
        <v>80</v>
      </c>
    </row>
    <row r="152" spans="1:6" x14ac:dyDescent="0.25">
      <c r="A152" t="s">
        <v>230</v>
      </c>
      <c r="B152">
        <f t="shared" si="9"/>
        <v>81</v>
      </c>
      <c r="E152" s="15" t="s">
        <v>81</v>
      </c>
      <c r="F152">
        <f t="shared" si="10"/>
        <v>81</v>
      </c>
    </row>
    <row r="153" spans="1:6" x14ac:dyDescent="0.25">
      <c r="A153" t="s">
        <v>231</v>
      </c>
      <c r="B153">
        <f t="shared" si="9"/>
        <v>82</v>
      </c>
      <c r="E153" s="16" t="s">
        <v>82</v>
      </c>
      <c r="F153">
        <f t="shared" si="10"/>
        <v>82</v>
      </c>
    </row>
    <row r="154" spans="1:6" x14ac:dyDescent="0.25">
      <c r="A154" t="s">
        <v>232</v>
      </c>
      <c r="B154">
        <f t="shared" si="9"/>
        <v>83</v>
      </c>
      <c r="E154" s="15" t="s">
        <v>83</v>
      </c>
      <c r="F154">
        <f t="shared" si="10"/>
        <v>83</v>
      </c>
    </row>
    <row r="155" spans="1:6" x14ac:dyDescent="0.25">
      <c r="A155" t="s">
        <v>233</v>
      </c>
      <c r="B155">
        <f>+HLOOKUP(A155,$B$1:$CX$32,32,0)</f>
        <v>84</v>
      </c>
      <c r="E155" s="16" t="s">
        <v>84</v>
      </c>
      <c r="F155">
        <f>VLOOKUP(E155,$A$73:$B$172,2,0)</f>
        <v>84</v>
      </c>
    </row>
    <row r="156" spans="1:6" x14ac:dyDescent="0.25">
      <c r="A156" t="s">
        <v>234</v>
      </c>
      <c r="B156">
        <f t="shared" si="9"/>
        <v>85</v>
      </c>
      <c r="E156" s="15" t="s">
        <v>85</v>
      </c>
      <c r="F156">
        <f t="shared" si="10"/>
        <v>85</v>
      </c>
    </row>
    <row r="157" spans="1:6" x14ac:dyDescent="0.25">
      <c r="A157" t="s">
        <v>235</v>
      </c>
      <c r="B157">
        <f t="shared" si="9"/>
        <v>86</v>
      </c>
      <c r="E157" s="16" t="s">
        <v>86</v>
      </c>
      <c r="F157">
        <f t="shared" si="10"/>
        <v>86</v>
      </c>
    </row>
    <row r="158" spans="1:6" x14ac:dyDescent="0.25">
      <c r="A158" t="s">
        <v>236</v>
      </c>
      <c r="B158">
        <f t="shared" si="9"/>
        <v>87</v>
      </c>
      <c r="E158" s="15" t="s">
        <v>87</v>
      </c>
      <c r="F158">
        <f t="shared" si="10"/>
        <v>87</v>
      </c>
    </row>
    <row r="159" spans="1:6" x14ac:dyDescent="0.25">
      <c r="A159" t="s">
        <v>237</v>
      </c>
      <c r="B159">
        <f t="shared" si="9"/>
        <v>88</v>
      </c>
      <c r="E159" s="16" t="s">
        <v>88</v>
      </c>
      <c r="F159">
        <f t="shared" si="10"/>
        <v>88</v>
      </c>
    </row>
    <row r="160" spans="1:6" x14ac:dyDescent="0.25">
      <c r="A160" t="s">
        <v>238</v>
      </c>
      <c r="B160">
        <f t="shared" si="9"/>
        <v>89</v>
      </c>
      <c r="E160" s="15" t="s">
        <v>89</v>
      </c>
      <c r="F160">
        <f t="shared" si="10"/>
        <v>89</v>
      </c>
    </row>
    <row r="161" spans="1:6" x14ac:dyDescent="0.25">
      <c r="A161" t="s">
        <v>239</v>
      </c>
      <c r="B161">
        <f t="shared" si="9"/>
        <v>90</v>
      </c>
      <c r="E161" s="16" t="s">
        <v>90</v>
      </c>
      <c r="F161">
        <f t="shared" si="10"/>
        <v>90</v>
      </c>
    </row>
    <row r="162" spans="1:6" x14ac:dyDescent="0.25">
      <c r="A162" t="s">
        <v>240</v>
      </c>
      <c r="B162">
        <f t="shared" si="9"/>
        <v>91</v>
      </c>
      <c r="E162" s="15" t="s">
        <v>91</v>
      </c>
      <c r="F162">
        <f t="shared" si="10"/>
        <v>91</v>
      </c>
    </row>
    <row r="163" spans="1:6" x14ac:dyDescent="0.25">
      <c r="A163" t="s">
        <v>241</v>
      </c>
      <c r="B163">
        <f t="shared" si="9"/>
        <v>92</v>
      </c>
      <c r="E163" s="16" t="s">
        <v>92</v>
      </c>
      <c r="F163">
        <f t="shared" si="10"/>
        <v>92</v>
      </c>
    </row>
    <row r="164" spans="1:6" x14ac:dyDescent="0.25">
      <c r="A164" t="s">
        <v>242</v>
      </c>
      <c r="B164">
        <f t="shared" si="9"/>
        <v>93</v>
      </c>
      <c r="E164" s="15" t="s">
        <v>93</v>
      </c>
      <c r="F164">
        <f t="shared" si="10"/>
        <v>93</v>
      </c>
    </row>
    <row r="165" spans="1:6" x14ac:dyDescent="0.25">
      <c r="A165" t="s">
        <v>243</v>
      </c>
      <c r="B165">
        <f t="shared" si="9"/>
        <v>94</v>
      </c>
      <c r="E165" s="16" t="s">
        <v>94</v>
      </c>
      <c r="F165">
        <f t="shared" si="10"/>
        <v>94</v>
      </c>
    </row>
    <row r="166" spans="1:6" x14ac:dyDescent="0.25">
      <c r="A166" t="s">
        <v>244</v>
      </c>
      <c r="B166">
        <f t="shared" si="9"/>
        <v>95</v>
      </c>
      <c r="E166" s="15" t="s">
        <v>95</v>
      </c>
      <c r="F166">
        <f t="shared" si="10"/>
        <v>95</v>
      </c>
    </row>
    <row r="167" spans="1:6" x14ac:dyDescent="0.25">
      <c r="A167" t="s">
        <v>245</v>
      </c>
      <c r="B167">
        <f t="shared" si="9"/>
        <v>96</v>
      </c>
      <c r="E167" s="16" t="s">
        <v>96</v>
      </c>
      <c r="F167">
        <f t="shared" si="10"/>
        <v>96</v>
      </c>
    </row>
    <row r="168" spans="1:6" x14ac:dyDescent="0.25">
      <c r="A168" t="s">
        <v>246</v>
      </c>
      <c r="B168">
        <f t="shared" si="9"/>
        <v>97</v>
      </c>
      <c r="E168" s="15" t="s">
        <v>97</v>
      </c>
      <c r="F168">
        <f t="shared" si="10"/>
        <v>97</v>
      </c>
    </row>
    <row r="169" spans="1:6" x14ac:dyDescent="0.25">
      <c r="A169" t="s">
        <v>247</v>
      </c>
      <c r="B169">
        <f t="shared" si="9"/>
        <v>98</v>
      </c>
      <c r="E169" s="16" t="s">
        <v>98</v>
      </c>
      <c r="F169">
        <f t="shared" si="10"/>
        <v>98</v>
      </c>
    </row>
    <row r="170" spans="1:6" x14ac:dyDescent="0.25">
      <c r="A170" t="s">
        <v>248</v>
      </c>
      <c r="B170">
        <f t="shared" si="9"/>
        <v>99</v>
      </c>
      <c r="E170" s="15" t="s">
        <v>99</v>
      </c>
      <c r="F170">
        <f t="shared" si="10"/>
        <v>99</v>
      </c>
    </row>
    <row r="171" spans="1:6" x14ac:dyDescent="0.25">
      <c r="A171" t="s">
        <v>249</v>
      </c>
      <c r="B171">
        <f t="shared" si="9"/>
        <v>100</v>
      </c>
      <c r="E171" s="16" t="s">
        <v>100</v>
      </c>
      <c r="F171">
        <f t="shared" si="10"/>
        <v>100</v>
      </c>
    </row>
    <row r="172" spans="1:6" x14ac:dyDescent="0.25">
      <c r="A172" t="s">
        <v>250</v>
      </c>
      <c r="B172">
        <f t="shared" si="9"/>
        <v>101</v>
      </c>
      <c r="E172" s="15" t="s">
        <v>101</v>
      </c>
      <c r="F172">
        <f t="shared" si="10"/>
        <v>101</v>
      </c>
    </row>
  </sheetData>
  <protectedRanges>
    <protectedRange sqref="E73:E172 A143" name="Range1"/>
  </protectedRange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00B050"/>
  </sheetPr>
  <dimension ref="A1:P104"/>
  <sheetViews>
    <sheetView workbookViewId="0">
      <selection activeCell="P9" sqref="P9"/>
    </sheetView>
  </sheetViews>
  <sheetFormatPr defaultColWidth="9.28515625" defaultRowHeight="12.75" x14ac:dyDescent="0.2"/>
  <cols>
    <col min="1" max="1" width="13.28515625" style="31" customWidth="1"/>
    <col min="2" max="2" width="9.7109375" style="31" bestFit="1" customWidth="1"/>
    <col min="3" max="3" width="10.7109375" style="32" customWidth="1"/>
    <col min="4" max="4" width="9" style="32" bestFit="1" customWidth="1"/>
    <col min="5" max="9" width="8.7109375" style="26" customWidth="1"/>
    <col min="10" max="16384" width="9.28515625" style="26"/>
  </cols>
  <sheetData>
    <row r="1" spans="1:16" ht="15" x14ac:dyDescent="0.25">
      <c r="A1" s="86" t="s">
        <v>296</v>
      </c>
      <c r="B1" s="70"/>
      <c r="C1" s="70"/>
      <c r="D1" s="71"/>
      <c r="F1" s="76"/>
      <c r="G1" s="76"/>
      <c r="H1" s="76"/>
      <c r="I1" s="76"/>
    </row>
    <row r="2" spans="1:16" ht="15.75" thickBot="1" x14ac:dyDescent="0.3">
      <c r="A2" s="83" t="s">
        <v>130</v>
      </c>
      <c r="B2" s="70"/>
      <c r="C2" s="71"/>
      <c r="D2" s="71"/>
      <c r="F2" s="85"/>
      <c r="G2" s="85"/>
      <c r="H2" s="85"/>
      <c r="I2" s="85"/>
    </row>
    <row r="3" spans="1:16" ht="105.75" thickBot="1" x14ac:dyDescent="0.3">
      <c r="A3" s="84" t="s">
        <v>107</v>
      </c>
      <c r="B3" s="84" t="s">
        <v>108</v>
      </c>
      <c r="C3" s="84" t="s">
        <v>109</v>
      </c>
      <c r="D3" s="84" t="s">
        <v>110</v>
      </c>
      <c r="E3" s="92" t="s">
        <v>142</v>
      </c>
      <c r="F3" s="92" t="s">
        <v>143</v>
      </c>
      <c r="G3" s="92" t="s">
        <v>281</v>
      </c>
      <c r="H3" s="92" t="s">
        <v>286</v>
      </c>
      <c r="I3" s="92" t="s">
        <v>297</v>
      </c>
    </row>
    <row r="4" spans="1:16" x14ac:dyDescent="0.2">
      <c r="A4" s="28" t="s">
        <v>4</v>
      </c>
      <c r="B4" s="30" t="s">
        <v>2</v>
      </c>
      <c r="C4" s="29" t="s">
        <v>111</v>
      </c>
      <c r="D4" s="29" t="s">
        <v>112</v>
      </c>
      <c r="E4" s="82">
        <v>153.32</v>
      </c>
      <c r="F4" s="82">
        <v>186.87</v>
      </c>
      <c r="G4" s="82">
        <v>180.9</v>
      </c>
      <c r="H4" s="82">
        <v>220.13</v>
      </c>
      <c r="I4" s="82">
        <v>159.09</v>
      </c>
      <c r="K4" s="26" t="b">
        <f>+M4=A4</f>
        <v>1</v>
      </c>
      <c r="L4" s="26" t="b">
        <f>+P4=D4</f>
        <v>1</v>
      </c>
      <c r="M4" s="26" t="s">
        <v>4</v>
      </c>
      <c r="N4" s="26" t="s">
        <v>2</v>
      </c>
      <c r="O4" s="26" t="s">
        <v>137</v>
      </c>
      <c r="P4" s="26" t="s">
        <v>112</v>
      </c>
    </row>
    <row r="5" spans="1:16" x14ac:dyDescent="0.2">
      <c r="A5" s="28" t="s">
        <v>5</v>
      </c>
      <c r="B5" s="30" t="s">
        <v>2</v>
      </c>
      <c r="C5" s="29" t="s">
        <v>111</v>
      </c>
      <c r="D5" s="29" t="s">
        <v>112</v>
      </c>
      <c r="E5" s="82">
        <v>185.29000000000002</v>
      </c>
      <c r="F5" s="82">
        <v>182.42</v>
      </c>
      <c r="G5" s="82">
        <v>192.25</v>
      </c>
      <c r="H5" s="82">
        <v>219.45000000000002</v>
      </c>
      <c r="I5" s="82">
        <v>161.85</v>
      </c>
      <c r="K5" s="26" t="b">
        <f t="shared" ref="K5:K32" si="0">+M5=A5</f>
        <v>1</v>
      </c>
      <c r="L5" s="26" t="b">
        <f t="shared" ref="L5:L32" si="1">+P5=D5</f>
        <v>1</v>
      </c>
      <c r="M5" s="26" t="s">
        <v>5</v>
      </c>
      <c r="N5" s="26" t="s">
        <v>2</v>
      </c>
      <c r="O5" s="26" t="s">
        <v>137</v>
      </c>
      <c r="P5" s="26" t="s">
        <v>112</v>
      </c>
    </row>
    <row r="6" spans="1:16" x14ac:dyDescent="0.2">
      <c r="A6" s="28" t="s">
        <v>6</v>
      </c>
      <c r="B6" s="30" t="s">
        <v>2</v>
      </c>
      <c r="C6" s="29" t="s">
        <v>111</v>
      </c>
      <c r="D6" s="29" t="s">
        <v>112</v>
      </c>
      <c r="E6" s="82">
        <v>204.4</v>
      </c>
      <c r="F6" s="82">
        <v>202.09</v>
      </c>
      <c r="G6" s="82">
        <v>199.03</v>
      </c>
      <c r="H6" s="82">
        <v>209.92000000000002</v>
      </c>
      <c r="I6" s="82">
        <v>219.10999999999999</v>
      </c>
      <c r="K6" s="26" t="b">
        <f t="shared" si="0"/>
        <v>1</v>
      </c>
      <c r="L6" s="26" t="b">
        <f t="shared" si="1"/>
        <v>1</v>
      </c>
      <c r="M6" s="26" t="s">
        <v>6</v>
      </c>
      <c r="N6" s="26" t="s">
        <v>2</v>
      </c>
      <c r="O6" s="26" t="s">
        <v>137</v>
      </c>
      <c r="P6" s="26" t="s">
        <v>112</v>
      </c>
    </row>
    <row r="7" spans="1:16" x14ac:dyDescent="0.2">
      <c r="A7" s="28" t="s">
        <v>7</v>
      </c>
      <c r="B7" s="30" t="s">
        <v>2</v>
      </c>
      <c r="C7" s="29" t="s">
        <v>111</v>
      </c>
      <c r="D7" s="29" t="s">
        <v>112</v>
      </c>
      <c r="E7" s="82">
        <v>152.06</v>
      </c>
      <c r="F7" s="82">
        <v>171.8</v>
      </c>
      <c r="G7" s="82">
        <v>156.99</v>
      </c>
      <c r="H7" s="82">
        <v>176.58999999999997</v>
      </c>
      <c r="I7" s="82">
        <v>156.32999999999998</v>
      </c>
      <c r="K7" s="26" t="b">
        <f t="shared" si="0"/>
        <v>1</v>
      </c>
      <c r="L7" s="26" t="b">
        <f t="shared" si="1"/>
        <v>1</v>
      </c>
      <c r="M7" s="26" t="s">
        <v>7</v>
      </c>
      <c r="N7" s="26" t="s">
        <v>2</v>
      </c>
      <c r="O7" s="26" t="s">
        <v>137</v>
      </c>
      <c r="P7" s="26" t="s">
        <v>112</v>
      </c>
    </row>
    <row r="8" spans="1:16" x14ac:dyDescent="0.2">
      <c r="A8" s="28" t="s">
        <v>8</v>
      </c>
      <c r="B8" s="30" t="s">
        <v>2</v>
      </c>
      <c r="C8" s="29" t="s">
        <v>111</v>
      </c>
      <c r="D8" s="29" t="s">
        <v>112</v>
      </c>
      <c r="E8" s="82">
        <v>223.95</v>
      </c>
      <c r="F8" s="82">
        <v>237.7</v>
      </c>
      <c r="G8" s="82">
        <v>181.35</v>
      </c>
      <c r="H8" s="82">
        <v>255.31</v>
      </c>
      <c r="I8" s="82">
        <v>215.41</v>
      </c>
      <c r="K8" s="26" t="b">
        <f t="shared" si="0"/>
        <v>1</v>
      </c>
      <c r="L8" s="26" t="b">
        <f t="shared" si="1"/>
        <v>1</v>
      </c>
      <c r="M8" s="26" t="s">
        <v>8</v>
      </c>
      <c r="N8" s="26" t="s">
        <v>2</v>
      </c>
      <c r="O8" s="26" t="s">
        <v>137</v>
      </c>
      <c r="P8" s="26" t="s">
        <v>112</v>
      </c>
    </row>
    <row r="9" spans="1:16" x14ac:dyDescent="0.2">
      <c r="A9" s="28" t="s">
        <v>9</v>
      </c>
      <c r="B9" s="30" t="s">
        <v>2</v>
      </c>
      <c r="C9" s="29" t="s">
        <v>111</v>
      </c>
      <c r="D9" s="29" t="s">
        <v>112</v>
      </c>
      <c r="E9" s="82">
        <v>247.79</v>
      </c>
      <c r="F9" s="82">
        <v>226.34</v>
      </c>
      <c r="G9" s="82">
        <v>162.68</v>
      </c>
      <c r="H9" s="82">
        <v>217.15</v>
      </c>
      <c r="I9" s="82">
        <v>232.12</v>
      </c>
      <c r="K9" s="26" t="b">
        <f t="shared" si="0"/>
        <v>1</v>
      </c>
      <c r="L9" s="26" t="b">
        <f t="shared" si="1"/>
        <v>1</v>
      </c>
      <c r="M9" s="26" t="s">
        <v>9</v>
      </c>
      <c r="N9" s="26" t="s">
        <v>2</v>
      </c>
      <c r="O9" s="26" t="s">
        <v>137</v>
      </c>
      <c r="P9" s="26" t="s">
        <v>112</v>
      </c>
    </row>
    <row r="10" spans="1:16" x14ac:dyDescent="0.2">
      <c r="A10" s="28" t="s">
        <v>10</v>
      </c>
      <c r="B10" s="30" t="s">
        <v>2</v>
      </c>
      <c r="C10" s="29" t="s">
        <v>111</v>
      </c>
      <c r="D10" s="29" t="s">
        <v>112</v>
      </c>
      <c r="E10" s="82">
        <v>237.45</v>
      </c>
      <c r="F10" s="82">
        <v>217.9</v>
      </c>
      <c r="G10" s="82">
        <v>188.92</v>
      </c>
      <c r="H10" s="82">
        <v>213.5</v>
      </c>
      <c r="I10" s="82">
        <v>218.9</v>
      </c>
      <c r="K10" s="26" t="b">
        <f t="shared" si="0"/>
        <v>1</v>
      </c>
      <c r="L10" s="26" t="b">
        <f t="shared" si="1"/>
        <v>1</v>
      </c>
      <c r="M10" s="26" t="s">
        <v>10</v>
      </c>
      <c r="N10" s="26" t="s">
        <v>2</v>
      </c>
      <c r="O10" s="26" t="s">
        <v>137</v>
      </c>
      <c r="P10" s="26" t="s">
        <v>112</v>
      </c>
    </row>
    <row r="11" spans="1:16" x14ac:dyDescent="0.2">
      <c r="A11" s="28" t="s">
        <v>11</v>
      </c>
      <c r="B11" s="30" t="s">
        <v>2</v>
      </c>
      <c r="C11" s="29" t="s">
        <v>111</v>
      </c>
      <c r="D11" s="29" t="s">
        <v>112</v>
      </c>
      <c r="E11" s="82">
        <v>210.15</v>
      </c>
      <c r="F11" s="82">
        <v>214.97</v>
      </c>
      <c r="G11" s="82">
        <v>154.80000000000001</v>
      </c>
      <c r="H11" s="82">
        <v>222</v>
      </c>
      <c r="I11" s="82">
        <v>216.33999999999997</v>
      </c>
      <c r="K11" s="26" t="b">
        <f t="shared" si="0"/>
        <v>1</v>
      </c>
      <c r="L11" s="26" t="b">
        <f t="shared" si="1"/>
        <v>1</v>
      </c>
      <c r="M11" s="26" t="s">
        <v>11</v>
      </c>
      <c r="N11" s="26" t="s">
        <v>2</v>
      </c>
      <c r="O11" s="26" t="s">
        <v>137</v>
      </c>
      <c r="P11" s="26" t="s">
        <v>112</v>
      </c>
    </row>
    <row r="12" spans="1:16" x14ac:dyDescent="0.2">
      <c r="A12" s="28" t="s">
        <v>12</v>
      </c>
      <c r="B12" s="30" t="s">
        <v>2</v>
      </c>
      <c r="C12" s="29" t="s">
        <v>111</v>
      </c>
      <c r="D12" s="29" t="s">
        <v>112</v>
      </c>
      <c r="E12" s="82">
        <v>233.10000000000002</v>
      </c>
      <c r="F12" s="82">
        <v>231.23</v>
      </c>
      <c r="G12" s="82">
        <v>205.78</v>
      </c>
      <c r="H12" s="82">
        <v>211.43</v>
      </c>
      <c r="I12" s="82">
        <v>229.41</v>
      </c>
      <c r="K12" s="26" t="b">
        <f t="shared" si="0"/>
        <v>1</v>
      </c>
      <c r="L12" s="26" t="b">
        <f t="shared" si="1"/>
        <v>1</v>
      </c>
      <c r="M12" s="26" t="s">
        <v>12</v>
      </c>
      <c r="N12" s="26" t="s">
        <v>2</v>
      </c>
      <c r="O12" s="26" t="s">
        <v>137</v>
      </c>
      <c r="P12" s="26" t="s">
        <v>112</v>
      </c>
    </row>
    <row r="13" spans="1:16" x14ac:dyDescent="0.2">
      <c r="A13" s="28" t="s">
        <v>13</v>
      </c>
      <c r="B13" s="30" t="s">
        <v>2</v>
      </c>
      <c r="C13" s="29" t="s">
        <v>111</v>
      </c>
      <c r="D13" s="29" t="s">
        <v>112</v>
      </c>
      <c r="E13" s="82">
        <v>232.11</v>
      </c>
      <c r="F13" s="82">
        <v>219.37</v>
      </c>
      <c r="G13" s="82">
        <v>191.21</v>
      </c>
      <c r="H13" s="82">
        <v>223.88</v>
      </c>
      <c r="I13" s="82">
        <v>224.13000000000002</v>
      </c>
      <c r="K13" s="26" t="b">
        <f t="shared" si="0"/>
        <v>1</v>
      </c>
      <c r="L13" s="26" t="b">
        <f t="shared" si="1"/>
        <v>1</v>
      </c>
      <c r="M13" s="26" t="s">
        <v>13</v>
      </c>
      <c r="N13" s="26" t="s">
        <v>2</v>
      </c>
      <c r="O13" s="26" t="s">
        <v>137</v>
      </c>
      <c r="P13" s="26" t="s">
        <v>112</v>
      </c>
    </row>
    <row r="14" spans="1:16" x14ac:dyDescent="0.2">
      <c r="A14" s="28" t="s">
        <v>14</v>
      </c>
      <c r="B14" s="30" t="s">
        <v>2</v>
      </c>
      <c r="C14" s="29" t="s">
        <v>111</v>
      </c>
      <c r="D14" s="29" t="s">
        <v>112</v>
      </c>
      <c r="E14" s="82">
        <v>215.06</v>
      </c>
      <c r="F14" s="82">
        <v>203.57999999999998</v>
      </c>
      <c r="G14" s="82">
        <v>191.81</v>
      </c>
      <c r="H14" s="82">
        <v>225.9</v>
      </c>
      <c r="I14" s="82">
        <v>209.32000000000002</v>
      </c>
      <c r="K14" s="26" t="b">
        <f t="shared" si="0"/>
        <v>1</v>
      </c>
      <c r="L14" s="26" t="b">
        <f t="shared" si="1"/>
        <v>1</v>
      </c>
      <c r="M14" s="26" t="s">
        <v>14</v>
      </c>
      <c r="N14" s="26" t="s">
        <v>2</v>
      </c>
      <c r="O14" s="26" t="s">
        <v>137</v>
      </c>
      <c r="P14" s="26" t="s">
        <v>112</v>
      </c>
    </row>
    <row r="15" spans="1:16" x14ac:dyDescent="0.2">
      <c r="A15" s="28" t="s">
        <v>15</v>
      </c>
      <c r="B15" s="30" t="s">
        <v>2</v>
      </c>
      <c r="C15" s="29" t="s">
        <v>111</v>
      </c>
      <c r="D15" s="29" t="s">
        <v>112</v>
      </c>
      <c r="E15" s="82">
        <v>231.6</v>
      </c>
      <c r="F15" s="82">
        <v>224.01000000000002</v>
      </c>
      <c r="G15" s="82">
        <v>193.82</v>
      </c>
      <c r="H15" s="82">
        <v>214.01</v>
      </c>
      <c r="I15" s="82">
        <v>219.79999999999998</v>
      </c>
      <c r="K15" s="26" t="b">
        <f t="shared" si="0"/>
        <v>1</v>
      </c>
      <c r="L15" s="26" t="b">
        <f t="shared" si="1"/>
        <v>1</v>
      </c>
      <c r="M15" s="26" t="s">
        <v>15</v>
      </c>
      <c r="N15" s="26" t="s">
        <v>2</v>
      </c>
      <c r="O15" s="26" t="s">
        <v>137</v>
      </c>
      <c r="P15" s="26" t="s">
        <v>112</v>
      </c>
    </row>
    <row r="16" spans="1:16" x14ac:dyDescent="0.2">
      <c r="A16" s="28" t="s">
        <v>16</v>
      </c>
      <c r="B16" s="30" t="s">
        <v>2</v>
      </c>
      <c r="C16" s="29" t="s">
        <v>111</v>
      </c>
      <c r="D16" s="29" t="s">
        <v>112</v>
      </c>
      <c r="E16" s="82">
        <v>213.17000000000002</v>
      </c>
      <c r="F16" s="82">
        <v>215.87</v>
      </c>
      <c r="G16" s="82">
        <v>171.82000000000002</v>
      </c>
      <c r="H16" s="82">
        <v>235.33</v>
      </c>
      <c r="I16" s="82">
        <v>209.56</v>
      </c>
      <c r="K16" s="26" t="b">
        <f t="shared" si="0"/>
        <v>1</v>
      </c>
      <c r="L16" s="26" t="b">
        <f t="shared" si="1"/>
        <v>1</v>
      </c>
      <c r="M16" s="26" t="s">
        <v>16</v>
      </c>
      <c r="N16" s="26" t="s">
        <v>2</v>
      </c>
      <c r="O16" s="26" t="s">
        <v>137</v>
      </c>
      <c r="P16" s="26" t="s">
        <v>112</v>
      </c>
    </row>
    <row r="17" spans="1:16" x14ac:dyDescent="0.2">
      <c r="A17" s="28" t="s">
        <v>17</v>
      </c>
      <c r="B17" s="30" t="s">
        <v>2</v>
      </c>
      <c r="C17" s="29" t="s">
        <v>111</v>
      </c>
      <c r="D17" s="29" t="s">
        <v>112</v>
      </c>
      <c r="E17" s="82">
        <v>231.94</v>
      </c>
      <c r="F17" s="82">
        <v>243.57</v>
      </c>
      <c r="G17" s="82">
        <v>171.64999999999998</v>
      </c>
      <c r="H17" s="82">
        <v>243.92000000000002</v>
      </c>
      <c r="I17" s="82">
        <v>224.39</v>
      </c>
      <c r="K17" s="26" t="b">
        <f t="shared" si="0"/>
        <v>1</v>
      </c>
      <c r="L17" s="26" t="b">
        <f t="shared" si="1"/>
        <v>1</v>
      </c>
      <c r="M17" s="26" t="s">
        <v>17</v>
      </c>
      <c r="N17" s="26" t="s">
        <v>2</v>
      </c>
      <c r="O17" s="26" t="s">
        <v>137</v>
      </c>
      <c r="P17" s="26" t="s">
        <v>112</v>
      </c>
    </row>
    <row r="18" spans="1:16" x14ac:dyDescent="0.2">
      <c r="A18" s="28" t="s">
        <v>18</v>
      </c>
      <c r="B18" s="30" t="s">
        <v>2</v>
      </c>
      <c r="C18" s="29" t="s">
        <v>111</v>
      </c>
      <c r="D18" s="29" t="s">
        <v>112</v>
      </c>
      <c r="E18" s="82">
        <v>183.29</v>
      </c>
      <c r="F18" s="82">
        <v>217.1</v>
      </c>
      <c r="G18" s="82">
        <v>191.47</v>
      </c>
      <c r="H18" s="82">
        <v>237.04</v>
      </c>
      <c r="I18" s="82">
        <v>187.29999999999998</v>
      </c>
      <c r="K18" s="26" t="b">
        <f t="shared" si="0"/>
        <v>1</v>
      </c>
      <c r="L18" s="26" t="b">
        <f t="shared" si="1"/>
        <v>1</v>
      </c>
      <c r="M18" s="26" t="s">
        <v>18</v>
      </c>
      <c r="N18" s="26" t="s">
        <v>2</v>
      </c>
      <c r="O18" s="26" t="s">
        <v>137</v>
      </c>
      <c r="P18" s="26" t="s">
        <v>112</v>
      </c>
    </row>
    <row r="19" spans="1:16" x14ac:dyDescent="0.2">
      <c r="A19" s="28" t="s">
        <v>19</v>
      </c>
      <c r="B19" s="30" t="s">
        <v>2</v>
      </c>
      <c r="C19" s="29" t="s">
        <v>111</v>
      </c>
      <c r="D19" s="29" t="s">
        <v>112</v>
      </c>
      <c r="E19" s="82">
        <v>243.25</v>
      </c>
      <c r="F19" s="82">
        <v>211.71</v>
      </c>
      <c r="G19" s="82">
        <v>173.87</v>
      </c>
      <c r="H19" s="82">
        <v>230.87</v>
      </c>
      <c r="I19" s="82">
        <v>237.65</v>
      </c>
      <c r="K19" s="26" t="b">
        <f t="shared" si="0"/>
        <v>1</v>
      </c>
      <c r="L19" s="26" t="b">
        <f t="shared" si="1"/>
        <v>1</v>
      </c>
      <c r="M19" s="26" t="s">
        <v>19</v>
      </c>
      <c r="N19" s="26" t="s">
        <v>2</v>
      </c>
      <c r="O19" s="26" t="s">
        <v>137</v>
      </c>
      <c r="P19" s="26" t="s">
        <v>112</v>
      </c>
    </row>
    <row r="20" spans="1:16" x14ac:dyDescent="0.2">
      <c r="A20" s="28" t="s">
        <v>20</v>
      </c>
      <c r="B20" s="30" t="s">
        <v>2</v>
      </c>
      <c r="C20" s="29" t="s">
        <v>111</v>
      </c>
      <c r="D20" s="29" t="s">
        <v>112</v>
      </c>
      <c r="E20" s="82">
        <v>186.42999999999998</v>
      </c>
      <c r="F20" s="82">
        <v>211.97</v>
      </c>
      <c r="G20" s="82">
        <v>205.46</v>
      </c>
      <c r="H20" s="82">
        <v>211.79</v>
      </c>
      <c r="I20" s="82">
        <v>222.35999999999999</v>
      </c>
      <c r="K20" s="26" t="b">
        <f t="shared" si="0"/>
        <v>1</v>
      </c>
      <c r="L20" s="26" t="b">
        <f t="shared" si="1"/>
        <v>1</v>
      </c>
      <c r="M20" s="26" t="s">
        <v>20</v>
      </c>
      <c r="N20" s="26" t="s">
        <v>2</v>
      </c>
      <c r="O20" s="26" t="s">
        <v>137</v>
      </c>
      <c r="P20" s="26" t="s">
        <v>112</v>
      </c>
    </row>
    <row r="21" spans="1:16" x14ac:dyDescent="0.2">
      <c r="A21" s="28" t="s">
        <v>21</v>
      </c>
      <c r="B21" s="30" t="s">
        <v>2</v>
      </c>
      <c r="C21" s="29" t="s">
        <v>111</v>
      </c>
      <c r="D21" s="29" t="s">
        <v>112</v>
      </c>
      <c r="E21" s="82">
        <v>240.21</v>
      </c>
      <c r="F21" s="82">
        <v>234.39999999999998</v>
      </c>
      <c r="G21" s="82">
        <v>205.67000000000002</v>
      </c>
      <c r="H21" s="82">
        <v>231.62</v>
      </c>
      <c r="I21" s="82">
        <v>203.44</v>
      </c>
      <c r="K21" s="26" t="b">
        <f t="shared" si="0"/>
        <v>1</v>
      </c>
      <c r="L21" s="26" t="b">
        <f t="shared" si="1"/>
        <v>1</v>
      </c>
      <c r="M21" s="26" t="s">
        <v>21</v>
      </c>
      <c r="N21" s="26" t="s">
        <v>2</v>
      </c>
      <c r="O21" s="26" t="s">
        <v>137</v>
      </c>
      <c r="P21" s="26" t="s">
        <v>112</v>
      </c>
    </row>
    <row r="22" spans="1:16" x14ac:dyDescent="0.2">
      <c r="A22" s="28" t="s">
        <v>22</v>
      </c>
      <c r="B22" s="30" t="s">
        <v>2</v>
      </c>
      <c r="C22" s="29" t="s">
        <v>111</v>
      </c>
      <c r="D22" s="29" t="s">
        <v>112</v>
      </c>
      <c r="E22" s="82">
        <v>211.26999999999998</v>
      </c>
      <c r="F22" s="82">
        <v>222.35</v>
      </c>
      <c r="G22" s="82">
        <v>198.11</v>
      </c>
      <c r="H22" s="82">
        <v>229.20000000000002</v>
      </c>
      <c r="I22" s="82">
        <v>230</v>
      </c>
      <c r="K22" s="26" t="b">
        <f t="shared" si="0"/>
        <v>1</v>
      </c>
      <c r="L22" s="26" t="b">
        <f t="shared" si="1"/>
        <v>1</v>
      </c>
      <c r="M22" s="26" t="s">
        <v>22</v>
      </c>
      <c r="N22" s="26" t="s">
        <v>2</v>
      </c>
      <c r="O22" s="26" t="s">
        <v>137</v>
      </c>
      <c r="P22" s="26" t="s">
        <v>112</v>
      </c>
    </row>
    <row r="23" spans="1:16" x14ac:dyDescent="0.2">
      <c r="A23" s="28" t="s">
        <v>23</v>
      </c>
      <c r="B23" s="30" t="s">
        <v>2</v>
      </c>
      <c r="C23" s="29" t="s">
        <v>111</v>
      </c>
      <c r="D23" s="29" t="s">
        <v>112</v>
      </c>
      <c r="E23" s="82">
        <v>161.41999999999999</v>
      </c>
      <c r="F23" s="82">
        <v>159.43</v>
      </c>
      <c r="G23" s="82">
        <v>164.93</v>
      </c>
      <c r="H23" s="82">
        <v>187</v>
      </c>
      <c r="I23" s="82">
        <v>106.01</v>
      </c>
      <c r="K23" s="26" t="b">
        <f t="shared" si="0"/>
        <v>1</v>
      </c>
      <c r="L23" s="26" t="b">
        <f t="shared" si="1"/>
        <v>1</v>
      </c>
      <c r="M23" s="26" t="s">
        <v>23</v>
      </c>
      <c r="N23" s="26" t="s">
        <v>2</v>
      </c>
      <c r="O23" s="26" t="s">
        <v>137</v>
      </c>
      <c r="P23" s="26" t="s">
        <v>112</v>
      </c>
    </row>
    <row r="24" spans="1:16" x14ac:dyDescent="0.2">
      <c r="A24" s="28" t="s">
        <v>24</v>
      </c>
      <c r="B24" s="30" t="s">
        <v>2</v>
      </c>
      <c r="C24" s="29" t="s">
        <v>111</v>
      </c>
      <c r="D24" s="29" t="s">
        <v>112</v>
      </c>
      <c r="E24" s="82">
        <v>176.52999999999997</v>
      </c>
      <c r="F24" s="82">
        <v>187.73</v>
      </c>
      <c r="G24" s="82">
        <v>182</v>
      </c>
      <c r="H24" s="82">
        <v>214.68</v>
      </c>
      <c r="I24" s="82">
        <v>199.39</v>
      </c>
      <c r="K24" s="26" t="b">
        <f t="shared" si="0"/>
        <v>1</v>
      </c>
      <c r="L24" s="26" t="b">
        <f t="shared" si="1"/>
        <v>1</v>
      </c>
      <c r="M24" s="26" t="s">
        <v>24</v>
      </c>
      <c r="N24" s="26" t="s">
        <v>2</v>
      </c>
      <c r="O24" s="26" t="s">
        <v>137</v>
      </c>
      <c r="P24" s="26" t="s">
        <v>112</v>
      </c>
    </row>
    <row r="25" spans="1:16" x14ac:dyDescent="0.2">
      <c r="A25" s="28" t="s">
        <v>25</v>
      </c>
      <c r="B25" s="30" t="s">
        <v>2</v>
      </c>
      <c r="C25" s="29" t="s">
        <v>111</v>
      </c>
      <c r="D25" s="29" t="s">
        <v>112</v>
      </c>
      <c r="E25" s="82">
        <v>219.76</v>
      </c>
      <c r="F25" s="82">
        <v>217.56</v>
      </c>
      <c r="G25" s="82">
        <v>205.34</v>
      </c>
      <c r="H25" s="82">
        <v>220.73000000000002</v>
      </c>
      <c r="I25" s="82">
        <v>225.88</v>
      </c>
      <c r="K25" s="26" t="b">
        <f t="shared" si="0"/>
        <v>1</v>
      </c>
      <c r="L25" s="26" t="b">
        <f t="shared" si="1"/>
        <v>1</v>
      </c>
      <c r="M25" s="26" t="s">
        <v>25</v>
      </c>
      <c r="N25" s="26" t="s">
        <v>2</v>
      </c>
      <c r="O25" s="26" t="s">
        <v>137</v>
      </c>
      <c r="P25" s="26" t="s">
        <v>112</v>
      </c>
    </row>
    <row r="26" spans="1:16" x14ac:dyDescent="0.2">
      <c r="A26" s="28" t="s">
        <v>26</v>
      </c>
      <c r="B26" s="30" t="s">
        <v>2</v>
      </c>
      <c r="C26" s="29" t="s">
        <v>111</v>
      </c>
      <c r="D26" s="29" t="s">
        <v>112</v>
      </c>
      <c r="E26" s="82">
        <v>232.33</v>
      </c>
      <c r="F26" s="82">
        <v>197.49</v>
      </c>
      <c r="G26" s="82">
        <v>191.61</v>
      </c>
      <c r="H26" s="82">
        <v>226.01999999999998</v>
      </c>
      <c r="I26" s="82">
        <v>236.97</v>
      </c>
      <c r="K26" s="26" t="b">
        <f t="shared" si="0"/>
        <v>1</v>
      </c>
      <c r="L26" s="26" t="b">
        <f t="shared" si="1"/>
        <v>1</v>
      </c>
      <c r="M26" s="26" t="s">
        <v>26</v>
      </c>
      <c r="N26" s="26" t="s">
        <v>2</v>
      </c>
      <c r="O26" s="26" t="s">
        <v>137</v>
      </c>
      <c r="P26" s="26" t="s">
        <v>112</v>
      </c>
    </row>
    <row r="27" spans="1:16" x14ac:dyDescent="0.2">
      <c r="A27" s="28" t="s">
        <v>27</v>
      </c>
      <c r="B27" s="30" t="s">
        <v>2</v>
      </c>
      <c r="C27" s="29" t="s">
        <v>111</v>
      </c>
      <c r="D27" s="29" t="s">
        <v>112</v>
      </c>
      <c r="E27" s="82">
        <v>240.88</v>
      </c>
      <c r="F27" s="82">
        <v>244.19</v>
      </c>
      <c r="G27" s="82">
        <v>199.19</v>
      </c>
      <c r="H27" s="82">
        <v>244.85</v>
      </c>
      <c r="I27" s="82">
        <v>229.83</v>
      </c>
      <c r="K27" s="26" t="b">
        <f t="shared" si="0"/>
        <v>1</v>
      </c>
      <c r="L27" s="26" t="b">
        <f t="shared" si="1"/>
        <v>1</v>
      </c>
      <c r="M27" s="26" t="s">
        <v>27</v>
      </c>
      <c r="N27" s="26" t="s">
        <v>2</v>
      </c>
      <c r="O27" s="26" t="s">
        <v>137</v>
      </c>
      <c r="P27" s="26" t="s">
        <v>112</v>
      </c>
    </row>
    <row r="28" spans="1:16" x14ac:dyDescent="0.2">
      <c r="A28" s="28" t="s">
        <v>28</v>
      </c>
      <c r="B28" s="30" t="s">
        <v>2</v>
      </c>
      <c r="C28" s="29" t="s">
        <v>111</v>
      </c>
      <c r="D28" s="29" t="s">
        <v>112</v>
      </c>
      <c r="E28" s="82">
        <v>199.02</v>
      </c>
      <c r="F28" s="82">
        <v>218.83999999999997</v>
      </c>
      <c r="G28" s="82">
        <v>147.16</v>
      </c>
      <c r="H28" s="82">
        <v>232.6</v>
      </c>
      <c r="I28" s="82">
        <v>197.23999999999998</v>
      </c>
      <c r="K28" s="26" t="b">
        <f t="shared" si="0"/>
        <v>1</v>
      </c>
      <c r="L28" s="26" t="b">
        <f t="shared" si="1"/>
        <v>1</v>
      </c>
      <c r="M28" s="26" t="s">
        <v>28</v>
      </c>
      <c r="N28" s="26" t="s">
        <v>2</v>
      </c>
      <c r="O28" s="26" t="s">
        <v>137</v>
      </c>
      <c r="P28" s="26" t="s">
        <v>112</v>
      </c>
    </row>
    <row r="29" spans="1:16" x14ac:dyDescent="0.2">
      <c r="A29" s="28" t="s">
        <v>29</v>
      </c>
      <c r="B29" s="30" t="s">
        <v>2</v>
      </c>
      <c r="C29" s="29" t="s">
        <v>111</v>
      </c>
      <c r="D29" s="29" t="s">
        <v>112</v>
      </c>
      <c r="E29" s="82">
        <v>159.5</v>
      </c>
      <c r="F29" s="82">
        <v>163.51000000000002</v>
      </c>
      <c r="G29" s="82">
        <v>158.07</v>
      </c>
      <c r="H29" s="82">
        <v>157.88</v>
      </c>
      <c r="I29" s="82">
        <v>155.76000000000002</v>
      </c>
      <c r="K29" s="26" t="b">
        <f t="shared" si="0"/>
        <v>1</v>
      </c>
      <c r="L29" s="26" t="b">
        <f t="shared" si="1"/>
        <v>1</v>
      </c>
      <c r="M29" s="26" t="s">
        <v>29</v>
      </c>
      <c r="N29" s="26" t="s">
        <v>2</v>
      </c>
      <c r="O29" s="26" t="s">
        <v>137</v>
      </c>
      <c r="P29" s="26" t="s">
        <v>112</v>
      </c>
    </row>
    <row r="30" spans="1:16" x14ac:dyDescent="0.2">
      <c r="A30" s="28" t="s">
        <v>30</v>
      </c>
      <c r="B30" s="30" t="s">
        <v>2</v>
      </c>
      <c r="C30" s="29" t="s">
        <v>111</v>
      </c>
      <c r="D30" s="29" t="s">
        <v>112</v>
      </c>
      <c r="E30" s="82">
        <v>170.14000000000001</v>
      </c>
      <c r="F30" s="82">
        <v>153.25</v>
      </c>
      <c r="G30" s="82">
        <v>167.23</v>
      </c>
      <c r="H30" s="82">
        <v>181.94</v>
      </c>
      <c r="I30" s="82">
        <v>139.88000000000002</v>
      </c>
      <c r="K30" s="26" t="b">
        <f t="shared" si="0"/>
        <v>1</v>
      </c>
      <c r="L30" s="26" t="b">
        <f t="shared" si="1"/>
        <v>1</v>
      </c>
      <c r="M30" s="26" t="s">
        <v>30</v>
      </c>
      <c r="N30" s="26" t="s">
        <v>2</v>
      </c>
      <c r="O30" s="26" t="s">
        <v>137</v>
      </c>
      <c r="P30" s="26" t="s">
        <v>112</v>
      </c>
    </row>
    <row r="31" spans="1:16" x14ac:dyDescent="0.2">
      <c r="A31" s="28" t="s">
        <v>31</v>
      </c>
      <c r="B31" s="30" t="s">
        <v>2</v>
      </c>
      <c r="C31" s="29" t="s">
        <v>111</v>
      </c>
      <c r="D31" s="29" t="s">
        <v>112</v>
      </c>
      <c r="E31" s="82">
        <v>238.57999999999998</v>
      </c>
      <c r="F31" s="82">
        <v>228.34</v>
      </c>
      <c r="G31" s="82">
        <v>198.04</v>
      </c>
      <c r="H31" s="82">
        <v>231.02</v>
      </c>
      <c r="I31" s="82">
        <v>240.65</v>
      </c>
      <c r="K31" s="26" t="b">
        <f t="shared" si="0"/>
        <v>1</v>
      </c>
      <c r="L31" s="26" t="b">
        <f t="shared" si="1"/>
        <v>1</v>
      </c>
      <c r="M31" s="26" t="s">
        <v>31</v>
      </c>
      <c r="N31" s="26" t="s">
        <v>2</v>
      </c>
      <c r="O31" s="26" t="s">
        <v>137</v>
      </c>
      <c r="P31" s="26" t="s">
        <v>112</v>
      </c>
    </row>
    <row r="32" spans="1:16" x14ac:dyDescent="0.2">
      <c r="A32" s="28" t="s">
        <v>32</v>
      </c>
      <c r="B32" s="30" t="s">
        <v>2</v>
      </c>
      <c r="C32" s="29" t="s">
        <v>111</v>
      </c>
      <c r="D32" s="29" t="s">
        <v>138</v>
      </c>
      <c r="E32" s="82">
        <v>218.32</v>
      </c>
      <c r="F32" s="82">
        <v>188.25</v>
      </c>
      <c r="G32" s="82">
        <v>202.59</v>
      </c>
      <c r="H32" s="82">
        <v>170.96</v>
      </c>
      <c r="I32" s="82">
        <v>226.49</v>
      </c>
      <c r="K32" s="26" t="b">
        <f t="shared" si="0"/>
        <v>1</v>
      </c>
      <c r="L32" s="26" t="b">
        <f t="shared" si="1"/>
        <v>1</v>
      </c>
      <c r="M32" s="26" t="s">
        <v>32</v>
      </c>
      <c r="N32" s="26" t="s">
        <v>2</v>
      </c>
      <c r="O32" s="26" t="s">
        <v>137</v>
      </c>
      <c r="P32" s="26" t="s">
        <v>138</v>
      </c>
    </row>
    <row r="33" spans="1:16" x14ac:dyDescent="0.2">
      <c r="A33" s="28" t="s">
        <v>33</v>
      </c>
      <c r="B33" s="30" t="s">
        <v>2</v>
      </c>
      <c r="C33" s="29" t="s">
        <v>111</v>
      </c>
      <c r="D33" s="29" t="s">
        <v>138</v>
      </c>
      <c r="E33" s="82">
        <v>175.3</v>
      </c>
      <c r="F33" s="82">
        <v>188.4</v>
      </c>
      <c r="G33" s="82">
        <v>188.93</v>
      </c>
      <c r="H33" s="82">
        <v>225.69</v>
      </c>
      <c r="I33" s="82">
        <v>208.5</v>
      </c>
      <c r="K33" s="26" t="b">
        <f t="shared" ref="K33:K96" si="2">+M33=A33</f>
        <v>1</v>
      </c>
      <c r="L33" s="26" t="b">
        <f t="shared" ref="L33:L96" si="3">+P33=D33</f>
        <v>1</v>
      </c>
      <c r="M33" s="26" t="s">
        <v>33</v>
      </c>
      <c r="N33" s="26" t="s">
        <v>2</v>
      </c>
      <c r="O33" s="26" t="s">
        <v>137</v>
      </c>
      <c r="P33" s="26" t="s">
        <v>138</v>
      </c>
    </row>
    <row r="34" spans="1:16" x14ac:dyDescent="0.2">
      <c r="A34" s="28" t="s">
        <v>34</v>
      </c>
      <c r="B34" s="30" t="s">
        <v>2</v>
      </c>
      <c r="C34" s="29" t="s">
        <v>111</v>
      </c>
      <c r="D34" s="29" t="s">
        <v>112</v>
      </c>
      <c r="E34" s="82">
        <v>236.83999999999997</v>
      </c>
      <c r="F34" s="82">
        <v>227.21</v>
      </c>
      <c r="G34" s="82">
        <v>209.63</v>
      </c>
      <c r="H34" s="82">
        <v>228.6</v>
      </c>
      <c r="I34" s="82">
        <v>238.31</v>
      </c>
      <c r="K34" s="26" t="b">
        <f t="shared" si="2"/>
        <v>1</v>
      </c>
      <c r="L34" s="26" t="b">
        <f t="shared" si="3"/>
        <v>1</v>
      </c>
      <c r="M34" s="26" t="s">
        <v>34</v>
      </c>
      <c r="N34" s="26" t="s">
        <v>2</v>
      </c>
      <c r="O34" s="26" t="s">
        <v>137</v>
      </c>
      <c r="P34" s="26" t="s">
        <v>112</v>
      </c>
    </row>
    <row r="35" spans="1:16" x14ac:dyDescent="0.2">
      <c r="A35" s="31" t="s">
        <v>35</v>
      </c>
      <c r="B35" s="31" t="s">
        <v>2</v>
      </c>
      <c r="C35" s="32" t="s">
        <v>111</v>
      </c>
      <c r="D35" s="32" t="s">
        <v>112</v>
      </c>
      <c r="E35" s="82">
        <v>171.07</v>
      </c>
      <c r="F35" s="82">
        <v>199.65</v>
      </c>
      <c r="G35" s="82">
        <v>196.18</v>
      </c>
      <c r="H35" s="82">
        <v>186.95</v>
      </c>
      <c r="I35" s="82">
        <v>234.25</v>
      </c>
      <c r="K35" s="26" t="b">
        <f t="shared" si="2"/>
        <v>1</v>
      </c>
      <c r="L35" s="26" t="b">
        <f t="shared" si="3"/>
        <v>1</v>
      </c>
      <c r="M35" s="26" t="s">
        <v>35</v>
      </c>
      <c r="N35" s="26" t="s">
        <v>2</v>
      </c>
      <c r="O35" s="26" t="s">
        <v>137</v>
      </c>
      <c r="P35" s="26" t="s">
        <v>112</v>
      </c>
    </row>
    <row r="36" spans="1:16" x14ac:dyDescent="0.2">
      <c r="A36" s="28" t="s">
        <v>36</v>
      </c>
      <c r="B36" s="30" t="s">
        <v>2</v>
      </c>
      <c r="C36" s="29" t="s">
        <v>111</v>
      </c>
      <c r="D36" s="29" t="s">
        <v>138</v>
      </c>
      <c r="E36" s="82">
        <v>220.20000000000002</v>
      </c>
      <c r="F36" s="82">
        <v>221.81</v>
      </c>
      <c r="G36" s="82">
        <v>196.2</v>
      </c>
      <c r="H36" s="82">
        <v>222.63</v>
      </c>
      <c r="I36" s="82">
        <v>222.98000000000002</v>
      </c>
      <c r="K36" s="26" t="b">
        <f t="shared" si="2"/>
        <v>1</v>
      </c>
      <c r="L36" s="26" t="b">
        <f t="shared" si="3"/>
        <v>1</v>
      </c>
      <c r="M36" s="26" t="s">
        <v>36</v>
      </c>
      <c r="N36" s="26" t="s">
        <v>2</v>
      </c>
      <c r="O36" s="26" t="s">
        <v>137</v>
      </c>
      <c r="P36" s="26" t="s">
        <v>138</v>
      </c>
    </row>
    <row r="37" spans="1:16" x14ac:dyDescent="0.2">
      <c r="A37" s="31" t="s">
        <v>37</v>
      </c>
      <c r="B37" s="31" t="s">
        <v>2</v>
      </c>
      <c r="C37" s="32" t="s">
        <v>111</v>
      </c>
      <c r="D37" s="32" t="s">
        <v>138</v>
      </c>
      <c r="E37" s="82">
        <v>196.10999999999999</v>
      </c>
      <c r="F37" s="82">
        <v>212.82</v>
      </c>
      <c r="G37" s="82">
        <v>203.3</v>
      </c>
      <c r="H37" s="82">
        <v>216.44</v>
      </c>
      <c r="I37" s="82">
        <v>221.23999999999998</v>
      </c>
      <c r="K37" s="26" t="b">
        <f t="shared" si="2"/>
        <v>1</v>
      </c>
      <c r="L37" s="26" t="b">
        <f t="shared" si="3"/>
        <v>1</v>
      </c>
      <c r="M37" s="26" t="s">
        <v>37</v>
      </c>
      <c r="N37" s="26" t="s">
        <v>2</v>
      </c>
      <c r="O37" s="26" t="s">
        <v>137</v>
      </c>
      <c r="P37" s="26" t="s">
        <v>138</v>
      </c>
    </row>
    <row r="38" spans="1:16" x14ac:dyDescent="0.2">
      <c r="A38" s="28" t="s">
        <v>38</v>
      </c>
      <c r="B38" s="30" t="s">
        <v>2</v>
      </c>
      <c r="C38" s="29" t="s">
        <v>111</v>
      </c>
      <c r="D38" s="29" t="s">
        <v>112</v>
      </c>
      <c r="E38" s="82">
        <v>220.67999999999998</v>
      </c>
      <c r="F38" s="82">
        <v>213.69</v>
      </c>
      <c r="G38" s="82">
        <v>192.52999999999997</v>
      </c>
      <c r="H38" s="82">
        <v>204.91</v>
      </c>
      <c r="I38" s="82">
        <v>226.78</v>
      </c>
      <c r="K38" s="26" t="b">
        <f t="shared" si="2"/>
        <v>1</v>
      </c>
      <c r="L38" s="26" t="b">
        <f t="shared" si="3"/>
        <v>1</v>
      </c>
      <c r="M38" s="26" t="s">
        <v>38</v>
      </c>
      <c r="N38" s="26" t="s">
        <v>2</v>
      </c>
      <c r="O38" s="26" t="s">
        <v>137</v>
      </c>
      <c r="P38" s="26" t="s">
        <v>112</v>
      </c>
    </row>
    <row r="39" spans="1:16" x14ac:dyDescent="0.2">
      <c r="A39" s="28" t="s">
        <v>39</v>
      </c>
      <c r="B39" s="30" t="s">
        <v>2</v>
      </c>
      <c r="C39" s="29" t="s">
        <v>111</v>
      </c>
      <c r="D39" s="29" t="s">
        <v>138</v>
      </c>
      <c r="E39" s="82">
        <v>219.87</v>
      </c>
      <c r="F39" s="82">
        <v>203.99</v>
      </c>
      <c r="G39" s="82">
        <v>207.01</v>
      </c>
      <c r="H39" s="82">
        <v>225.85999999999999</v>
      </c>
      <c r="I39" s="82">
        <v>196.58</v>
      </c>
      <c r="K39" s="26" t="b">
        <f t="shared" si="2"/>
        <v>1</v>
      </c>
      <c r="L39" s="26" t="b">
        <f t="shared" si="3"/>
        <v>1</v>
      </c>
      <c r="M39" s="26" t="s">
        <v>39</v>
      </c>
      <c r="N39" s="26" t="s">
        <v>2</v>
      </c>
      <c r="O39" s="26" t="s">
        <v>137</v>
      </c>
      <c r="P39" s="26" t="s">
        <v>138</v>
      </c>
    </row>
    <row r="40" spans="1:16" x14ac:dyDescent="0.2">
      <c r="A40" s="28" t="s">
        <v>40</v>
      </c>
      <c r="B40" s="30" t="s">
        <v>2</v>
      </c>
      <c r="C40" s="29" t="s">
        <v>111</v>
      </c>
      <c r="D40" s="29" t="s">
        <v>112</v>
      </c>
      <c r="E40" s="82">
        <v>218.45</v>
      </c>
      <c r="F40" s="82">
        <v>221.97</v>
      </c>
      <c r="G40" s="82">
        <v>151.44</v>
      </c>
      <c r="H40" s="82">
        <v>238.72</v>
      </c>
      <c r="I40" s="82">
        <v>212.12</v>
      </c>
      <c r="K40" s="26" t="b">
        <f t="shared" si="2"/>
        <v>1</v>
      </c>
      <c r="L40" s="26" t="b">
        <f t="shared" si="3"/>
        <v>1</v>
      </c>
      <c r="M40" s="26" t="s">
        <v>40</v>
      </c>
      <c r="N40" s="26" t="s">
        <v>2</v>
      </c>
      <c r="O40" s="26" t="s">
        <v>137</v>
      </c>
      <c r="P40" s="26" t="s">
        <v>112</v>
      </c>
    </row>
    <row r="41" spans="1:16" x14ac:dyDescent="0.2">
      <c r="A41" s="28" t="s">
        <v>41</v>
      </c>
      <c r="B41" s="30" t="s">
        <v>2</v>
      </c>
      <c r="C41" s="29" t="s">
        <v>111</v>
      </c>
      <c r="D41" s="29" t="s">
        <v>112</v>
      </c>
      <c r="E41" s="82">
        <v>254.31</v>
      </c>
      <c r="F41" s="82">
        <v>237.11</v>
      </c>
      <c r="G41" s="82">
        <v>193.10000000000002</v>
      </c>
      <c r="H41" s="82">
        <v>244.89</v>
      </c>
      <c r="I41" s="82">
        <v>241.44</v>
      </c>
      <c r="K41" s="26" t="b">
        <f t="shared" si="2"/>
        <v>1</v>
      </c>
      <c r="L41" s="26" t="b">
        <f t="shared" si="3"/>
        <v>1</v>
      </c>
      <c r="M41" s="26" t="s">
        <v>41</v>
      </c>
      <c r="N41" s="26" t="s">
        <v>2</v>
      </c>
      <c r="O41" s="26" t="s">
        <v>137</v>
      </c>
      <c r="P41" s="26" t="s">
        <v>112</v>
      </c>
    </row>
    <row r="42" spans="1:16" x14ac:dyDescent="0.2">
      <c r="A42" s="28" t="s">
        <v>42</v>
      </c>
      <c r="B42" s="30" t="s">
        <v>2</v>
      </c>
      <c r="C42" s="29" t="s">
        <v>111</v>
      </c>
      <c r="D42" s="29" t="s">
        <v>112</v>
      </c>
      <c r="E42" s="82">
        <v>210.53</v>
      </c>
      <c r="F42" s="82">
        <v>210.18</v>
      </c>
      <c r="G42" s="82">
        <v>143.88</v>
      </c>
      <c r="H42" s="82">
        <v>240.59</v>
      </c>
      <c r="I42" s="82">
        <v>198.55</v>
      </c>
      <c r="K42" s="26" t="b">
        <f t="shared" si="2"/>
        <v>1</v>
      </c>
      <c r="L42" s="26" t="b">
        <f t="shared" si="3"/>
        <v>1</v>
      </c>
      <c r="M42" s="26" t="s">
        <v>42</v>
      </c>
      <c r="N42" s="26" t="s">
        <v>2</v>
      </c>
      <c r="O42" s="26" t="s">
        <v>137</v>
      </c>
      <c r="P42" s="26" t="s">
        <v>112</v>
      </c>
    </row>
    <row r="43" spans="1:16" x14ac:dyDescent="0.2">
      <c r="A43" s="28" t="s">
        <v>43</v>
      </c>
      <c r="B43" s="30" t="s">
        <v>2</v>
      </c>
      <c r="C43" s="29" t="s">
        <v>111</v>
      </c>
      <c r="D43" s="29" t="s">
        <v>112</v>
      </c>
      <c r="E43" s="82">
        <v>211.01000000000002</v>
      </c>
      <c r="F43" s="82">
        <v>212.76</v>
      </c>
      <c r="G43" s="82">
        <v>180.76999999999998</v>
      </c>
      <c r="H43" s="82">
        <v>210.54</v>
      </c>
      <c r="I43" s="82">
        <v>220.65</v>
      </c>
      <c r="K43" s="26" t="b">
        <f t="shared" si="2"/>
        <v>1</v>
      </c>
      <c r="L43" s="26" t="b">
        <f t="shared" si="3"/>
        <v>1</v>
      </c>
      <c r="M43" s="26" t="s">
        <v>43</v>
      </c>
      <c r="N43" s="26" t="s">
        <v>2</v>
      </c>
      <c r="O43" s="26" t="s">
        <v>137</v>
      </c>
      <c r="P43" s="26" t="s">
        <v>112</v>
      </c>
    </row>
    <row r="44" spans="1:16" x14ac:dyDescent="0.2">
      <c r="A44" s="28" t="s">
        <v>44</v>
      </c>
      <c r="B44" s="30" t="s">
        <v>2</v>
      </c>
      <c r="C44" s="29" t="s">
        <v>111</v>
      </c>
      <c r="D44" s="29" t="s">
        <v>138</v>
      </c>
      <c r="E44" s="82">
        <v>186.42000000000002</v>
      </c>
      <c r="F44" s="82">
        <v>208.95999999999998</v>
      </c>
      <c r="G44" s="82">
        <v>213.88</v>
      </c>
      <c r="H44" s="82">
        <v>222.74</v>
      </c>
      <c r="I44" s="82">
        <v>226.10000000000002</v>
      </c>
      <c r="K44" s="26" t="b">
        <f t="shared" si="2"/>
        <v>1</v>
      </c>
      <c r="L44" s="26" t="b">
        <f t="shared" si="3"/>
        <v>1</v>
      </c>
      <c r="M44" s="26" t="s">
        <v>44</v>
      </c>
      <c r="N44" s="26" t="s">
        <v>2</v>
      </c>
      <c r="O44" s="26" t="s">
        <v>137</v>
      </c>
      <c r="P44" s="26" t="s">
        <v>138</v>
      </c>
    </row>
    <row r="45" spans="1:16" x14ac:dyDescent="0.2">
      <c r="A45" s="28" t="s">
        <v>45</v>
      </c>
      <c r="B45" s="30" t="s">
        <v>2</v>
      </c>
      <c r="C45" s="29" t="s">
        <v>111</v>
      </c>
      <c r="D45" s="29" t="s">
        <v>112</v>
      </c>
      <c r="E45" s="82">
        <v>238.29999999999998</v>
      </c>
      <c r="F45" s="82">
        <v>215.14</v>
      </c>
      <c r="G45" s="82">
        <v>162.86000000000001</v>
      </c>
      <c r="H45" s="82">
        <v>208.06</v>
      </c>
      <c r="I45" s="82">
        <v>230.58</v>
      </c>
      <c r="K45" s="26" t="b">
        <f t="shared" si="2"/>
        <v>1</v>
      </c>
      <c r="L45" s="26" t="b">
        <f t="shared" si="3"/>
        <v>1</v>
      </c>
      <c r="M45" s="26" t="s">
        <v>45</v>
      </c>
      <c r="N45" s="26" t="s">
        <v>2</v>
      </c>
      <c r="O45" s="26" t="s">
        <v>137</v>
      </c>
      <c r="P45" s="26" t="s">
        <v>112</v>
      </c>
    </row>
    <row r="46" spans="1:16" x14ac:dyDescent="0.2">
      <c r="A46" s="28" t="s">
        <v>46</v>
      </c>
      <c r="B46" s="30" t="s">
        <v>2</v>
      </c>
      <c r="C46" s="29" t="s">
        <v>111</v>
      </c>
      <c r="D46" s="29" t="s">
        <v>138</v>
      </c>
      <c r="E46" s="82">
        <v>200.23</v>
      </c>
      <c r="F46" s="82">
        <v>219.67000000000002</v>
      </c>
      <c r="G46" s="82">
        <v>195.95999999999998</v>
      </c>
      <c r="H46" s="82">
        <v>247.22</v>
      </c>
      <c r="I46" s="82">
        <v>174.83</v>
      </c>
      <c r="K46" s="26" t="b">
        <f t="shared" si="2"/>
        <v>1</v>
      </c>
      <c r="L46" s="26" t="b">
        <f t="shared" si="3"/>
        <v>1</v>
      </c>
      <c r="M46" s="26" t="s">
        <v>46</v>
      </c>
      <c r="N46" s="26" t="s">
        <v>2</v>
      </c>
      <c r="O46" s="26" t="s">
        <v>137</v>
      </c>
      <c r="P46" s="26" t="s">
        <v>138</v>
      </c>
    </row>
    <row r="47" spans="1:16" x14ac:dyDescent="0.2">
      <c r="A47" s="28" t="s">
        <v>47</v>
      </c>
      <c r="B47" s="30" t="s">
        <v>2</v>
      </c>
      <c r="C47" s="29" t="s">
        <v>111</v>
      </c>
      <c r="D47" s="29" t="s">
        <v>112</v>
      </c>
      <c r="E47" s="82">
        <v>211.89</v>
      </c>
      <c r="F47" s="82">
        <v>182.19</v>
      </c>
      <c r="G47" s="82">
        <v>194.78</v>
      </c>
      <c r="H47" s="82">
        <v>171.15</v>
      </c>
      <c r="I47" s="82">
        <v>193.32</v>
      </c>
      <c r="K47" s="26" t="b">
        <f t="shared" si="2"/>
        <v>1</v>
      </c>
      <c r="L47" s="26" t="b">
        <f t="shared" si="3"/>
        <v>1</v>
      </c>
      <c r="M47" s="26" t="s">
        <v>47</v>
      </c>
      <c r="N47" s="26" t="s">
        <v>2</v>
      </c>
      <c r="O47" s="26" t="s">
        <v>137</v>
      </c>
      <c r="P47" s="26" t="s">
        <v>112</v>
      </c>
    </row>
    <row r="48" spans="1:16" x14ac:dyDescent="0.2">
      <c r="A48" s="28" t="s">
        <v>48</v>
      </c>
      <c r="B48" s="30" t="s">
        <v>2</v>
      </c>
      <c r="C48" s="29" t="s">
        <v>111</v>
      </c>
      <c r="D48" s="29" t="s">
        <v>112</v>
      </c>
      <c r="E48" s="82">
        <v>208.8</v>
      </c>
      <c r="F48" s="82">
        <v>212</v>
      </c>
      <c r="G48" s="82">
        <v>208.11</v>
      </c>
      <c r="H48" s="82">
        <v>232.35999999999999</v>
      </c>
      <c r="I48" s="82">
        <v>230.32</v>
      </c>
      <c r="K48" s="26" t="b">
        <f t="shared" si="2"/>
        <v>1</v>
      </c>
      <c r="L48" s="26" t="b">
        <f t="shared" si="3"/>
        <v>1</v>
      </c>
      <c r="M48" s="26" t="s">
        <v>48</v>
      </c>
      <c r="N48" s="26" t="s">
        <v>2</v>
      </c>
      <c r="O48" s="26" t="s">
        <v>137</v>
      </c>
      <c r="P48" s="26" t="s">
        <v>112</v>
      </c>
    </row>
    <row r="49" spans="1:16" x14ac:dyDescent="0.2">
      <c r="A49" s="28" t="s">
        <v>49</v>
      </c>
      <c r="B49" s="30" t="s">
        <v>2</v>
      </c>
      <c r="C49" s="29" t="s">
        <v>111</v>
      </c>
      <c r="D49" s="29" t="s">
        <v>112</v>
      </c>
      <c r="E49" s="82">
        <v>189.13</v>
      </c>
      <c r="F49" s="82">
        <v>220.26999999999998</v>
      </c>
      <c r="G49" s="82">
        <v>208.48999999999998</v>
      </c>
      <c r="H49" s="82">
        <v>221.57</v>
      </c>
      <c r="I49" s="82">
        <v>210.94</v>
      </c>
      <c r="K49" s="26" t="b">
        <f t="shared" si="2"/>
        <v>1</v>
      </c>
      <c r="L49" s="26" t="b">
        <f>+P49=D49</f>
        <v>1</v>
      </c>
      <c r="M49" s="26" t="s">
        <v>49</v>
      </c>
      <c r="N49" s="26" t="s">
        <v>2</v>
      </c>
      <c r="O49" s="26" t="s">
        <v>137</v>
      </c>
      <c r="P49" s="26" t="s">
        <v>112</v>
      </c>
    </row>
    <row r="50" spans="1:16" x14ac:dyDescent="0.2">
      <c r="A50" s="28" t="s">
        <v>50</v>
      </c>
      <c r="B50" s="30" t="s">
        <v>2</v>
      </c>
      <c r="C50" s="29" t="s">
        <v>111</v>
      </c>
      <c r="D50" s="29" t="s">
        <v>112</v>
      </c>
      <c r="E50" s="82">
        <v>252.24</v>
      </c>
      <c r="F50" s="82">
        <v>246.58999999999997</v>
      </c>
      <c r="G50" s="82">
        <v>194.7</v>
      </c>
      <c r="H50" s="82">
        <v>244.64</v>
      </c>
      <c r="I50" s="82">
        <v>235.57</v>
      </c>
      <c r="K50" s="26" t="b">
        <f t="shared" si="2"/>
        <v>1</v>
      </c>
      <c r="L50" s="26" t="b">
        <f t="shared" si="3"/>
        <v>1</v>
      </c>
      <c r="M50" s="26" t="s">
        <v>50</v>
      </c>
      <c r="N50" s="26" t="s">
        <v>2</v>
      </c>
      <c r="O50" s="26" t="s">
        <v>137</v>
      </c>
      <c r="P50" s="26" t="s">
        <v>112</v>
      </c>
    </row>
    <row r="51" spans="1:16" x14ac:dyDescent="0.2">
      <c r="A51" s="28" t="s">
        <v>51</v>
      </c>
      <c r="B51" s="30" t="s">
        <v>2</v>
      </c>
      <c r="C51" s="29" t="s">
        <v>111</v>
      </c>
      <c r="D51" s="29" t="s">
        <v>112</v>
      </c>
      <c r="E51" s="82">
        <v>237.48000000000002</v>
      </c>
      <c r="F51" s="82">
        <v>204.82</v>
      </c>
      <c r="G51" s="82">
        <v>156.79999999999998</v>
      </c>
      <c r="H51" s="82">
        <v>223.72</v>
      </c>
      <c r="I51" s="82">
        <v>216.67000000000002</v>
      </c>
      <c r="K51" s="26" t="b">
        <f t="shared" si="2"/>
        <v>1</v>
      </c>
      <c r="L51" s="26" t="b">
        <f t="shared" si="3"/>
        <v>1</v>
      </c>
      <c r="M51" s="26" t="s">
        <v>51</v>
      </c>
      <c r="N51" s="26" t="s">
        <v>2</v>
      </c>
      <c r="O51" s="26" t="s">
        <v>137</v>
      </c>
      <c r="P51" s="26" t="s">
        <v>112</v>
      </c>
    </row>
    <row r="52" spans="1:16" x14ac:dyDescent="0.2">
      <c r="A52" s="28" t="s">
        <v>52</v>
      </c>
      <c r="B52" s="30" t="s">
        <v>2</v>
      </c>
      <c r="C52" s="29" t="s">
        <v>111</v>
      </c>
      <c r="D52" s="29" t="s">
        <v>112</v>
      </c>
      <c r="E52" s="82">
        <v>227.86</v>
      </c>
      <c r="F52" s="82">
        <v>200.86</v>
      </c>
      <c r="G52" s="82">
        <v>205.69</v>
      </c>
      <c r="H52" s="82">
        <v>220.54</v>
      </c>
      <c r="I52" s="82">
        <v>231.79999999999998</v>
      </c>
      <c r="K52" s="26" t="b">
        <f t="shared" si="2"/>
        <v>1</v>
      </c>
      <c r="L52" s="26" t="b">
        <f t="shared" si="3"/>
        <v>1</v>
      </c>
      <c r="M52" s="26" t="s">
        <v>52</v>
      </c>
      <c r="N52" s="26" t="s">
        <v>2</v>
      </c>
      <c r="O52" s="26" t="s">
        <v>137</v>
      </c>
      <c r="P52" s="26" t="s">
        <v>112</v>
      </c>
    </row>
    <row r="53" spans="1:16" x14ac:dyDescent="0.2">
      <c r="A53" s="28" t="s">
        <v>53</v>
      </c>
      <c r="B53" s="30" t="s">
        <v>2</v>
      </c>
      <c r="C53" s="29" t="s">
        <v>111</v>
      </c>
      <c r="D53" s="29" t="s">
        <v>112</v>
      </c>
      <c r="E53" s="82">
        <v>240</v>
      </c>
      <c r="F53" s="82">
        <v>231.11</v>
      </c>
      <c r="G53" s="82">
        <v>165.28</v>
      </c>
      <c r="H53" s="82">
        <v>239.34</v>
      </c>
      <c r="I53" s="82">
        <v>213.66</v>
      </c>
      <c r="K53" s="26" t="b">
        <f t="shared" si="2"/>
        <v>1</v>
      </c>
      <c r="L53" s="26" t="b">
        <f t="shared" si="3"/>
        <v>1</v>
      </c>
      <c r="M53" s="26" t="s">
        <v>53</v>
      </c>
      <c r="N53" s="26" t="s">
        <v>2</v>
      </c>
      <c r="O53" s="26" t="s">
        <v>137</v>
      </c>
      <c r="P53" s="26" t="s">
        <v>112</v>
      </c>
    </row>
    <row r="54" spans="1:16" x14ac:dyDescent="0.2">
      <c r="A54" s="28" t="s">
        <v>54</v>
      </c>
      <c r="B54" s="30" t="s">
        <v>2</v>
      </c>
      <c r="C54" s="29" t="s">
        <v>111</v>
      </c>
      <c r="D54" s="29" t="s">
        <v>112</v>
      </c>
      <c r="E54" s="82">
        <v>211.4</v>
      </c>
      <c r="F54" s="82">
        <v>178.59</v>
      </c>
      <c r="G54" s="82">
        <v>179.84</v>
      </c>
      <c r="H54" s="82">
        <v>165.64000000000001</v>
      </c>
      <c r="I54" s="82">
        <v>163.76</v>
      </c>
      <c r="K54" s="26" t="b">
        <f t="shared" si="2"/>
        <v>1</v>
      </c>
      <c r="L54" s="26" t="b">
        <f t="shared" si="3"/>
        <v>1</v>
      </c>
      <c r="M54" s="26" t="s">
        <v>54</v>
      </c>
      <c r="N54" s="26" t="s">
        <v>2</v>
      </c>
      <c r="O54" s="26" t="s">
        <v>137</v>
      </c>
      <c r="P54" s="26" t="s">
        <v>112</v>
      </c>
    </row>
    <row r="55" spans="1:16" x14ac:dyDescent="0.2">
      <c r="A55" s="28" t="s">
        <v>55</v>
      </c>
      <c r="B55" s="30" t="s">
        <v>2</v>
      </c>
      <c r="C55" s="29" t="s">
        <v>111</v>
      </c>
      <c r="D55" s="29" t="s">
        <v>112</v>
      </c>
      <c r="E55" s="82">
        <v>225.48000000000002</v>
      </c>
      <c r="F55" s="82">
        <v>195.79999999999998</v>
      </c>
      <c r="G55" s="82">
        <v>174.37</v>
      </c>
      <c r="H55" s="82">
        <v>218.88</v>
      </c>
      <c r="I55" s="82">
        <v>221.74</v>
      </c>
      <c r="K55" s="26" t="b">
        <f t="shared" si="2"/>
        <v>1</v>
      </c>
      <c r="L55" s="26" t="b">
        <f t="shared" si="3"/>
        <v>1</v>
      </c>
      <c r="M55" s="26" t="s">
        <v>55</v>
      </c>
      <c r="N55" s="26" t="s">
        <v>2</v>
      </c>
      <c r="O55" s="26" t="s">
        <v>137</v>
      </c>
      <c r="P55" s="26" t="s">
        <v>112</v>
      </c>
    </row>
    <row r="56" spans="1:16" x14ac:dyDescent="0.2">
      <c r="A56" s="28" t="s">
        <v>56</v>
      </c>
      <c r="B56" s="30" t="s">
        <v>2</v>
      </c>
      <c r="C56" s="29" t="s">
        <v>111</v>
      </c>
      <c r="D56" s="29" t="s">
        <v>112</v>
      </c>
      <c r="E56" s="82">
        <v>239</v>
      </c>
      <c r="F56" s="82">
        <v>212.96</v>
      </c>
      <c r="G56" s="82">
        <v>175.53</v>
      </c>
      <c r="H56" s="82">
        <v>220.54</v>
      </c>
      <c r="I56" s="82">
        <v>236.62</v>
      </c>
      <c r="K56" s="26" t="b">
        <f t="shared" si="2"/>
        <v>1</v>
      </c>
      <c r="L56" s="26" t="b">
        <f t="shared" si="3"/>
        <v>1</v>
      </c>
      <c r="M56" s="26" t="s">
        <v>56</v>
      </c>
      <c r="N56" s="26" t="s">
        <v>2</v>
      </c>
      <c r="O56" s="26" t="s">
        <v>137</v>
      </c>
      <c r="P56" s="26" t="s">
        <v>112</v>
      </c>
    </row>
    <row r="57" spans="1:16" x14ac:dyDescent="0.2">
      <c r="A57" s="28" t="s">
        <v>57</v>
      </c>
      <c r="B57" s="30" t="s">
        <v>2</v>
      </c>
      <c r="C57" s="29" t="s">
        <v>111</v>
      </c>
      <c r="D57" s="29" t="s">
        <v>112</v>
      </c>
      <c r="E57" s="82">
        <v>230.46</v>
      </c>
      <c r="F57" s="82">
        <v>192.16</v>
      </c>
      <c r="G57" s="82">
        <v>180.42</v>
      </c>
      <c r="H57" s="82">
        <v>199.45</v>
      </c>
      <c r="I57" s="82">
        <v>176.83</v>
      </c>
      <c r="K57" s="26" t="b">
        <f t="shared" si="2"/>
        <v>1</v>
      </c>
      <c r="L57" s="26" t="b">
        <f t="shared" si="3"/>
        <v>1</v>
      </c>
      <c r="M57" s="26" t="s">
        <v>57</v>
      </c>
      <c r="N57" s="26" t="s">
        <v>2</v>
      </c>
      <c r="O57" s="26" t="s">
        <v>137</v>
      </c>
      <c r="P57" s="26" t="s">
        <v>112</v>
      </c>
    </row>
    <row r="58" spans="1:16" x14ac:dyDescent="0.2">
      <c r="A58" s="28" t="s">
        <v>58</v>
      </c>
      <c r="B58" s="30" t="s">
        <v>2</v>
      </c>
      <c r="C58" s="29" t="s">
        <v>111</v>
      </c>
      <c r="D58" s="29" t="s">
        <v>138</v>
      </c>
      <c r="E58" s="82">
        <v>193.5</v>
      </c>
      <c r="F58" s="82">
        <v>211.16</v>
      </c>
      <c r="G58" s="82">
        <v>204.65</v>
      </c>
      <c r="H58" s="82">
        <v>214.03</v>
      </c>
      <c r="I58" s="82">
        <v>225.64</v>
      </c>
      <c r="K58" s="26" t="b">
        <f t="shared" si="2"/>
        <v>1</v>
      </c>
      <c r="L58" s="26" t="b">
        <f t="shared" si="3"/>
        <v>1</v>
      </c>
      <c r="M58" s="26" t="s">
        <v>58</v>
      </c>
      <c r="N58" s="26" t="s">
        <v>2</v>
      </c>
      <c r="O58" s="26" t="s">
        <v>137</v>
      </c>
      <c r="P58" s="26" t="s">
        <v>138</v>
      </c>
    </row>
    <row r="59" spans="1:16" x14ac:dyDescent="0.2">
      <c r="A59" s="28" t="s">
        <v>59</v>
      </c>
      <c r="B59" s="30" t="s">
        <v>2</v>
      </c>
      <c r="C59" s="29" t="s">
        <v>111</v>
      </c>
      <c r="D59" s="29" t="s">
        <v>138</v>
      </c>
      <c r="E59" s="82">
        <v>204.35000000000002</v>
      </c>
      <c r="F59" s="82">
        <v>181.11999999999998</v>
      </c>
      <c r="G59" s="82">
        <v>190.54999999999998</v>
      </c>
      <c r="H59" s="82">
        <v>165.93</v>
      </c>
      <c r="I59" s="82">
        <v>181.84</v>
      </c>
      <c r="K59" s="26" t="b">
        <f t="shared" si="2"/>
        <v>1</v>
      </c>
      <c r="L59" s="26" t="b">
        <f t="shared" si="3"/>
        <v>1</v>
      </c>
      <c r="M59" s="26" t="s">
        <v>59</v>
      </c>
      <c r="N59" s="26" t="s">
        <v>2</v>
      </c>
      <c r="O59" s="26" t="s">
        <v>137</v>
      </c>
      <c r="P59" s="26" t="s">
        <v>138</v>
      </c>
    </row>
    <row r="60" spans="1:16" x14ac:dyDescent="0.2">
      <c r="A60" s="28" t="s">
        <v>60</v>
      </c>
      <c r="B60" s="30" t="s">
        <v>2</v>
      </c>
      <c r="C60" s="29" t="s">
        <v>111</v>
      </c>
      <c r="D60" s="29" t="s">
        <v>112</v>
      </c>
      <c r="E60" s="82">
        <v>242.07999999999998</v>
      </c>
      <c r="F60" s="82">
        <v>222.51</v>
      </c>
      <c r="G60" s="82">
        <v>159.80000000000001</v>
      </c>
      <c r="H60" s="82">
        <v>211.97</v>
      </c>
      <c r="I60" s="82">
        <v>228.51999999999998</v>
      </c>
      <c r="K60" s="26" t="b">
        <f t="shared" si="2"/>
        <v>1</v>
      </c>
      <c r="L60" s="26" t="b">
        <f t="shared" si="3"/>
        <v>1</v>
      </c>
      <c r="M60" s="26" t="s">
        <v>60</v>
      </c>
      <c r="N60" s="26" t="s">
        <v>2</v>
      </c>
      <c r="O60" s="26" t="s">
        <v>137</v>
      </c>
      <c r="P60" s="26" t="s">
        <v>112</v>
      </c>
    </row>
    <row r="61" spans="1:16" x14ac:dyDescent="0.2">
      <c r="A61" s="28" t="s">
        <v>61</v>
      </c>
      <c r="B61" s="30" t="s">
        <v>2</v>
      </c>
      <c r="C61" s="29" t="s">
        <v>111</v>
      </c>
      <c r="D61" s="29" t="s">
        <v>138</v>
      </c>
      <c r="E61" s="82">
        <v>209.75</v>
      </c>
      <c r="F61" s="82">
        <v>176.85</v>
      </c>
      <c r="G61" s="82">
        <v>200.51999999999998</v>
      </c>
      <c r="H61" s="82">
        <v>191.79999999999998</v>
      </c>
      <c r="I61" s="82">
        <v>212.82</v>
      </c>
      <c r="K61" s="26" t="b">
        <f t="shared" si="2"/>
        <v>1</v>
      </c>
      <c r="L61" s="26" t="b">
        <f t="shared" si="3"/>
        <v>1</v>
      </c>
      <c r="M61" s="26" t="s">
        <v>61</v>
      </c>
      <c r="N61" s="26" t="s">
        <v>2</v>
      </c>
      <c r="O61" s="26" t="s">
        <v>137</v>
      </c>
      <c r="P61" s="26" t="s">
        <v>138</v>
      </c>
    </row>
    <row r="62" spans="1:16" x14ac:dyDescent="0.2">
      <c r="A62" s="28" t="s">
        <v>62</v>
      </c>
      <c r="B62" s="30" t="s">
        <v>2</v>
      </c>
      <c r="C62" s="29" t="s">
        <v>111</v>
      </c>
      <c r="D62" s="29" t="s">
        <v>112</v>
      </c>
      <c r="E62" s="82">
        <v>149.48000000000002</v>
      </c>
      <c r="F62" s="82">
        <v>146.78</v>
      </c>
      <c r="G62" s="82">
        <v>159.72</v>
      </c>
      <c r="H62" s="82">
        <v>171.25</v>
      </c>
      <c r="I62" s="82">
        <v>140.44</v>
      </c>
      <c r="K62" s="26" t="b">
        <f t="shared" si="2"/>
        <v>1</v>
      </c>
      <c r="L62" s="26" t="b">
        <f t="shared" si="3"/>
        <v>1</v>
      </c>
      <c r="M62" s="26" t="s">
        <v>62</v>
      </c>
      <c r="N62" s="26" t="s">
        <v>2</v>
      </c>
      <c r="O62" s="26" t="s">
        <v>137</v>
      </c>
      <c r="P62" s="26" t="s">
        <v>112</v>
      </c>
    </row>
    <row r="63" spans="1:16" x14ac:dyDescent="0.2">
      <c r="A63" s="28" t="s">
        <v>63</v>
      </c>
      <c r="B63" s="30" t="s">
        <v>2</v>
      </c>
      <c r="C63" s="29" t="s">
        <v>111</v>
      </c>
      <c r="D63" s="29" t="s">
        <v>138</v>
      </c>
      <c r="E63" s="82">
        <v>221.93</v>
      </c>
      <c r="F63" s="82">
        <v>200.54</v>
      </c>
      <c r="G63" s="82">
        <v>214.72</v>
      </c>
      <c r="H63" s="82">
        <v>227.48999999999998</v>
      </c>
      <c r="I63" s="82">
        <v>206.14000000000001</v>
      </c>
      <c r="K63" s="26" t="b">
        <f t="shared" si="2"/>
        <v>1</v>
      </c>
      <c r="L63" s="26" t="b">
        <f t="shared" si="3"/>
        <v>1</v>
      </c>
      <c r="M63" s="26" t="s">
        <v>63</v>
      </c>
      <c r="N63" s="26" t="s">
        <v>2</v>
      </c>
      <c r="O63" s="26" t="s">
        <v>137</v>
      </c>
      <c r="P63" s="26" t="s">
        <v>138</v>
      </c>
    </row>
    <row r="64" spans="1:16" x14ac:dyDescent="0.2">
      <c r="A64" s="28" t="s">
        <v>64</v>
      </c>
      <c r="B64" s="30" t="s">
        <v>2</v>
      </c>
      <c r="C64" s="29" t="s">
        <v>111</v>
      </c>
      <c r="D64" s="29" t="s">
        <v>112</v>
      </c>
      <c r="E64" s="82">
        <v>172.92</v>
      </c>
      <c r="F64" s="82">
        <v>191.21</v>
      </c>
      <c r="G64" s="82">
        <v>187.66</v>
      </c>
      <c r="H64" s="82">
        <v>211.4</v>
      </c>
      <c r="I64" s="82">
        <v>166.44</v>
      </c>
      <c r="K64" s="26" t="b">
        <f t="shared" si="2"/>
        <v>1</v>
      </c>
      <c r="L64" s="26" t="b">
        <f t="shared" si="3"/>
        <v>1</v>
      </c>
      <c r="M64" s="26" t="s">
        <v>64</v>
      </c>
      <c r="N64" s="26" t="s">
        <v>2</v>
      </c>
      <c r="O64" s="26" t="s">
        <v>137</v>
      </c>
      <c r="P64" s="26" t="s">
        <v>112</v>
      </c>
    </row>
    <row r="65" spans="1:16" x14ac:dyDescent="0.2">
      <c r="A65" s="28" t="s">
        <v>65</v>
      </c>
      <c r="B65" s="30" t="s">
        <v>2</v>
      </c>
      <c r="C65" s="29" t="s">
        <v>111</v>
      </c>
      <c r="D65" s="29" t="s">
        <v>112</v>
      </c>
      <c r="E65" s="82">
        <v>221.23</v>
      </c>
      <c r="F65" s="82">
        <v>199.92</v>
      </c>
      <c r="G65" s="82">
        <v>198</v>
      </c>
      <c r="H65" s="82">
        <v>219.26000000000002</v>
      </c>
      <c r="I65" s="82">
        <v>198.32999999999998</v>
      </c>
      <c r="K65" s="26" t="b">
        <f t="shared" si="2"/>
        <v>1</v>
      </c>
      <c r="L65" s="26" t="b">
        <f t="shared" si="3"/>
        <v>1</v>
      </c>
      <c r="M65" s="26" t="s">
        <v>65</v>
      </c>
      <c r="N65" s="26" t="s">
        <v>2</v>
      </c>
      <c r="O65" s="26" t="s">
        <v>137</v>
      </c>
      <c r="P65" s="26" t="s">
        <v>112</v>
      </c>
    </row>
    <row r="66" spans="1:16" x14ac:dyDescent="0.2">
      <c r="A66" s="28" t="s">
        <v>66</v>
      </c>
      <c r="B66" s="30" t="s">
        <v>2</v>
      </c>
      <c r="C66" s="29" t="s">
        <v>111</v>
      </c>
      <c r="D66" s="29" t="s">
        <v>112</v>
      </c>
      <c r="E66" s="82">
        <v>198.19</v>
      </c>
      <c r="F66" s="82">
        <v>188.01</v>
      </c>
      <c r="G66" s="82">
        <v>189.99</v>
      </c>
      <c r="H66" s="82">
        <v>217.52</v>
      </c>
      <c r="I66" s="82">
        <v>182.49</v>
      </c>
      <c r="K66" s="26" t="b">
        <f t="shared" si="2"/>
        <v>1</v>
      </c>
      <c r="L66" s="26" t="b">
        <f t="shared" si="3"/>
        <v>1</v>
      </c>
      <c r="M66" s="26" t="s">
        <v>66</v>
      </c>
      <c r="N66" s="26" t="s">
        <v>2</v>
      </c>
      <c r="O66" s="26" t="s">
        <v>137</v>
      </c>
      <c r="P66" s="26" t="s">
        <v>112</v>
      </c>
    </row>
    <row r="67" spans="1:16" x14ac:dyDescent="0.2">
      <c r="A67" s="28" t="s">
        <v>67</v>
      </c>
      <c r="B67" s="30" t="s">
        <v>2</v>
      </c>
      <c r="C67" s="29" t="s">
        <v>111</v>
      </c>
      <c r="D67" s="29" t="s">
        <v>112</v>
      </c>
      <c r="E67" s="82">
        <v>248.44</v>
      </c>
      <c r="F67" s="82">
        <v>231.84</v>
      </c>
      <c r="G67" s="82">
        <v>167.88</v>
      </c>
      <c r="H67" s="82">
        <v>233.33</v>
      </c>
      <c r="I67" s="82">
        <v>239.28</v>
      </c>
      <c r="K67" s="26" t="b">
        <f t="shared" si="2"/>
        <v>1</v>
      </c>
      <c r="L67" s="26" t="b">
        <f t="shared" si="3"/>
        <v>1</v>
      </c>
      <c r="M67" s="26" t="s">
        <v>67</v>
      </c>
      <c r="N67" s="26" t="s">
        <v>2</v>
      </c>
      <c r="O67" s="26" t="s">
        <v>137</v>
      </c>
      <c r="P67" s="26" t="s">
        <v>112</v>
      </c>
    </row>
    <row r="68" spans="1:16" x14ac:dyDescent="0.2">
      <c r="A68" s="28" t="s">
        <v>68</v>
      </c>
      <c r="B68" s="30" t="s">
        <v>2</v>
      </c>
      <c r="C68" s="29" t="s">
        <v>111</v>
      </c>
      <c r="D68" s="29" t="s">
        <v>138</v>
      </c>
      <c r="E68" s="82">
        <v>215.23000000000002</v>
      </c>
      <c r="F68" s="82">
        <v>217.93</v>
      </c>
      <c r="G68" s="82">
        <v>208.96</v>
      </c>
      <c r="H68" s="82">
        <v>230.87</v>
      </c>
      <c r="I68" s="82">
        <v>199.14</v>
      </c>
      <c r="K68" s="26" t="b">
        <f t="shared" si="2"/>
        <v>1</v>
      </c>
      <c r="L68" s="26" t="b">
        <f t="shared" si="3"/>
        <v>1</v>
      </c>
      <c r="M68" s="26" t="s">
        <v>68</v>
      </c>
      <c r="N68" s="26" t="s">
        <v>2</v>
      </c>
      <c r="O68" s="26" t="s">
        <v>137</v>
      </c>
      <c r="P68" s="26" t="s">
        <v>138</v>
      </c>
    </row>
    <row r="69" spans="1:16" x14ac:dyDescent="0.2">
      <c r="A69" s="28" t="s">
        <v>69</v>
      </c>
      <c r="B69" s="30" t="s">
        <v>2</v>
      </c>
      <c r="C69" s="29" t="s">
        <v>111</v>
      </c>
      <c r="D69" s="29" t="s">
        <v>112</v>
      </c>
      <c r="E69" s="82">
        <v>203.06</v>
      </c>
      <c r="F69" s="82">
        <v>216.57999999999998</v>
      </c>
      <c r="G69" s="82">
        <v>213.07999999999998</v>
      </c>
      <c r="H69" s="82">
        <v>227.12</v>
      </c>
      <c r="I69" s="82">
        <v>236.05</v>
      </c>
      <c r="K69" s="26" t="b">
        <f t="shared" si="2"/>
        <v>1</v>
      </c>
      <c r="L69" s="26" t="b">
        <f t="shared" si="3"/>
        <v>1</v>
      </c>
      <c r="M69" s="26" t="s">
        <v>69</v>
      </c>
      <c r="N69" s="26" t="s">
        <v>2</v>
      </c>
      <c r="O69" s="26" t="s">
        <v>137</v>
      </c>
      <c r="P69" s="26" t="s">
        <v>112</v>
      </c>
    </row>
    <row r="70" spans="1:16" x14ac:dyDescent="0.2">
      <c r="A70" s="28" t="s">
        <v>70</v>
      </c>
      <c r="B70" s="30" t="s">
        <v>2</v>
      </c>
      <c r="C70" s="29" t="s">
        <v>111</v>
      </c>
      <c r="D70" s="29" t="s">
        <v>138</v>
      </c>
      <c r="E70" s="82">
        <v>225.99</v>
      </c>
      <c r="F70" s="82">
        <v>218.83</v>
      </c>
      <c r="G70" s="82">
        <v>205.17000000000002</v>
      </c>
      <c r="H70" s="82">
        <v>229.36</v>
      </c>
      <c r="I70" s="82">
        <v>175.32</v>
      </c>
      <c r="K70" s="26" t="b">
        <f t="shared" si="2"/>
        <v>1</v>
      </c>
      <c r="L70" s="26" t="b">
        <f t="shared" si="3"/>
        <v>1</v>
      </c>
      <c r="M70" s="26" t="s">
        <v>70</v>
      </c>
      <c r="N70" s="26" t="s">
        <v>2</v>
      </c>
      <c r="O70" s="26" t="s">
        <v>137</v>
      </c>
      <c r="P70" s="26" t="s">
        <v>138</v>
      </c>
    </row>
    <row r="71" spans="1:16" x14ac:dyDescent="0.2">
      <c r="A71" s="28" t="s">
        <v>71</v>
      </c>
      <c r="B71" s="30" t="s">
        <v>2</v>
      </c>
      <c r="C71" s="29" t="s">
        <v>111</v>
      </c>
      <c r="D71" s="29" t="s">
        <v>112</v>
      </c>
      <c r="E71" s="82">
        <v>163.4</v>
      </c>
      <c r="F71" s="82">
        <v>162.83000000000001</v>
      </c>
      <c r="G71" s="82">
        <v>152.44</v>
      </c>
      <c r="H71" s="82">
        <v>172.89000000000001</v>
      </c>
      <c r="I71" s="82">
        <v>151.97999999999999</v>
      </c>
      <c r="K71" s="26" t="b">
        <f t="shared" si="2"/>
        <v>1</v>
      </c>
      <c r="L71" s="26" t="b">
        <f t="shared" si="3"/>
        <v>1</v>
      </c>
      <c r="M71" s="26" t="s">
        <v>71</v>
      </c>
      <c r="N71" s="26" t="s">
        <v>2</v>
      </c>
      <c r="O71" s="26" t="s">
        <v>137</v>
      </c>
      <c r="P71" s="26" t="s">
        <v>112</v>
      </c>
    </row>
    <row r="72" spans="1:16" x14ac:dyDescent="0.2">
      <c r="A72" s="28" t="s">
        <v>72</v>
      </c>
      <c r="B72" s="30" t="s">
        <v>2</v>
      </c>
      <c r="C72" s="29" t="s">
        <v>111</v>
      </c>
      <c r="D72" s="29" t="s">
        <v>112</v>
      </c>
      <c r="E72" s="82">
        <v>220.86</v>
      </c>
      <c r="F72" s="82">
        <v>212.25</v>
      </c>
      <c r="G72" s="82">
        <v>203.71</v>
      </c>
      <c r="H72" s="82">
        <v>232.43</v>
      </c>
      <c r="I72" s="82">
        <v>203.95</v>
      </c>
      <c r="K72" s="26" t="b">
        <f t="shared" si="2"/>
        <v>1</v>
      </c>
      <c r="L72" s="26" t="b">
        <f t="shared" si="3"/>
        <v>1</v>
      </c>
      <c r="M72" s="26" t="s">
        <v>72</v>
      </c>
      <c r="N72" s="26" t="s">
        <v>2</v>
      </c>
      <c r="O72" s="26" t="s">
        <v>137</v>
      </c>
      <c r="P72" s="26" t="s">
        <v>112</v>
      </c>
    </row>
    <row r="73" spans="1:16" x14ac:dyDescent="0.2">
      <c r="A73" s="28" t="s">
        <v>73</v>
      </c>
      <c r="B73" s="30" t="s">
        <v>2</v>
      </c>
      <c r="C73" s="29" t="s">
        <v>111</v>
      </c>
      <c r="D73" s="29" t="s">
        <v>138</v>
      </c>
      <c r="E73" s="82">
        <v>228.64000000000001</v>
      </c>
      <c r="F73" s="82">
        <v>193.81</v>
      </c>
      <c r="G73" s="82">
        <v>194.14000000000001</v>
      </c>
      <c r="H73" s="82">
        <v>216.8</v>
      </c>
      <c r="I73" s="82">
        <v>230.31</v>
      </c>
      <c r="K73" s="26" t="b">
        <f t="shared" si="2"/>
        <v>1</v>
      </c>
      <c r="L73" s="26" t="b">
        <f t="shared" si="3"/>
        <v>1</v>
      </c>
      <c r="M73" s="26" t="s">
        <v>73</v>
      </c>
      <c r="N73" s="26" t="s">
        <v>2</v>
      </c>
      <c r="O73" s="26" t="s">
        <v>137</v>
      </c>
      <c r="P73" s="26" t="s">
        <v>138</v>
      </c>
    </row>
    <row r="74" spans="1:16" x14ac:dyDescent="0.2">
      <c r="A74" s="28" t="s">
        <v>74</v>
      </c>
      <c r="B74" s="30" t="s">
        <v>2</v>
      </c>
      <c r="C74" s="29" t="s">
        <v>111</v>
      </c>
      <c r="D74" s="29" t="s">
        <v>112</v>
      </c>
      <c r="E74" s="82">
        <v>212.4</v>
      </c>
      <c r="F74" s="82">
        <v>218.17000000000002</v>
      </c>
      <c r="G74" s="82">
        <v>213.37</v>
      </c>
      <c r="H74" s="82">
        <v>234.16</v>
      </c>
      <c r="I74" s="82">
        <v>211.79999999999998</v>
      </c>
      <c r="K74" s="26" t="b">
        <f t="shared" si="2"/>
        <v>1</v>
      </c>
      <c r="L74" s="26" t="b">
        <f t="shared" si="3"/>
        <v>1</v>
      </c>
      <c r="M74" s="26" t="s">
        <v>74</v>
      </c>
      <c r="N74" s="26" t="s">
        <v>2</v>
      </c>
      <c r="O74" s="26" t="s">
        <v>137</v>
      </c>
      <c r="P74" s="26" t="s">
        <v>112</v>
      </c>
    </row>
    <row r="75" spans="1:16" x14ac:dyDescent="0.2">
      <c r="A75" s="28" t="s">
        <v>75</v>
      </c>
      <c r="B75" s="30" t="s">
        <v>2</v>
      </c>
      <c r="C75" s="29" t="s">
        <v>111</v>
      </c>
      <c r="D75" s="29" t="s">
        <v>138</v>
      </c>
      <c r="E75" s="82">
        <v>198.38</v>
      </c>
      <c r="F75" s="82">
        <v>197.26</v>
      </c>
      <c r="G75" s="82">
        <v>204.79000000000002</v>
      </c>
      <c r="H75" s="82">
        <v>226.02</v>
      </c>
      <c r="I75" s="82">
        <v>218.67</v>
      </c>
      <c r="K75" s="26" t="b">
        <f t="shared" si="2"/>
        <v>1</v>
      </c>
      <c r="L75" s="26" t="b">
        <f t="shared" si="3"/>
        <v>1</v>
      </c>
      <c r="M75" s="26" t="s">
        <v>75</v>
      </c>
      <c r="N75" s="26" t="s">
        <v>2</v>
      </c>
      <c r="O75" s="26" t="s">
        <v>137</v>
      </c>
      <c r="P75" s="26" t="s">
        <v>138</v>
      </c>
    </row>
    <row r="76" spans="1:16" x14ac:dyDescent="0.2">
      <c r="A76" s="28" t="s">
        <v>76</v>
      </c>
      <c r="B76" s="30" t="s">
        <v>2</v>
      </c>
      <c r="C76" s="29" t="s">
        <v>111</v>
      </c>
      <c r="D76" s="29" t="s">
        <v>112</v>
      </c>
      <c r="E76" s="82">
        <v>209.62</v>
      </c>
      <c r="F76" s="82">
        <v>195.09</v>
      </c>
      <c r="G76" s="82">
        <v>206.23999999999998</v>
      </c>
      <c r="H76" s="82">
        <v>223.81</v>
      </c>
      <c r="I76" s="82">
        <v>180.8</v>
      </c>
      <c r="K76" s="26" t="b">
        <f t="shared" si="2"/>
        <v>1</v>
      </c>
      <c r="L76" s="26" t="b">
        <f t="shared" si="3"/>
        <v>1</v>
      </c>
      <c r="M76" s="26" t="s">
        <v>76</v>
      </c>
      <c r="N76" s="26" t="s">
        <v>2</v>
      </c>
      <c r="O76" s="26" t="s">
        <v>137</v>
      </c>
      <c r="P76" s="26" t="s">
        <v>112</v>
      </c>
    </row>
    <row r="77" spans="1:16" x14ac:dyDescent="0.2">
      <c r="A77" s="28" t="s">
        <v>77</v>
      </c>
      <c r="B77" s="30" t="s">
        <v>2</v>
      </c>
      <c r="C77" s="29" t="s">
        <v>111</v>
      </c>
      <c r="D77" s="29" t="s">
        <v>138</v>
      </c>
      <c r="E77" s="82">
        <v>174.77999999999997</v>
      </c>
      <c r="F77" s="82">
        <v>205.42000000000002</v>
      </c>
      <c r="G77" s="82">
        <v>189.9</v>
      </c>
      <c r="H77" s="82">
        <v>208.32</v>
      </c>
      <c r="I77" s="82">
        <v>208.36</v>
      </c>
      <c r="K77" s="26" t="b">
        <f t="shared" si="2"/>
        <v>1</v>
      </c>
      <c r="L77" s="26" t="b">
        <f t="shared" si="3"/>
        <v>1</v>
      </c>
      <c r="M77" s="26" t="s">
        <v>77</v>
      </c>
      <c r="N77" s="26" t="s">
        <v>2</v>
      </c>
      <c r="O77" s="26" t="s">
        <v>137</v>
      </c>
      <c r="P77" s="26" t="s">
        <v>138</v>
      </c>
    </row>
    <row r="78" spans="1:16" x14ac:dyDescent="0.2">
      <c r="A78" s="28" t="s">
        <v>78</v>
      </c>
      <c r="B78" s="30" t="s">
        <v>2</v>
      </c>
      <c r="C78" s="29" t="s">
        <v>111</v>
      </c>
      <c r="D78" s="29" t="s">
        <v>138</v>
      </c>
      <c r="E78" s="82">
        <v>239.60000000000002</v>
      </c>
      <c r="F78" s="82">
        <v>232.6</v>
      </c>
      <c r="G78" s="82">
        <v>209.32</v>
      </c>
      <c r="H78" s="82">
        <v>205.14</v>
      </c>
      <c r="I78" s="82">
        <v>178.12</v>
      </c>
      <c r="K78" s="26" t="b">
        <f t="shared" si="2"/>
        <v>1</v>
      </c>
      <c r="L78" s="26" t="b">
        <f t="shared" si="3"/>
        <v>1</v>
      </c>
      <c r="M78" s="26" t="s">
        <v>78</v>
      </c>
      <c r="N78" s="26" t="s">
        <v>2</v>
      </c>
      <c r="O78" s="26" t="s">
        <v>137</v>
      </c>
      <c r="P78" s="26" t="s">
        <v>138</v>
      </c>
    </row>
    <row r="79" spans="1:16" x14ac:dyDescent="0.2">
      <c r="A79" s="28" t="s">
        <v>79</v>
      </c>
      <c r="B79" s="30" t="s">
        <v>2</v>
      </c>
      <c r="C79" s="29" t="s">
        <v>111</v>
      </c>
      <c r="D79" s="29" t="s">
        <v>138</v>
      </c>
      <c r="E79" s="82">
        <v>185.73</v>
      </c>
      <c r="F79" s="82">
        <v>203.7</v>
      </c>
      <c r="G79" s="82">
        <v>198.26000000000002</v>
      </c>
      <c r="H79" s="82">
        <v>229.14000000000001</v>
      </c>
      <c r="I79" s="82">
        <v>208.14999999999998</v>
      </c>
      <c r="K79" s="26" t="b">
        <f t="shared" si="2"/>
        <v>1</v>
      </c>
      <c r="L79" s="26" t="b">
        <f t="shared" si="3"/>
        <v>1</v>
      </c>
      <c r="M79" s="26" t="s">
        <v>79</v>
      </c>
      <c r="N79" s="26" t="s">
        <v>2</v>
      </c>
      <c r="O79" s="26" t="s">
        <v>137</v>
      </c>
      <c r="P79" s="26" t="s">
        <v>138</v>
      </c>
    </row>
    <row r="80" spans="1:16" x14ac:dyDescent="0.2">
      <c r="A80" s="28" t="s">
        <v>80</v>
      </c>
      <c r="B80" s="30" t="s">
        <v>2</v>
      </c>
      <c r="C80" s="29" t="s">
        <v>111</v>
      </c>
      <c r="D80" s="29" t="s">
        <v>112</v>
      </c>
      <c r="E80" s="82">
        <v>198.94</v>
      </c>
      <c r="F80" s="82">
        <v>209.63</v>
      </c>
      <c r="G80" s="82">
        <v>151.62</v>
      </c>
      <c r="H80" s="82">
        <v>226.57000000000002</v>
      </c>
      <c r="I80" s="82">
        <v>200.29000000000002</v>
      </c>
      <c r="K80" s="26" t="b">
        <f t="shared" si="2"/>
        <v>1</v>
      </c>
      <c r="L80" s="26" t="b">
        <f t="shared" si="3"/>
        <v>1</v>
      </c>
      <c r="M80" s="26" t="s">
        <v>80</v>
      </c>
      <c r="N80" s="26" t="s">
        <v>2</v>
      </c>
      <c r="O80" s="26" t="s">
        <v>137</v>
      </c>
      <c r="P80" s="26" t="s">
        <v>112</v>
      </c>
    </row>
    <row r="81" spans="1:16" x14ac:dyDescent="0.2">
      <c r="A81" s="28" t="s">
        <v>128</v>
      </c>
      <c r="B81" s="30" t="s">
        <v>2</v>
      </c>
      <c r="C81" s="29" t="s">
        <v>111</v>
      </c>
      <c r="D81" s="29" t="s">
        <v>138</v>
      </c>
      <c r="E81" s="82">
        <v>210.67999999999998</v>
      </c>
      <c r="F81" s="82">
        <v>211.35999999999999</v>
      </c>
      <c r="G81" s="82">
        <v>199.29000000000002</v>
      </c>
      <c r="H81" s="82">
        <v>246.58</v>
      </c>
      <c r="I81" s="82">
        <v>206.66</v>
      </c>
      <c r="K81" s="26" t="b">
        <f t="shared" si="2"/>
        <v>0</v>
      </c>
      <c r="L81" s="26" t="b">
        <f t="shared" si="3"/>
        <v>1</v>
      </c>
      <c r="M81" s="26" t="s">
        <v>279</v>
      </c>
      <c r="N81" s="26" t="s">
        <v>2</v>
      </c>
      <c r="O81" s="26" t="s">
        <v>137</v>
      </c>
      <c r="P81" s="26" t="s">
        <v>138</v>
      </c>
    </row>
    <row r="82" spans="1:16" x14ac:dyDescent="0.2">
      <c r="A82" s="28" t="s">
        <v>129</v>
      </c>
      <c r="B82" s="30" t="s">
        <v>2</v>
      </c>
      <c r="C82" s="29" t="s">
        <v>111</v>
      </c>
      <c r="D82" s="29"/>
      <c r="E82" s="82">
        <v>210.67999999999998</v>
      </c>
      <c r="F82" s="82">
        <v>211.35999999999999</v>
      </c>
      <c r="G82" s="82">
        <v>199.29000000000002</v>
      </c>
      <c r="H82" s="82">
        <v>246.58</v>
      </c>
      <c r="I82" s="82">
        <v>206.66</v>
      </c>
      <c r="K82" s="26" t="b">
        <f t="shared" si="2"/>
        <v>0</v>
      </c>
      <c r="L82" s="26" t="b">
        <f t="shared" si="3"/>
        <v>0</v>
      </c>
      <c r="M82" s="26" t="s">
        <v>280</v>
      </c>
      <c r="N82" s="26" t="s">
        <v>2</v>
      </c>
      <c r="O82" s="26" t="s">
        <v>137</v>
      </c>
      <c r="P82" s="26" t="s">
        <v>138</v>
      </c>
    </row>
    <row r="83" spans="1:16" x14ac:dyDescent="0.2">
      <c r="A83" s="28" t="s">
        <v>81</v>
      </c>
      <c r="B83" s="30" t="s">
        <v>2</v>
      </c>
      <c r="C83" s="29" t="s">
        <v>111</v>
      </c>
      <c r="D83" s="32" t="s">
        <v>112</v>
      </c>
      <c r="E83" s="82">
        <v>238.93</v>
      </c>
      <c r="F83" s="82">
        <v>210.64999999999998</v>
      </c>
      <c r="G83" s="82">
        <v>159.96</v>
      </c>
      <c r="H83" s="82">
        <v>216.1</v>
      </c>
      <c r="I83" s="82">
        <v>204.24</v>
      </c>
      <c r="K83" s="26" t="b">
        <f t="shared" si="2"/>
        <v>1</v>
      </c>
      <c r="L83" s="26" t="b">
        <f t="shared" si="3"/>
        <v>1</v>
      </c>
      <c r="M83" s="26" t="s">
        <v>81</v>
      </c>
      <c r="N83" s="26" t="s">
        <v>2</v>
      </c>
      <c r="O83" s="26" t="s">
        <v>137</v>
      </c>
      <c r="P83" s="26" t="s">
        <v>112</v>
      </c>
    </row>
    <row r="84" spans="1:16" x14ac:dyDescent="0.2">
      <c r="A84" s="28" t="s">
        <v>82</v>
      </c>
      <c r="B84" s="30" t="s">
        <v>2</v>
      </c>
      <c r="C84" s="29" t="s">
        <v>111</v>
      </c>
      <c r="D84" s="32" t="s">
        <v>112</v>
      </c>
      <c r="E84" s="82">
        <v>162.72</v>
      </c>
      <c r="F84" s="82">
        <v>150.07</v>
      </c>
      <c r="G84" s="82">
        <v>165.57</v>
      </c>
      <c r="H84" s="82">
        <v>192.99</v>
      </c>
      <c r="I84" s="82">
        <v>157.96</v>
      </c>
      <c r="K84" s="26" t="b">
        <f t="shared" si="2"/>
        <v>1</v>
      </c>
      <c r="L84" s="26" t="b">
        <f t="shared" si="3"/>
        <v>1</v>
      </c>
      <c r="M84" s="26" t="s">
        <v>82</v>
      </c>
      <c r="N84" s="26" t="s">
        <v>2</v>
      </c>
      <c r="O84" s="26" t="s">
        <v>137</v>
      </c>
      <c r="P84" s="26" t="s">
        <v>112</v>
      </c>
    </row>
    <row r="85" spans="1:16" x14ac:dyDescent="0.2">
      <c r="A85" s="28" t="s">
        <v>83</v>
      </c>
      <c r="B85" s="30" t="s">
        <v>2</v>
      </c>
      <c r="C85" s="29" t="s">
        <v>111</v>
      </c>
      <c r="D85" s="32" t="s">
        <v>112</v>
      </c>
      <c r="E85" s="82">
        <v>240.75</v>
      </c>
      <c r="F85" s="82">
        <v>238.37</v>
      </c>
      <c r="G85" s="82">
        <v>176.89000000000001</v>
      </c>
      <c r="H85" s="82">
        <v>244.92000000000002</v>
      </c>
      <c r="I85" s="82">
        <v>232.16</v>
      </c>
      <c r="K85" s="26" t="b">
        <f t="shared" si="2"/>
        <v>1</v>
      </c>
      <c r="L85" s="26" t="b">
        <f t="shared" si="3"/>
        <v>1</v>
      </c>
      <c r="M85" s="26" t="s">
        <v>83</v>
      </c>
      <c r="N85" s="26" t="s">
        <v>2</v>
      </c>
      <c r="O85" s="26" t="s">
        <v>137</v>
      </c>
      <c r="P85" s="26" t="s">
        <v>112</v>
      </c>
    </row>
    <row r="86" spans="1:16" x14ac:dyDescent="0.2">
      <c r="A86" s="28" t="s">
        <v>84</v>
      </c>
      <c r="B86" s="30" t="s">
        <v>2</v>
      </c>
      <c r="C86" s="29" t="s">
        <v>111</v>
      </c>
      <c r="D86" s="32" t="s">
        <v>112</v>
      </c>
      <c r="E86" s="82">
        <v>241.59</v>
      </c>
      <c r="F86" s="82">
        <v>207.39999999999998</v>
      </c>
      <c r="G86" s="82">
        <v>194.32999999999998</v>
      </c>
      <c r="H86" s="82">
        <v>227.24</v>
      </c>
      <c r="I86" s="82">
        <v>242.31</v>
      </c>
      <c r="K86" s="26" t="b">
        <f t="shared" si="2"/>
        <v>1</v>
      </c>
      <c r="L86" s="26" t="b">
        <f t="shared" si="3"/>
        <v>1</v>
      </c>
      <c r="M86" s="26" t="s">
        <v>84</v>
      </c>
      <c r="N86" s="26" t="s">
        <v>2</v>
      </c>
      <c r="O86" s="26" t="s">
        <v>137</v>
      </c>
      <c r="P86" s="26" t="s">
        <v>112</v>
      </c>
    </row>
    <row r="87" spans="1:16" x14ac:dyDescent="0.2">
      <c r="A87" s="28" t="s">
        <v>85</v>
      </c>
      <c r="B87" s="30" t="s">
        <v>2</v>
      </c>
      <c r="C87" s="29" t="s">
        <v>111</v>
      </c>
      <c r="D87" s="32" t="s">
        <v>112</v>
      </c>
      <c r="E87" s="82">
        <v>206.63</v>
      </c>
      <c r="F87" s="82">
        <v>241.9</v>
      </c>
      <c r="G87" s="82">
        <v>206.18</v>
      </c>
      <c r="H87" s="82">
        <v>259.45999999999998</v>
      </c>
      <c r="I87" s="82">
        <v>228.77</v>
      </c>
      <c r="K87" s="26" t="b">
        <f t="shared" si="2"/>
        <v>1</v>
      </c>
      <c r="L87" s="26" t="b">
        <f t="shared" si="3"/>
        <v>1</v>
      </c>
      <c r="M87" s="26" t="s">
        <v>85</v>
      </c>
      <c r="N87" s="26" t="s">
        <v>2</v>
      </c>
      <c r="O87" s="26" t="s">
        <v>137</v>
      </c>
      <c r="P87" s="26" t="s">
        <v>112</v>
      </c>
    </row>
    <row r="88" spans="1:16" x14ac:dyDescent="0.2">
      <c r="A88" s="28" t="s">
        <v>86</v>
      </c>
      <c r="B88" s="30" t="s">
        <v>2</v>
      </c>
      <c r="C88" s="29" t="s">
        <v>111</v>
      </c>
      <c r="D88" s="32" t="s">
        <v>138</v>
      </c>
      <c r="E88" s="82">
        <v>234.85</v>
      </c>
      <c r="F88" s="82">
        <v>220.97</v>
      </c>
      <c r="G88" s="82">
        <v>212.60999999999999</v>
      </c>
      <c r="H88" s="82">
        <v>241.72</v>
      </c>
      <c r="I88" s="82">
        <v>196.76</v>
      </c>
      <c r="K88" s="26" t="b">
        <f t="shared" si="2"/>
        <v>1</v>
      </c>
      <c r="L88" s="26" t="b">
        <f t="shared" si="3"/>
        <v>1</v>
      </c>
      <c r="M88" s="26" t="s">
        <v>86</v>
      </c>
      <c r="N88" s="26" t="s">
        <v>2</v>
      </c>
      <c r="O88" s="26" t="s">
        <v>137</v>
      </c>
      <c r="P88" s="26" t="s">
        <v>138</v>
      </c>
    </row>
    <row r="89" spans="1:16" x14ac:dyDescent="0.2">
      <c r="A89" s="28" t="s">
        <v>87</v>
      </c>
      <c r="B89" s="30" t="s">
        <v>2</v>
      </c>
      <c r="C89" s="29" t="s">
        <v>111</v>
      </c>
      <c r="D89" s="32" t="s">
        <v>112</v>
      </c>
      <c r="E89" s="82">
        <v>209.42000000000002</v>
      </c>
      <c r="F89" s="82">
        <v>219.26</v>
      </c>
      <c r="G89" s="82">
        <v>152.88000000000002</v>
      </c>
      <c r="H89" s="82">
        <v>219.52</v>
      </c>
      <c r="I89" s="82">
        <v>219.09</v>
      </c>
      <c r="K89" s="26" t="b">
        <f t="shared" si="2"/>
        <v>1</v>
      </c>
      <c r="L89" s="26" t="b">
        <f t="shared" si="3"/>
        <v>1</v>
      </c>
      <c r="M89" s="26" t="s">
        <v>87</v>
      </c>
      <c r="N89" s="26" t="s">
        <v>2</v>
      </c>
      <c r="O89" s="26" t="s">
        <v>137</v>
      </c>
      <c r="P89" s="26" t="s">
        <v>112</v>
      </c>
    </row>
    <row r="90" spans="1:16" x14ac:dyDescent="0.2">
      <c r="A90" s="28" t="s">
        <v>88</v>
      </c>
      <c r="B90" s="30" t="s">
        <v>2</v>
      </c>
      <c r="C90" s="29" t="s">
        <v>111</v>
      </c>
      <c r="D90" s="32" t="s">
        <v>112</v>
      </c>
      <c r="E90" s="82">
        <v>247.88</v>
      </c>
      <c r="F90" s="82">
        <v>223.5</v>
      </c>
      <c r="G90" s="82">
        <v>166.56</v>
      </c>
      <c r="H90" s="82">
        <v>237.56</v>
      </c>
      <c r="I90" s="82">
        <v>233.25</v>
      </c>
      <c r="K90" s="26" t="b">
        <f t="shared" si="2"/>
        <v>1</v>
      </c>
      <c r="L90" s="26" t="b">
        <f t="shared" si="3"/>
        <v>1</v>
      </c>
      <c r="M90" s="26" t="s">
        <v>88</v>
      </c>
      <c r="N90" s="26" t="s">
        <v>2</v>
      </c>
      <c r="O90" s="26" t="s">
        <v>137</v>
      </c>
      <c r="P90" s="26" t="s">
        <v>112</v>
      </c>
    </row>
    <row r="91" spans="1:16" x14ac:dyDescent="0.2">
      <c r="A91" s="28" t="s">
        <v>89</v>
      </c>
      <c r="B91" s="30" t="s">
        <v>2</v>
      </c>
      <c r="C91" s="29" t="s">
        <v>111</v>
      </c>
      <c r="D91" s="32" t="s">
        <v>112</v>
      </c>
      <c r="E91" s="82">
        <v>185.17999999999998</v>
      </c>
      <c r="F91" s="82">
        <v>155.91999999999999</v>
      </c>
      <c r="G91" s="82">
        <v>179.63</v>
      </c>
      <c r="H91" s="82">
        <v>205.91</v>
      </c>
      <c r="I91" s="82">
        <v>176.23999999999998</v>
      </c>
      <c r="K91" s="26" t="b">
        <f t="shared" si="2"/>
        <v>1</v>
      </c>
      <c r="L91" s="26" t="b">
        <f t="shared" si="3"/>
        <v>1</v>
      </c>
      <c r="M91" s="26" t="s">
        <v>89</v>
      </c>
      <c r="N91" s="26" t="s">
        <v>2</v>
      </c>
      <c r="O91" s="26" t="s">
        <v>137</v>
      </c>
      <c r="P91" s="26" t="s">
        <v>112</v>
      </c>
    </row>
    <row r="92" spans="1:16" x14ac:dyDescent="0.2">
      <c r="A92" s="28" t="s">
        <v>90</v>
      </c>
      <c r="B92" s="30" t="s">
        <v>2</v>
      </c>
      <c r="C92" s="29" t="s">
        <v>111</v>
      </c>
      <c r="D92" s="32" t="s">
        <v>112</v>
      </c>
      <c r="E92" s="82">
        <v>166.67</v>
      </c>
      <c r="F92" s="82">
        <v>168.62</v>
      </c>
      <c r="G92" s="82">
        <v>191.17999999999998</v>
      </c>
      <c r="H92" s="82">
        <v>211.69</v>
      </c>
      <c r="I92" s="82">
        <v>147.70000000000002</v>
      </c>
      <c r="K92" s="26" t="b">
        <f t="shared" si="2"/>
        <v>1</v>
      </c>
      <c r="L92" s="26" t="b">
        <f t="shared" si="3"/>
        <v>1</v>
      </c>
      <c r="M92" s="26" t="s">
        <v>90</v>
      </c>
      <c r="N92" s="26" t="s">
        <v>2</v>
      </c>
      <c r="O92" s="26" t="s">
        <v>137</v>
      </c>
      <c r="P92" s="26" t="s">
        <v>112</v>
      </c>
    </row>
    <row r="93" spans="1:16" x14ac:dyDescent="0.2">
      <c r="A93" s="28" t="s">
        <v>91</v>
      </c>
      <c r="B93" s="30" t="s">
        <v>2</v>
      </c>
      <c r="C93" s="29" t="s">
        <v>111</v>
      </c>
      <c r="D93" s="32" t="s">
        <v>112</v>
      </c>
      <c r="E93" s="82">
        <v>197.57</v>
      </c>
      <c r="F93" s="82">
        <v>163.83000000000001</v>
      </c>
      <c r="G93" s="82">
        <v>167.95</v>
      </c>
      <c r="H93" s="82">
        <v>136.07000000000002</v>
      </c>
      <c r="I93" s="82">
        <v>159.99</v>
      </c>
      <c r="K93" s="26" t="b">
        <f t="shared" si="2"/>
        <v>1</v>
      </c>
      <c r="L93" s="26" t="b">
        <f t="shared" si="3"/>
        <v>1</v>
      </c>
      <c r="M93" s="26" t="s">
        <v>91</v>
      </c>
      <c r="N93" s="26" t="s">
        <v>2</v>
      </c>
      <c r="O93" s="26" t="s">
        <v>137</v>
      </c>
      <c r="P93" s="26" t="s">
        <v>112</v>
      </c>
    </row>
    <row r="94" spans="1:16" x14ac:dyDescent="0.2">
      <c r="A94" s="28" t="s">
        <v>92</v>
      </c>
      <c r="B94" s="30" t="s">
        <v>2</v>
      </c>
      <c r="C94" s="29" t="s">
        <v>111</v>
      </c>
      <c r="D94" s="32" t="s">
        <v>112</v>
      </c>
      <c r="E94" s="82">
        <v>208.42000000000002</v>
      </c>
      <c r="F94" s="82">
        <v>186.78</v>
      </c>
      <c r="G94" s="82">
        <v>176.01999999999998</v>
      </c>
      <c r="H94" s="82">
        <v>189.94</v>
      </c>
      <c r="I94" s="82">
        <v>173.49</v>
      </c>
      <c r="K94" s="26" t="b">
        <f t="shared" si="2"/>
        <v>1</v>
      </c>
      <c r="L94" s="26" t="b">
        <f t="shared" si="3"/>
        <v>1</v>
      </c>
      <c r="M94" s="26" t="s">
        <v>92</v>
      </c>
      <c r="N94" s="26" t="s">
        <v>2</v>
      </c>
      <c r="O94" s="26" t="s">
        <v>137</v>
      </c>
      <c r="P94" s="26" t="s">
        <v>112</v>
      </c>
    </row>
    <row r="95" spans="1:16" x14ac:dyDescent="0.2">
      <c r="A95" s="28" t="s">
        <v>93</v>
      </c>
      <c r="B95" s="30" t="s">
        <v>2</v>
      </c>
      <c r="C95" s="29" t="s">
        <v>111</v>
      </c>
      <c r="D95" s="32" t="s">
        <v>112</v>
      </c>
      <c r="E95" s="82">
        <v>169.95</v>
      </c>
      <c r="F95" s="82">
        <v>181.14</v>
      </c>
      <c r="G95" s="82">
        <v>182.76999999999998</v>
      </c>
      <c r="H95" s="82">
        <v>207.67000000000002</v>
      </c>
      <c r="I95" s="82">
        <v>164.09</v>
      </c>
      <c r="K95" s="26" t="b">
        <f t="shared" si="2"/>
        <v>1</v>
      </c>
      <c r="L95" s="26" t="b">
        <f t="shared" si="3"/>
        <v>1</v>
      </c>
      <c r="M95" s="26" t="s">
        <v>93</v>
      </c>
      <c r="N95" s="26" t="s">
        <v>2</v>
      </c>
      <c r="O95" s="26" t="s">
        <v>137</v>
      </c>
      <c r="P95" s="26" t="s">
        <v>112</v>
      </c>
    </row>
    <row r="96" spans="1:16" x14ac:dyDescent="0.2">
      <c r="A96" s="28" t="s">
        <v>94</v>
      </c>
      <c r="B96" s="30" t="s">
        <v>2</v>
      </c>
      <c r="C96" s="29" t="s">
        <v>111</v>
      </c>
      <c r="D96" s="32" t="s">
        <v>112</v>
      </c>
      <c r="E96" s="82">
        <v>232.92</v>
      </c>
      <c r="F96" s="82">
        <v>199.99</v>
      </c>
      <c r="G96" s="82">
        <v>189.56</v>
      </c>
      <c r="H96" s="82">
        <v>210.14</v>
      </c>
      <c r="I96" s="82">
        <v>199.92999999999998</v>
      </c>
      <c r="K96" s="26" t="b">
        <f t="shared" si="2"/>
        <v>1</v>
      </c>
      <c r="L96" s="26" t="b">
        <f t="shared" si="3"/>
        <v>1</v>
      </c>
      <c r="M96" s="26" t="s">
        <v>94</v>
      </c>
      <c r="N96" s="26" t="s">
        <v>2</v>
      </c>
      <c r="O96" s="26" t="s">
        <v>137</v>
      </c>
      <c r="P96" s="26" t="s">
        <v>112</v>
      </c>
    </row>
    <row r="97" spans="1:16" x14ac:dyDescent="0.2">
      <c r="A97" s="28" t="s">
        <v>95</v>
      </c>
      <c r="B97" s="30" t="s">
        <v>2</v>
      </c>
      <c r="C97" s="29" t="s">
        <v>111</v>
      </c>
      <c r="D97" s="32" t="s">
        <v>112</v>
      </c>
      <c r="E97" s="82">
        <v>178.35</v>
      </c>
      <c r="F97" s="82">
        <v>159.55000000000001</v>
      </c>
      <c r="G97" s="82">
        <v>178.51000000000002</v>
      </c>
      <c r="H97" s="82">
        <v>182.63</v>
      </c>
      <c r="I97" s="82">
        <v>154.16</v>
      </c>
      <c r="K97" s="26" t="b">
        <f t="shared" ref="K97:K103" si="4">+M97=A97</f>
        <v>1</v>
      </c>
      <c r="L97" s="26" t="b">
        <f t="shared" ref="L97:L103" si="5">+P97=D97</f>
        <v>1</v>
      </c>
      <c r="M97" s="26" t="s">
        <v>95</v>
      </c>
      <c r="N97" s="26" t="s">
        <v>2</v>
      </c>
      <c r="O97" s="26" t="s">
        <v>137</v>
      </c>
      <c r="P97" s="26" t="s">
        <v>112</v>
      </c>
    </row>
    <row r="98" spans="1:16" x14ac:dyDescent="0.2">
      <c r="A98" s="28" t="s">
        <v>96</v>
      </c>
      <c r="B98" s="30" t="s">
        <v>2</v>
      </c>
      <c r="C98" s="29" t="s">
        <v>111</v>
      </c>
      <c r="D98" s="32" t="s">
        <v>112</v>
      </c>
      <c r="E98" s="82">
        <v>201.17</v>
      </c>
      <c r="F98" s="82">
        <v>215.36999999999998</v>
      </c>
      <c r="G98" s="82">
        <v>184.3</v>
      </c>
      <c r="H98" s="82">
        <v>230.57</v>
      </c>
      <c r="I98" s="82">
        <v>207.42999999999998</v>
      </c>
      <c r="K98" s="26" t="b">
        <f t="shared" si="4"/>
        <v>1</v>
      </c>
      <c r="L98" s="26" t="b">
        <f t="shared" si="5"/>
        <v>1</v>
      </c>
      <c r="M98" s="26" t="s">
        <v>96</v>
      </c>
      <c r="N98" s="26" t="s">
        <v>2</v>
      </c>
      <c r="O98" s="26" t="s">
        <v>137</v>
      </c>
      <c r="P98" s="26" t="s">
        <v>112</v>
      </c>
    </row>
    <row r="99" spans="1:16" x14ac:dyDescent="0.2">
      <c r="A99" s="28" t="s">
        <v>97</v>
      </c>
      <c r="B99" s="30" t="s">
        <v>2</v>
      </c>
      <c r="C99" s="29" t="s">
        <v>111</v>
      </c>
      <c r="D99" s="32" t="s">
        <v>112</v>
      </c>
      <c r="E99" s="82">
        <v>186.85</v>
      </c>
      <c r="F99" s="82">
        <v>208.26000000000002</v>
      </c>
      <c r="G99" s="82">
        <v>225.83999999999997</v>
      </c>
      <c r="H99" s="82">
        <v>216.51</v>
      </c>
      <c r="I99" s="82">
        <v>227.64</v>
      </c>
      <c r="K99" s="26" t="b">
        <f t="shared" si="4"/>
        <v>1</v>
      </c>
      <c r="L99" s="26" t="b">
        <f t="shared" si="5"/>
        <v>1</v>
      </c>
      <c r="M99" s="26" t="s">
        <v>97</v>
      </c>
      <c r="N99" s="26" t="s">
        <v>2</v>
      </c>
      <c r="O99" s="26" t="s">
        <v>137</v>
      </c>
      <c r="P99" s="26" t="s">
        <v>112</v>
      </c>
    </row>
    <row r="100" spans="1:16" x14ac:dyDescent="0.2">
      <c r="A100" s="28" t="s">
        <v>98</v>
      </c>
      <c r="B100" s="30" t="s">
        <v>2</v>
      </c>
      <c r="C100" s="29" t="s">
        <v>111</v>
      </c>
      <c r="D100" s="32" t="s">
        <v>112</v>
      </c>
      <c r="E100" s="82">
        <v>206.20000000000002</v>
      </c>
      <c r="F100" s="82">
        <v>211.73999999999998</v>
      </c>
      <c r="G100" s="82">
        <v>192.57</v>
      </c>
      <c r="H100" s="82">
        <v>221.88</v>
      </c>
      <c r="I100" s="82">
        <v>217.33</v>
      </c>
      <c r="K100" s="26" t="b">
        <f t="shared" si="4"/>
        <v>1</v>
      </c>
      <c r="L100" s="26" t="b">
        <f t="shared" si="5"/>
        <v>1</v>
      </c>
      <c r="M100" s="26" t="s">
        <v>98</v>
      </c>
      <c r="N100" s="26" t="s">
        <v>2</v>
      </c>
      <c r="O100" s="26" t="s">
        <v>137</v>
      </c>
      <c r="P100" s="26" t="s">
        <v>112</v>
      </c>
    </row>
    <row r="101" spans="1:16" x14ac:dyDescent="0.2">
      <c r="A101" s="28" t="s">
        <v>99</v>
      </c>
      <c r="B101" s="30" t="s">
        <v>2</v>
      </c>
      <c r="C101" s="29" t="s">
        <v>111</v>
      </c>
      <c r="D101" s="32" t="s">
        <v>138</v>
      </c>
      <c r="E101" s="82">
        <v>234.27</v>
      </c>
      <c r="F101" s="82">
        <v>229.03</v>
      </c>
      <c r="G101" s="82">
        <v>205.01999999999998</v>
      </c>
      <c r="H101" s="82">
        <v>220.06</v>
      </c>
      <c r="I101" s="82">
        <v>197.14000000000001</v>
      </c>
      <c r="K101" s="26" t="b">
        <f t="shared" si="4"/>
        <v>1</v>
      </c>
      <c r="L101" s="26" t="b">
        <f t="shared" si="5"/>
        <v>1</v>
      </c>
      <c r="M101" s="26" t="s">
        <v>99</v>
      </c>
      <c r="N101" s="26" t="s">
        <v>2</v>
      </c>
      <c r="O101" s="26" t="s">
        <v>137</v>
      </c>
      <c r="P101" s="26" t="s">
        <v>138</v>
      </c>
    </row>
    <row r="102" spans="1:16" x14ac:dyDescent="0.2">
      <c r="A102" s="28" t="s">
        <v>100</v>
      </c>
      <c r="B102" s="30" t="s">
        <v>2</v>
      </c>
      <c r="C102" s="29" t="s">
        <v>111</v>
      </c>
      <c r="D102" s="32" t="s">
        <v>138</v>
      </c>
      <c r="E102" s="82">
        <v>198.94</v>
      </c>
      <c r="F102" s="82">
        <v>212.86</v>
      </c>
      <c r="G102" s="82">
        <v>219.91</v>
      </c>
      <c r="H102" s="82">
        <v>216.51999999999998</v>
      </c>
      <c r="I102" s="82">
        <v>229.3</v>
      </c>
      <c r="K102" s="26" t="b">
        <f t="shared" si="4"/>
        <v>1</v>
      </c>
      <c r="L102" s="26" t="b">
        <f t="shared" si="5"/>
        <v>1</v>
      </c>
      <c r="M102" s="26" t="s">
        <v>100</v>
      </c>
      <c r="N102" s="26" t="s">
        <v>2</v>
      </c>
      <c r="O102" s="26" t="s">
        <v>137</v>
      </c>
      <c r="P102" s="26" t="s">
        <v>138</v>
      </c>
    </row>
    <row r="103" spans="1:16" x14ac:dyDescent="0.2">
      <c r="A103" s="28" t="s">
        <v>101</v>
      </c>
      <c r="B103" s="30" t="s">
        <v>2</v>
      </c>
      <c r="C103" s="29" t="s">
        <v>111</v>
      </c>
      <c r="D103" s="32" t="s">
        <v>112</v>
      </c>
      <c r="E103" s="82">
        <v>192.49</v>
      </c>
      <c r="F103" s="82">
        <v>209.08</v>
      </c>
      <c r="G103" s="82">
        <v>185.66</v>
      </c>
      <c r="H103" s="82">
        <v>208.39999999999998</v>
      </c>
      <c r="I103" s="82">
        <v>226.93</v>
      </c>
      <c r="K103" s="26" t="b">
        <f t="shared" si="4"/>
        <v>1</v>
      </c>
      <c r="L103" s="26" t="b">
        <f t="shared" si="5"/>
        <v>1</v>
      </c>
      <c r="M103" s="26" t="s">
        <v>101</v>
      </c>
      <c r="N103" s="26" t="s">
        <v>2</v>
      </c>
      <c r="O103" s="26" t="s">
        <v>137</v>
      </c>
      <c r="P103" s="26" t="s">
        <v>112</v>
      </c>
    </row>
    <row r="104" spans="1:16" x14ac:dyDescent="0.2">
      <c r="D104" s="2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00B050"/>
  </sheetPr>
  <dimension ref="A1:P104"/>
  <sheetViews>
    <sheetView workbookViewId="0"/>
  </sheetViews>
  <sheetFormatPr defaultColWidth="9.28515625" defaultRowHeight="12.75" x14ac:dyDescent="0.2"/>
  <cols>
    <col min="1" max="1" width="13.28515625" style="90" customWidth="1"/>
    <col min="2" max="2" width="9.7109375" style="90" bestFit="1" customWidth="1"/>
    <col min="3" max="3" width="10.7109375" style="91" customWidth="1"/>
    <col min="4" max="4" width="11.28515625" style="91" bestFit="1" customWidth="1"/>
    <col min="5" max="9" width="8.7109375" style="26" customWidth="1"/>
    <col min="10" max="16384" width="9.28515625" style="26"/>
  </cols>
  <sheetData>
    <row r="1" spans="1:16" ht="15" x14ac:dyDescent="0.25">
      <c r="A1" s="86" t="s">
        <v>296</v>
      </c>
      <c r="B1" s="70"/>
      <c r="C1" s="71"/>
      <c r="D1" s="71"/>
      <c r="F1" s="76"/>
      <c r="G1" s="76"/>
      <c r="H1" s="76"/>
      <c r="I1" s="76"/>
    </row>
    <row r="2" spans="1:16" ht="15.75" thickBot="1" x14ac:dyDescent="0.3">
      <c r="A2" s="83" t="s">
        <v>130</v>
      </c>
      <c r="B2" s="70"/>
      <c r="C2" s="71"/>
      <c r="D2" s="71"/>
      <c r="F2" s="85"/>
      <c r="G2" s="85"/>
      <c r="H2" s="85"/>
      <c r="I2" s="85"/>
    </row>
    <row r="3" spans="1:16" ht="105.75" thickBot="1" x14ac:dyDescent="0.3">
      <c r="A3" s="84" t="s">
        <v>107</v>
      </c>
      <c r="B3" s="84" t="s">
        <v>108</v>
      </c>
      <c r="C3" s="84" t="s">
        <v>109</v>
      </c>
      <c r="D3" s="84" t="s">
        <v>110</v>
      </c>
      <c r="E3" s="92" t="s">
        <v>142</v>
      </c>
      <c r="F3" s="92" t="s">
        <v>143</v>
      </c>
      <c r="G3" s="92" t="s">
        <v>281</v>
      </c>
      <c r="H3" s="92" t="s">
        <v>286</v>
      </c>
      <c r="I3" s="92" t="s">
        <v>297</v>
      </c>
      <c r="J3" s="26" t="s">
        <v>267</v>
      </c>
    </row>
    <row r="4" spans="1:16" x14ac:dyDescent="0.2">
      <c r="A4" s="87" t="s">
        <v>4</v>
      </c>
      <c r="B4" s="88" t="s">
        <v>3</v>
      </c>
      <c r="C4" s="89" t="s">
        <v>111</v>
      </c>
      <c r="D4" s="32" t="s">
        <v>112</v>
      </c>
      <c r="E4" s="82">
        <v>49.41</v>
      </c>
      <c r="F4" s="82">
        <v>57.73</v>
      </c>
      <c r="G4" s="82">
        <v>50.42</v>
      </c>
      <c r="H4" s="82">
        <v>64.63</v>
      </c>
      <c r="I4" s="82">
        <v>48.800000000000004</v>
      </c>
      <c r="K4" s="26" t="b">
        <f>+M4=A4</f>
        <v>1</v>
      </c>
      <c r="L4" s="26" t="b">
        <f>+P4=D4</f>
        <v>1</v>
      </c>
      <c r="M4" s="26" t="s">
        <v>4</v>
      </c>
      <c r="N4" s="26" t="s">
        <v>3</v>
      </c>
      <c r="O4" s="26" t="s">
        <v>137</v>
      </c>
      <c r="P4" s="26" t="s">
        <v>112</v>
      </c>
    </row>
    <row r="5" spans="1:16" x14ac:dyDescent="0.2">
      <c r="A5" s="87" t="s">
        <v>5</v>
      </c>
      <c r="B5" s="88" t="s">
        <v>3</v>
      </c>
      <c r="C5" s="89" t="s">
        <v>111</v>
      </c>
      <c r="D5" s="32" t="s">
        <v>112</v>
      </c>
      <c r="E5" s="82">
        <v>53.2</v>
      </c>
      <c r="F5" s="82">
        <v>56.18</v>
      </c>
      <c r="G5" s="82">
        <v>54.14</v>
      </c>
      <c r="H5" s="82">
        <v>65.02</v>
      </c>
      <c r="I5" s="82">
        <v>49.76</v>
      </c>
      <c r="K5" s="26" t="b">
        <f t="shared" ref="K5:K18" si="0">+M5=A5</f>
        <v>1</v>
      </c>
      <c r="L5" s="26" t="b">
        <f t="shared" ref="L5:L18" si="1">+P5=D5</f>
        <v>1</v>
      </c>
      <c r="M5" s="26" t="s">
        <v>5</v>
      </c>
      <c r="N5" s="26" t="s">
        <v>3</v>
      </c>
      <c r="O5" s="26" t="s">
        <v>137</v>
      </c>
      <c r="P5" s="26" t="s">
        <v>112</v>
      </c>
    </row>
    <row r="6" spans="1:16" x14ac:dyDescent="0.2">
      <c r="A6" s="87" t="s">
        <v>6</v>
      </c>
      <c r="B6" s="88" t="s">
        <v>3</v>
      </c>
      <c r="C6" s="89" t="s">
        <v>111</v>
      </c>
      <c r="D6" s="32" t="s">
        <v>112</v>
      </c>
      <c r="E6" s="82">
        <v>57.18</v>
      </c>
      <c r="F6" s="82">
        <v>57.61</v>
      </c>
      <c r="G6" s="82">
        <v>59.9</v>
      </c>
      <c r="H6" s="82">
        <v>63.73</v>
      </c>
      <c r="I6" s="82">
        <v>64.25</v>
      </c>
      <c r="K6" s="26" t="b">
        <f t="shared" si="0"/>
        <v>1</v>
      </c>
      <c r="L6" s="26" t="b">
        <f t="shared" si="1"/>
        <v>1</v>
      </c>
      <c r="M6" s="26" t="s">
        <v>6</v>
      </c>
      <c r="N6" s="26" t="s">
        <v>3</v>
      </c>
      <c r="O6" s="26" t="s">
        <v>137</v>
      </c>
      <c r="P6" s="26" t="s">
        <v>112</v>
      </c>
    </row>
    <row r="7" spans="1:16" x14ac:dyDescent="0.2">
      <c r="A7" s="87" t="s">
        <v>7</v>
      </c>
      <c r="B7" s="88" t="s">
        <v>3</v>
      </c>
      <c r="C7" s="89" t="s">
        <v>111</v>
      </c>
      <c r="D7" s="32" t="s">
        <v>112</v>
      </c>
      <c r="E7" s="82">
        <v>45.07</v>
      </c>
      <c r="F7" s="82">
        <v>55.63</v>
      </c>
      <c r="G7" s="82">
        <v>38.32</v>
      </c>
      <c r="H7" s="82">
        <v>56.650000000000006</v>
      </c>
      <c r="I7" s="82">
        <v>39.059999999999995</v>
      </c>
      <c r="K7" s="26" t="b">
        <f t="shared" si="0"/>
        <v>1</v>
      </c>
      <c r="L7" s="26" t="b">
        <f t="shared" si="1"/>
        <v>1</v>
      </c>
      <c r="M7" s="26" t="s">
        <v>7</v>
      </c>
      <c r="N7" s="26" t="s">
        <v>3</v>
      </c>
      <c r="O7" s="26" t="s">
        <v>137</v>
      </c>
      <c r="P7" s="26" t="s">
        <v>112</v>
      </c>
    </row>
    <row r="8" spans="1:16" x14ac:dyDescent="0.2">
      <c r="A8" s="87" t="s">
        <v>8</v>
      </c>
      <c r="B8" s="88" t="s">
        <v>3</v>
      </c>
      <c r="C8" s="89" t="s">
        <v>111</v>
      </c>
      <c r="D8" s="32" t="s">
        <v>112</v>
      </c>
      <c r="E8" s="82">
        <v>61.339999999999996</v>
      </c>
      <c r="F8" s="82">
        <v>64.95</v>
      </c>
      <c r="G8" s="82">
        <v>52.51</v>
      </c>
      <c r="H8" s="82">
        <v>70.84</v>
      </c>
      <c r="I8" s="82">
        <v>60.03</v>
      </c>
      <c r="K8" s="26" t="b">
        <f t="shared" si="0"/>
        <v>1</v>
      </c>
      <c r="L8" s="26" t="b">
        <f t="shared" si="1"/>
        <v>1</v>
      </c>
      <c r="M8" s="26" t="s">
        <v>8</v>
      </c>
      <c r="N8" s="26" t="s">
        <v>3</v>
      </c>
      <c r="O8" s="26" t="s">
        <v>137</v>
      </c>
      <c r="P8" s="26" t="s">
        <v>112</v>
      </c>
    </row>
    <row r="9" spans="1:16" x14ac:dyDescent="0.2">
      <c r="A9" s="87" t="s">
        <v>9</v>
      </c>
      <c r="B9" s="88" t="s">
        <v>3</v>
      </c>
      <c r="C9" s="89" t="s">
        <v>111</v>
      </c>
      <c r="D9" s="32" t="s">
        <v>112</v>
      </c>
      <c r="E9" s="82">
        <v>67.42</v>
      </c>
      <c r="F9" s="82">
        <v>59.14</v>
      </c>
      <c r="G9" s="82">
        <v>58.900000000000006</v>
      </c>
      <c r="H9" s="82">
        <v>68.160000000000011</v>
      </c>
      <c r="I9" s="82">
        <v>67.16</v>
      </c>
      <c r="K9" s="26" t="b">
        <f t="shared" si="0"/>
        <v>1</v>
      </c>
      <c r="L9" s="26" t="b">
        <f t="shared" si="1"/>
        <v>1</v>
      </c>
      <c r="M9" s="26" t="s">
        <v>9</v>
      </c>
      <c r="N9" s="26" t="s">
        <v>3</v>
      </c>
      <c r="O9" s="26" t="s">
        <v>137</v>
      </c>
      <c r="P9" s="26" t="s">
        <v>112</v>
      </c>
    </row>
    <row r="10" spans="1:16" x14ac:dyDescent="0.2">
      <c r="A10" s="87" t="s">
        <v>10</v>
      </c>
      <c r="B10" s="88" t="s">
        <v>3</v>
      </c>
      <c r="C10" s="89" t="s">
        <v>111</v>
      </c>
      <c r="D10" s="32" t="s">
        <v>112</v>
      </c>
      <c r="E10" s="82">
        <v>64.320000000000007</v>
      </c>
      <c r="F10" s="82">
        <v>57.03</v>
      </c>
      <c r="G10" s="82">
        <v>57.92</v>
      </c>
      <c r="H10" s="82">
        <v>64.820000000000007</v>
      </c>
      <c r="I10" s="82">
        <v>65.61999999999999</v>
      </c>
      <c r="K10" s="26" t="b">
        <f t="shared" si="0"/>
        <v>1</v>
      </c>
      <c r="L10" s="26" t="b">
        <f t="shared" si="1"/>
        <v>1</v>
      </c>
      <c r="M10" s="26" t="s">
        <v>10</v>
      </c>
      <c r="N10" s="26" t="s">
        <v>3</v>
      </c>
      <c r="O10" s="26" t="s">
        <v>137</v>
      </c>
      <c r="P10" s="26" t="s">
        <v>112</v>
      </c>
    </row>
    <row r="11" spans="1:16" x14ac:dyDescent="0.2">
      <c r="A11" s="87" t="s">
        <v>11</v>
      </c>
      <c r="B11" s="88" t="s">
        <v>3</v>
      </c>
      <c r="C11" s="89" t="s">
        <v>111</v>
      </c>
      <c r="D11" s="32" t="s">
        <v>112</v>
      </c>
      <c r="E11" s="82">
        <v>58.85</v>
      </c>
      <c r="F11" s="82">
        <v>56.22</v>
      </c>
      <c r="G11" s="82">
        <v>54.56</v>
      </c>
      <c r="H11" s="82">
        <v>65.56</v>
      </c>
      <c r="I11" s="82">
        <v>63.83</v>
      </c>
      <c r="K11" s="26" t="b">
        <f t="shared" si="0"/>
        <v>1</v>
      </c>
      <c r="L11" s="26" t="b">
        <f t="shared" si="1"/>
        <v>1</v>
      </c>
      <c r="M11" s="26" t="s">
        <v>11</v>
      </c>
      <c r="N11" s="26" t="s">
        <v>3</v>
      </c>
      <c r="O11" s="26" t="s">
        <v>137</v>
      </c>
      <c r="P11" s="26" t="s">
        <v>112</v>
      </c>
    </row>
    <row r="12" spans="1:16" x14ac:dyDescent="0.2">
      <c r="A12" s="87" t="s">
        <v>12</v>
      </c>
      <c r="B12" s="88" t="s">
        <v>3</v>
      </c>
      <c r="C12" s="89" t="s">
        <v>111</v>
      </c>
      <c r="D12" s="32" t="s">
        <v>112</v>
      </c>
      <c r="E12" s="82">
        <v>63.099999999999994</v>
      </c>
      <c r="F12" s="82">
        <v>61.32</v>
      </c>
      <c r="G12" s="82">
        <v>60.33</v>
      </c>
      <c r="H12" s="82">
        <v>67.339999999999989</v>
      </c>
      <c r="I12" s="82">
        <v>71.459999999999994</v>
      </c>
      <c r="K12" s="26" t="b">
        <f t="shared" si="0"/>
        <v>1</v>
      </c>
      <c r="L12" s="26" t="b">
        <f t="shared" si="1"/>
        <v>1</v>
      </c>
      <c r="M12" s="26" t="s">
        <v>12</v>
      </c>
      <c r="N12" s="26" t="s">
        <v>3</v>
      </c>
      <c r="O12" s="26" t="s">
        <v>137</v>
      </c>
      <c r="P12" s="26" t="s">
        <v>112</v>
      </c>
    </row>
    <row r="13" spans="1:16" x14ac:dyDescent="0.2">
      <c r="A13" s="87" t="s">
        <v>13</v>
      </c>
      <c r="B13" s="88" t="s">
        <v>3</v>
      </c>
      <c r="C13" s="89" t="s">
        <v>111</v>
      </c>
      <c r="D13" s="32" t="s">
        <v>112</v>
      </c>
      <c r="E13" s="82">
        <v>64.58</v>
      </c>
      <c r="F13" s="82">
        <v>57.82</v>
      </c>
      <c r="G13" s="82">
        <v>57.330000000000005</v>
      </c>
      <c r="H13" s="82">
        <v>68.12</v>
      </c>
      <c r="I13" s="82">
        <v>67.490000000000009</v>
      </c>
      <c r="K13" s="26" t="b">
        <f t="shared" si="0"/>
        <v>1</v>
      </c>
      <c r="L13" s="26" t="b">
        <f t="shared" si="1"/>
        <v>1</v>
      </c>
      <c r="M13" s="26" t="s">
        <v>13</v>
      </c>
      <c r="N13" s="26" t="s">
        <v>3</v>
      </c>
      <c r="O13" s="26" t="s">
        <v>137</v>
      </c>
      <c r="P13" s="26" t="s">
        <v>112</v>
      </c>
    </row>
    <row r="14" spans="1:16" x14ac:dyDescent="0.2">
      <c r="A14" s="87" t="s">
        <v>14</v>
      </c>
      <c r="B14" s="88" t="s">
        <v>3</v>
      </c>
      <c r="C14" s="89" t="s">
        <v>111</v>
      </c>
      <c r="D14" s="32" t="s">
        <v>112</v>
      </c>
      <c r="E14" s="82">
        <v>62.35</v>
      </c>
      <c r="F14" s="82">
        <v>56.699999999999996</v>
      </c>
      <c r="G14" s="82">
        <v>57.21</v>
      </c>
      <c r="H14" s="82">
        <v>66.69</v>
      </c>
      <c r="I14" s="82">
        <v>58.59</v>
      </c>
      <c r="K14" s="26" t="b">
        <f t="shared" si="0"/>
        <v>1</v>
      </c>
      <c r="L14" s="26" t="b">
        <f t="shared" si="1"/>
        <v>1</v>
      </c>
      <c r="M14" s="26" t="s">
        <v>14</v>
      </c>
      <c r="N14" s="26" t="s">
        <v>3</v>
      </c>
      <c r="O14" s="26" t="s">
        <v>137</v>
      </c>
      <c r="P14" s="26" t="s">
        <v>112</v>
      </c>
    </row>
    <row r="15" spans="1:16" x14ac:dyDescent="0.2">
      <c r="A15" s="87" t="s">
        <v>15</v>
      </c>
      <c r="B15" s="88" t="s">
        <v>3</v>
      </c>
      <c r="C15" s="89" t="s">
        <v>111</v>
      </c>
      <c r="D15" s="32" t="s">
        <v>112</v>
      </c>
      <c r="E15" s="82">
        <v>60.61</v>
      </c>
      <c r="F15" s="82">
        <v>56</v>
      </c>
      <c r="G15" s="82">
        <v>56.040000000000006</v>
      </c>
      <c r="H15" s="82">
        <v>63.269999999999996</v>
      </c>
      <c r="I15" s="82">
        <v>66.34</v>
      </c>
      <c r="K15" s="26" t="b">
        <f t="shared" si="0"/>
        <v>1</v>
      </c>
      <c r="L15" s="26" t="b">
        <f t="shared" si="1"/>
        <v>1</v>
      </c>
      <c r="M15" s="26" t="s">
        <v>15</v>
      </c>
      <c r="N15" s="26" t="s">
        <v>3</v>
      </c>
      <c r="O15" s="26" t="s">
        <v>137</v>
      </c>
      <c r="P15" s="26" t="s">
        <v>112</v>
      </c>
    </row>
    <row r="16" spans="1:16" x14ac:dyDescent="0.2">
      <c r="A16" s="87" t="s">
        <v>16</v>
      </c>
      <c r="B16" s="88" t="s">
        <v>3</v>
      </c>
      <c r="C16" s="89" t="s">
        <v>111</v>
      </c>
      <c r="D16" s="32" t="s">
        <v>112</v>
      </c>
      <c r="E16" s="82">
        <v>57.63</v>
      </c>
      <c r="F16" s="82">
        <v>57.17</v>
      </c>
      <c r="G16" s="82">
        <v>51.59</v>
      </c>
      <c r="H16" s="82">
        <v>69.009999999999991</v>
      </c>
      <c r="I16" s="82">
        <v>61.94</v>
      </c>
      <c r="K16" s="26" t="b">
        <f t="shared" si="0"/>
        <v>1</v>
      </c>
      <c r="L16" s="26" t="b">
        <f t="shared" si="1"/>
        <v>1</v>
      </c>
      <c r="M16" s="26" t="s">
        <v>16</v>
      </c>
      <c r="N16" s="26" t="s">
        <v>3</v>
      </c>
      <c r="O16" s="26" t="s">
        <v>137</v>
      </c>
      <c r="P16" s="26" t="s">
        <v>112</v>
      </c>
    </row>
    <row r="17" spans="1:16" x14ac:dyDescent="0.2">
      <c r="A17" s="87" t="s">
        <v>17</v>
      </c>
      <c r="B17" s="88" t="s">
        <v>3</v>
      </c>
      <c r="C17" s="89" t="s">
        <v>111</v>
      </c>
      <c r="D17" s="32" t="s">
        <v>112</v>
      </c>
      <c r="E17" s="82">
        <v>63.04</v>
      </c>
      <c r="F17" s="82">
        <v>64.41</v>
      </c>
      <c r="G17" s="82">
        <v>53.48</v>
      </c>
      <c r="H17" s="82">
        <v>68.59</v>
      </c>
      <c r="I17" s="82">
        <v>66.660000000000011</v>
      </c>
      <c r="K17" s="26" t="b">
        <f t="shared" si="0"/>
        <v>1</v>
      </c>
      <c r="L17" s="26" t="b">
        <f t="shared" si="1"/>
        <v>1</v>
      </c>
      <c r="M17" s="26" t="s">
        <v>17</v>
      </c>
      <c r="N17" s="26" t="s">
        <v>3</v>
      </c>
      <c r="O17" s="26" t="s">
        <v>137</v>
      </c>
      <c r="P17" s="26" t="s">
        <v>112</v>
      </c>
    </row>
    <row r="18" spans="1:16" x14ac:dyDescent="0.2">
      <c r="A18" s="87" t="s">
        <v>18</v>
      </c>
      <c r="B18" s="88" t="s">
        <v>3</v>
      </c>
      <c r="C18" s="89" t="s">
        <v>111</v>
      </c>
      <c r="D18" s="32" t="s">
        <v>112</v>
      </c>
      <c r="E18" s="82">
        <v>56.25</v>
      </c>
      <c r="F18" s="82">
        <v>62.900000000000006</v>
      </c>
      <c r="G18" s="82">
        <v>52.160000000000004</v>
      </c>
      <c r="H18" s="82">
        <v>63.61</v>
      </c>
      <c r="I18" s="82">
        <v>52.489999999999995</v>
      </c>
      <c r="K18" s="26" t="b">
        <f t="shared" si="0"/>
        <v>1</v>
      </c>
      <c r="L18" s="26" t="b">
        <f t="shared" si="1"/>
        <v>1</v>
      </c>
      <c r="M18" s="26" t="s">
        <v>18</v>
      </c>
      <c r="N18" s="26" t="s">
        <v>3</v>
      </c>
      <c r="O18" s="26" t="s">
        <v>137</v>
      </c>
      <c r="P18" s="26" t="s">
        <v>112</v>
      </c>
    </row>
    <row r="19" spans="1:16" x14ac:dyDescent="0.2">
      <c r="A19" s="87" t="s">
        <v>19</v>
      </c>
      <c r="B19" s="88" t="s">
        <v>3</v>
      </c>
      <c r="C19" s="89" t="s">
        <v>111</v>
      </c>
      <c r="D19" s="32" t="s">
        <v>112</v>
      </c>
      <c r="E19" s="82">
        <v>69.77000000000001</v>
      </c>
      <c r="F19" s="82">
        <v>64.47</v>
      </c>
      <c r="G19" s="82">
        <v>61.89</v>
      </c>
      <c r="H19" s="82">
        <v>70.149999999999991</v>
      </c>
      <c r="I19" s="82">
        <v>71.75</v>
      </c>
      <c r="K19" s="26" t="b">
        <f t="shared" ref="K19:K82" si="2">+M19=A19</f>
        <v>1</v>
      </c>
      <c r="L19" s="26" t="b">
        <f t="shared" ref="L19:L82" si="3">+P19=D19</f>
        <v>1</v>
      </c>
      <c r="M19" s="26" t="s">
        <v>19</v>
      </c>
      <c r="N19" s="26" t="s">
        <v>3</v>
      </c>
      <c r="O19" s="26" t="s">
        <v>137</v>
      </c>
      <c r="P19" s="26" t="s">
        <v>112</v>
      </c>
    </row>
    <row r="20" spans="1:16" x14ac:dyDescent="0.2">
      <c r="A20" s="87" t="s">
        <v>20</v>
      </c>
      <c r="B20" s="88" t="s">
        <v>3</v>
      </c>
      <c r="C20" s="89" t="s">
        <v>111</v>
      </c>
      <c r="D20" s="32" t="s">
        <v>112</v>
      </c>
      <c r="E20" s="82">
        <v>55.89</v>
      </c>
      <c r="F20" s="82">
        <v>56.029999999999994</v>
      </c>
      <c r="G20" s="82">
        <v>63.08</v>
      </c>
      <c r="H20" s="82">
        <v>62.79</v>
      </c>
      <c r="I20" s="82">
        <v>66.86</v>
      </c>
      <c r="K20" s="26" t="b">
        <f t="shared" si="2"/>
        <v>1</v>
      </c>
      <c r="L20" s="26" t="b">
        <f t="shared" si="3"/>
        <v>1</v>
      </c>
      <c r="M20" s="26" t="s">
        <v>20</v>
      </c>
      <c r="N20" s="26" t="s">
        <v>3</v>
      </c>
      <c r="O20" s="26" t="s">
        <v>137</v>
      </c>
      <c r="P20" s="26" t="s">
        <v>112</v>
      </c>
    </row>
    <row r="21" spans="1:16" x14ac:dyDescent="0.2">
      <c r="A21" s="87" t="s">
        <v>21</v>
      </c>
      <c r="B21" s="88" t="s">
        <v>3</v>
      </c>
      <c r="C21" s="89" t="s">
        <v>111</v>
      </c>
      <c r="D21" s="32" t="s">
        <v>112</v>
      </c>
      <c r="E21" s="82">
        <v>68.910000000000011</v>
      </c>
      <c r="F21" s="82">
        <v>62.84</v>
      </c>
      <c r="G21" s="82">
        <v>62.41</v>
      </c>
      <c r="H21" s="82">
        <v>69.839999999999989</v>
      </c>
      <c r="I21" s="82">
        <v>59.6</v>
      </c>
      <c r="K21" s="26" t="b">
        <f t="shared" si="2"/>
        <v>1</v>
      </c>
      <c r="L21" s="26" t="b">
        <f t="shared" si="3"/>
        <v>1</v>
      </c>
      <c r="M21" s="26" t="s">
        <v>21</v>
      </c>
      <c r="N21" s="26" t="s">
        <v>3</v>
      </c>
      <c r="O21" s="26" t="s">
        <v>137</v>
      </c>
      <c r="P21" s="26" t="s">
        <v>112</v>
      </c>
    </row>
    <row r="22" spans="1:16" x14ac:dyDescent="0.2">
      <c r="A22" s="87" t="s">
        <v>22</v>
      </c>
      <c r="B22" s="88" t="s">
        <v>3</v>
      </c>
      <c r="C22" s="89" t="s">
        <v>111</v>
      </c>
      <c r="D22" s="32" t="s">
        <v>112</v>
      </c>
      <c r="E22" s="82">
        <v>58.86</v>
      </c>
      <c r="F22" s="82">
        <v>58.589999999999996</v>
      </c>
      <c r="G22" s="82">
        <v>58.19</v>
      </c>
      <c r="H22" s="82">
        <v>65.34</v>
      </c>
      <c r="I22" s="82">
        <v>66.38</v>
      </c>
      <c r="K22" s="26" t="b">
        <f t="shared" si="2"/>
        <v>1</v>
      </c>
      <c r="L22" s="26" t="b">
        <f t="shared" si="3"/>
        <v>1</v>
      </c>
      <c r="M22" s="26" t="s">
        <v>22</v>
      </c>
      <c r="N22" s="26" t="s">
        <v>3</v>
      </c>
      <c r="O22" s="26" t="s">
        <v>137</v>
      </c>
      <c r="P22" s="26" t="s">
        <v>112</v>
      </c>
    </row>
    <row r="23" spans="1:16" x14ac:dyDescent="0.2">
      <c r="A23" s="87" t="s">
        <v>23</v>
      </c>
      <c r="B23" s="88" t="s">
        <v>3</v>
      </c>
      <c r="C23" s="89" t="s">
        <v>111</v>
      </c>
      <c r="D23" s="32" t="s">
        <v>112</v>
      </c>
      <c r="E23" s="82">
        <v>47.02</v>
      </c>
      <c r="F23" s="82">
        <v>50.17</v>
      </c>
      <c r="G23" s="82">
        <v>47.940000000000005</v>
      </c>
      <c r="H23" s="82">
        <v>59.4</v>
      </c>
      <c r="I23" s="82">
        <v>35.159999999999997</v>
      </c>
      <c r="K23" s="26" t="b">
        <f t="shared" si="2"/>
        <v>1</v>
      </c>
      <c r="L23" s="26" t="b">
        <f t="shared" si="3"/>
        <v>1</v>
      </c>
      <c r="M23" s="26" t="s">
        <v>23</v>
      </c>
      <c r="N23" s="26" t="s">
        <v>3</v>
      </c>
      <c r="O23" s="26" t="s">
        <v>137</v>
      </c>
      <c r="P23" s="26" t="s">
        <v>112</v>
      </c>
    </row>
    <row r="24" spans="1:16" x14ac:dyDescent="0.2">
      <c r="A24" s="87" t="s">
        <v>24</v>
      </c>
      <c r="B24" s="88" t="s">
        <v>3</v>
      </c>
      <c r="C24" s="89" t="s">
        <v>111</v>
      </c>
      <c r="D24" s="32" t="s">
        <v>112</v>
      </c>
      <c r="E24" s="82">
        <v>55.64</v>
      </c>
      <c r="F24" s="82">
        <v>53.12</v>
      </c>
      <c r="G24" s="82">
        <v>53.360000000000007</v>
      </c>
      <c r="H24" s="82">
        <v>65.02</v>
      </c>
      <c r="I24" s="82">
        <v>56.4</v>
      </c>
      <c r="K24" s="26" t="b">
        <f t="shared" si="2"/>
        <v>1</v>
      </c>
      <c r="L24" s="26" t="b">
        <f t="shared" si="3"/>
        <v>1</v>
      </c>
      <c r="M24" s="26" t="s">
        <v>24</v>
      </c>
      <c r="N24" s="26" t="s">
        <v>3</v>
      </c>
      <c r="O24" s="26" t="s">
        <v>137</v>
      </c>
      <c r="P24" s="26" t="s">
        <v>112</v>
      </c>
    </row>
    <row r="25" spans="1:16" x14ac:dyDescent="0.2">
      <c r="A25" s="87" t="s">
        <v>25</v>
      </c>
      <c r="B25" s="88" t="s">
        <v>3</v>
      </c>
      <c r="C25" s="89" t="s">
        <v>111</v>
      </c>
      <c r="D25" s="32" t="s">
        <v>112</v>
      </c>
      <c r="E25" s="82">
        <v>63.699999999999996</v>
      </c>
      <c r="F25" s="82">
        <v>62.64</v>
      </c>
      <c r="G25" s="82">
        <v>65.820000000000007</v>
      </c>
      <c r="H25" s="82">
        <v>69.39</v>
      </c>
      <c r="I25" s="82">
        <v>68.19</v>
      </c>
      <c r="K25" s="26" t="b">
        <f t="shared" si="2"/>
        <v>1</v>
      </c>
      <c r="L25" s="26" t="b">
        <f t="shared" si="3"/>
        <v>1</v>
      </c>
      <c r="M25" s="26" t="s">
        <v>25</v>
      </c>
      <c r="N25" s="26" t="s">
        <v>3</v>
      </c>
      <c r="O25" s="26" t="s">
        <v>137</v>
      </c>
      <c r="P25" s="26" t="s">
        <v>112</v>
      </c>
    </row>
    <row r="26" spans="1:16" x14ac:dyDescent="0.2">
      <c r="A26" s="87" t="s">
        <v>26</v>
      </c>
      <c r="B26" s="88" t="s">
        <v>3</v>
      </c>
      <c r="C26" s="89" t="s">
        <v>111</v>
      </c>
      <c r="D26" s="32" t="s">
        <v>112</v>
      </c>
      <c r="E26" s="82">
        <v>66.55</v>
      </c>
      <c r="F26" s="82">
        <v>60.09</v>
      </c>
      <c r="G26" s="82">
        <v>62.050000000000004</v>
      </c>
      <c r="H26" s="82">
        <v>66.559999999999988</v>
      </c>
      <c r="I26" s="82">
        <v>70.84</v>
      </c>
      <c r="K26" s="26" t="b">
        <f t="shared" si="2"/>
        <v>1</v>
      </c>
      <c r="L26" s="26" t="b">
        <f t="shared" si="3"/>
        <v>1</v>
      </c>
      <c r="M26" s="26" t="s">
        <v>26</v>
      </c>
      <c r="N26" s="26" t="s">
        <v>3</v>
      </c>
      <c r="O26" s="26" t="s">
        <v>137</v>
      </c>
      <c r="P26" s="26" t="s">
        <v>112</v>
      </c>
    </row>
    <row r="27" spans="1:16" x14ac:dyDescent="0.2">
      <c r="A27" s="87" t="s">
        <v>27</v>
      </c>
      <c r="B27" s="88" t="s">
        <v>3</v>
      </c>
      <c r="C27" s="89" t="s">
        <v>111</v>
      </c>
      <c r="D27" s="32" t="s">
        <v>112</v>
      </c>
      <c r="E27" s="82">
        <v>67.06</v>
      </c>
      <c r="F27" s="82">
        <v>65.09</v>
      </c>
      <c r="G27" s="82">
        <v>59.160000000000004</v>
      </c>
      <c r="H27" s="82">
        <v>66.31</v>
      </c>
      <c r="I27" s="82">
        <v>65.84</v>
      </c>
      <c r="K27" s="26" t="b">
        <f t="shared" si="2"/>
        <v>1</v>
      </c>
      <c r="L27" s="26" t="b">
        <f t="shared" si="3"/>
        <v>1</v>
      </c>
      <c r="M27" s="26" t="s">
        <v>27</v>
      </c>
      <c r="N27" s="26" t="s">
        <v>3</v>
      </c>
      <c r="O27" s="26" t="s">
        <v>137</v>
      </c>
      <c r="P27" s="26" t="s">
        <v>112</v>
      </c>
    </row>
    <row r="28" spans="1:16" x14ac:dyDescent="0.2">
      <c r="A28" s="87" t="s">
        <v>28</v>
      </c>
      <c r="B28" s="88" t="s">
        <v>3</v>
      </c>
      <c r="C28" s="89" t="s">
        <v>111</v>
      </c>
      <c r="D28" s="32" t="s">
        <v>112</v>
      </c>
      <c r="E28" s="82">
        <v>56.23</v>
      </c>
      <c r="F28" s="82">
        <v>58.59</v>
      </c>
      <c r="G28" s="82">
        <v>46.2</v>
      </c>
      <c r="H28" s="82">
        <v>66.45</v>
      </c>
      <c r="I28" s="82">
        <v>57.339999999999996</v>
      </c>
      <c r="K28" s="26" t="b">
        <f t="shared" si="2"/>
        <v>1</v>
      </c>
      <c r="L28" s="26" t="b">
        <f t="shared" si="3"/>
        <v>1</v>
      </c>
      <c r="M28" s="26" t="s">
        <v>28</v>
      </c>
      <c r="N28" s="26" t="s">
        <v>3</v>
      </c>
      <c r="O28" s="26" t="s">
        <v>137</v>
      </c>
      <c r="P28" s="26" t="s">
        <v>112</v>
      </c>
    </row>
    <row r="29" spans="1:16" x14ac:dyDescent="0.2">
      <c r="A29" s="87" t="s">
        <v>29</v>
      </c>
      <c r="B29" s="88" t="s">
        <v>3</v>
      </c>
      <c r="C29" s="89" t="s">
        <v>111</v>
      </c>
      <c r="D29" s="32" t="s">
        <v>112</v>
      </c>
      <c r="E29" s="82">
        <v>53.42</v>
      </c>
      <c r="F29" s="82">
        <v>56.620000000000005</v>
      </c>
      <c r="G29" s="82">
        <v>38.869999999999997</v>
      </c>
      <c r="H29" s="82">
        <v>56.56</v>
      </c>
      <c r="I29" s="82">
        <v>43.96</v>
      </c>
      <c r="K29" s="26" t="b">
        <f t="shared" si="2"/>
        <v>1</v>
      </c>
      <c r="L29" s="26" t="b">
        <f t="shared" si="3"/>
        <v>1</v>
      </c>
      <c r="M29" s="26" t="s">
        <v>29</v>
      </c>
      <c r="N29" s="26" t="s">
        <v>3</v>
      </c>
      <c r="O29" s="26" t="s">
        <v>137</v>
      </c>
      <c r="P29" s="26" t="s">
        <v>112</v>
      </c>
    </row>
    <row r="30" spans="1:16" x14ac:dyDescent="0.2">
      <c r="A30" s="87" t="s">
        <v>30</v>
      </c>
      <c r="B30" s="88" t="s">
        <v>3</v>
      </c>
      <c r="C30" s="89" t="s">
        <v>111</v>
      </c>
      <c r="D30" s="32" t="s">
        <v>112</v>
      </c>
      <c r="E30" s="82">
        <v>46.440000000000005</v>
      </c>
      <c r="F30" s="82">
        <v>50.21</v>
      </c>
      <c r="G30" s="82">
        <v>48.46</v>
      </c>
      <c r="H30" s="82">
        <v>58.129999999999995</v>
      </c>
      <c r="I30" s="82">
        <v>38.660000000000004</v>
      </c>
      <c r="K30" s="26" t="b">
        <f t="shared" si="2"/>
        <v>1</v>
      </c>
      <c r="L30" s="26" t="b">
        <f t="shared" si="3"/>
        <v>1</v>
      </c>
      <c r="M30" s="26" t="s">
        <v>30</v>
      </c>
      <c r="N30" s="26" t="s">
        <v>3</v>
      </c>
      <c r="O30" s="26" t="s">
        <v>137</v>
      </c>
      <c r="P30" s="26" t="s">
        <v>112</v>
      </c>
    </row>
    <row r="31" spans="1:16" x14ac:dyDescent="0.2">
      <c r="A31" s="87" t="s">
        <v>31</v>
      </c>
      <c r="B31" s="88" t="s">
        <v>3</v>
      </c>
      <c r="C31" s="89" t="s">
        <v>111</v>
      </c>
      <c r="D31" s="32" t="s">
        <v>112</v>
      </c>
      <c r="E31" s="82">
        <v>70.81</v>
      </c>
      <c r="F31" s="82">
        <v>65.37</v>
      </c>
      <c r="G31" s="82">
        <v>64.400000000000006</v>
      </c>
      <c r="H31" s="82">
        <v>73.16</v>
      </c>
      <c r="I31" s="82">
        <v>72.94</v>
      </c>
      <c r="K31" s="26" t="b">
        <f t="shared" si="2"/>
        <v>1</v>
      </c>
      <c r="L31" s="26" t="b">
        <f t="shared" si="3"/>
        <v>1</v>
      </c>
      <c r="M31" s="26" t="s">
        <v>31</v>
      </c>
      <c r="N31" s="26" t="s">
        <v>3</v>
      </c>
      <c r="O31" s="26" t="s">
        <v>137</v>
      </c>
      <c r="P31" s="26" t="s">
        <v>112</v>
      </c>
    </row>
    <row r="32" spans="1:16" x14ac:dyDescent="0.2">
      <c r="A32" s="87" t="s">
        <v>32</v>
      </c>
      <c r="B32" s="88" t="s">
        <v>3</v>
      </c>
      <c r="C32" s="89" t="s">
        <v>111</v>
      </c>
      <c r="D32" s="32" t="s">
        <v>138</v>
      </c>
      <c r="E32" s="82">
        <v>69</v>
      </c>
      <c r="F32" s="82">
        <v>60.97</v>
      </c>
      <c r="G32" s="82">
        <v>62.769999999999996</v>
      </c>
      <c r="H32" s="82">
        <v>61.63</v>
      </c>
      <c r="I32" s="82">
        <v>69.100000000000009</v>
      </c>
      <c r="K32" s="26" t="b">
        <f t="shared" si="2"/>
        <v>1</v>
      </c>
      <c r="L32" s="26" t="b">
        <f t="shared" si="3"/>
        <v>1</v>
      </c>
      <c r="M32" s="26" t="s">
        <v>32</v>
      </c>
      <c r="N32" s="26" t="s">
        <v>3</v>
      </c>
      <c r="O32" s="26" t="s">
        <v>137</v>
      </c>
      <c r="P32" s="26" t="s">
        <v>138</v>
      </c>
    </row>
    <row r="33" spans="1:16" x14ac:dyDescent="0.2">
      <c r="A33" s="87" t="s">
        <v>33</v>
      </c>
      <c r="B33" s="88" t="s">
        <v>3</v>
      </c>
      <c r="C33" s="89" t="s">
        <v>111</v>
      </c>
      <c r="D33" s="32" t="s">
        <v>112</v>
      </c>
      <c r="E33" s="82">
        <v>53.91</v>
      </c>
      <c r="F33" s="82">
        <v>54.809999999999995</v>
      </c>
      <c r="G33" s="82">
        <v>56.37</v>
      </c>
      <c r="H33" s="82">
        <v>56.4</v>
      </c>
      <c r="I33" s="82">
        <v>59.82</v>
      </c>
      <c r="K33" s="26" t="b">
        <f t="shared" si="2"/>
        <v>1</v>
      </c>
      <c r="L33" s="26" t="b">
        <f t="shared" si="3"/>
        <v>1</v>
      </c>
      <c r="M33" s="26" t="s">
        <v>33</v>
      </c>
      <c r="N33" s="26" t="s">
        <v>3</v>
      </c>
      <c r="O33" s="26" t="s">
        <v>137</v>
      </c>
      <c r="P33" s="26" t="s">
        <v>112</v>
      </c>
    </row>
    <row r="34" spans="1:16" x14ac:dyDescent="0.2">
      <c r="A34" s="87" t="s">
        <v>34</v>
      </c>
      <c r="B34" s="88" t="s">
        <v>3</v>
      </c>
      <c r="C34" s="89" t="s">
        <v>111</v>
      </c>
      <c r="D34" s="32" t="s">
        <v>112</v>
      </c>
      <c r="E34" s="82">
        <v>66.930000000000007</v>
      </c>
      <c r="F34" s="82">
        <v>61.6</v>
      </c>
      <c r="G34" s="82">
        <v>66.69</v>
      </c>
      <c r="H34" s="82">
        <v>71.11</v>
      </c>
      <c r="I34" s="82">
        <v>70.319999999999993</v>
      </c>
      <c r="K34" s="26" t="b">
        <f t="shared" si="2"/>
        <v>1</v>
      </c>
      <c r="L34" s="26" t="b">
        <f t="shared" si="3"/>
        <v>1</v>
      </c>
      <c r="M34" s="26" t="s">
        <v>34</v>
      </c>
      <c r="N34" s="26" t="s">
        <v>3</v>
      </c>
      <c r="O34" s="26" t="s">
        <v>137</v>
      </c>
      <c r="P34" s="26" t="s">
        <v>112</v>
      </c>
    </row>
    <row r="35" spans="1:16" x14ac:dyDescent="0.2">
      <c r="A35" s="90" t="s">
        <v>35</v>
      </c>
      <c r="B35" s="90" t="s">
        <v>3</v>
      </c>
      <c r="C35" s="91" t="s">
        <v>111</v>
      </c>
      <c r="D35" s="32" t="s">
        <v>112</v>
      </c>
      <c r="E35" s="82">
        <v>52.290000000000006</v>
      </c>
      <c r="F35" s="82">
        <v>55.83</v>
      </c>
      <c r="G35" s="82">
        <v>57.44</v>
      </c>
      <c r="H35" s="82">
        <v>58.26</v>
      </c>
      <c r="I35" s="82">
        <v>65.350000000000009</v>
      </c>
      <c r="K35" s="26" t="b">
        <f t="shared" si="2"/>
        <v>1</v>
      </c>
      <c r="L35" s="26" t="b">
        <f t="shared" si="3"/>
        <v>1</v>
      </c>
      <c r="M35" s="26" t="s">
        <v>35</v>
      </c>
      <c r="N35" s="26" t="s">
        <v>3</v>
      </c>
      <c r="O35" s="26" t="s">
        <v>137</v>
      </c>
      <c r="P35" s="26" t="s">
        <v>112</v>
      </c>
    </row>
    <row r="36" spans="1:16" x14ac:dyDescent="0.2">
      <c r="A36" s="90" t="s">
        <v>36</v>
      </c>
      <c r="B36" s="90" t="s">
        <v>3</v>
      </c>
      <c r="C36" s="91" t="s">
        <v>111</v>
      </c>
      <c r="D36" s="32" t="s">
        <v>112</v>
      </c>
      <c r="E36" s="82">
        <v>61.349999999999994</v>
      </c>
      <c r="F36" s="82">
        <v>60.49</v>
      </c>
      <c r="G36" s="82">
        <v>59.04</v>
      </c>
      <c r="H36" s="82">
        <v>68.19</v>
      </c>
      <c r="I36" s="82">
        <v>67.38</v>
      </c>
      <c r="K36" s="26" t="b">
        <f t="shared" si="2"/>
        <v>1</v>
      </c>
      <c r="L36" s="26" t="b">
        <f t="shared" si="3"/>
        <v>1</v>
      </c>
      <c r="M36" s="26" t="s">
        <v>36</v>
      </c>
      <c r="N36" s="26" t="s">
        <v>3</v>
      </c>
      <c r="O36" s="26" t="s">
        <v>137</v>
      </c>
      <c r="P36" s="26" t="s">
        <v>112</v>
      </c>
    </row>
    <row r="37" spans="1:16" x14ac:dyDescent="0.2">
      <c r="A37" s="87" t="s">
        <v>37</v>
      </c>
      <c r="B37" s="88" t="s">
        <v>3</v>
      </c>
      <c r="C37" s="89" t="s">
        <v>111</v>
      </c>
      <c r="D37" s="32" t="s">
        <v>112</v>
      </c>
      <c r="E37" s="82">
        <v>55.04</v>
      </c>
      <c r="F37" s="82">
        <v>56.26</v>
      </c>
      <c r="G37" s="82">
        <v>59.12</v>
      </c>
      <c r="H37" s="82">
        <v>62.45</v>
      </c>
      <c r="I37" s="82">
        <v>64.990000000000009</v>
      </c>
      <c r="K37" s="26" t="b">
        <f t="shared" si="2"/>
        <v>1</v>
      </c>
      <c r="L37" s="26" t="b">
        <f t="shared" si="3"/>
        <v>1</v>
      </c>
      <c r="M37" s="26" t="s">
        <v>37</v>
      </c>
      <c r="N37" s="26" t="s">
        <v>3</v>
      </c>
      <c r="O37" s="26" t="s">
        <v>137</v>
      </c>
      <c r="P37" s="26" t="s">
        <v>112</v>
      </c>
    </row>
    <row r="38" spans="1:16" x14ac:dyDescent="0.2">
      <c r="A38" s="87" t="s">
        <v>38</v>
      </c>
      <c r="B38" s="88" t="s">
        <v>3</v>
      </c>
      <c r="C38" s="89" t="s">
        <v>111</v>
      </c>
      <c r="D38" s="32" t="s">
        <v>112</v>
      </c>
      <c r="E38" s="82">
        <v>60.9</v>
      </c>
      <c r="F38" s="82">
        <v>56.980000000000004</v>
      </c>
      <c r="G38" s="82">
        <v>57.82</v>
      </c>
      <c r="H38" s="82">
        <v>62.25</v>
      </c>
      <c r="I38" s="82">
        <v>65.960000000000008</v>
      </c>
      <c r="K38" s="26" t="b">
        <f t="shared" si="2"/>
        <v>1</v>
      </c>
      <c r="L38" s="26" t="b">
        <f t="shared" si="3"/>
        <v>1</v>
      </c>
      <c r="M38" s="26" t="s">
        <v>38</v>
      </c>
      <c r="N38" s="26" t="s">
        <v>3</v>
      </c>
      <c r="O38" s="26" t="s">
        <v>137</v>
      </c>
      <c r="P38" s="26" t="s">
        <v>112</v>
      </c>
    </row>
    <row r="39" spans="1:16" x14ac:dyDescent="0.2">
      <c r="A39" s="87" t="s">
        <v>39</v>
      </c>
      <c r="B39" s="88" t="s">
        <v>3</v>
      </c>
      <c r="C39" s="89" t="s">
        <v>111</v>
      </c>
      <c r="D39" s="32" t="s">
        <v>138</v>
      </c>
      <c r="E39" s="82">
        <v>53.08</v>
      </c>
      <c r="F39" s="82">
        <v>61.79</v>
      </c>
      <c r="G39" s="82">
        <v>57.47</v>
      </c>
      <c r="H39" s="82">
        <v>68.72</v>
      </c>
      <c r="I39" s="82">
        <v>54.81</v>
      </c>
      <c r="K39" s="26" t="b">
        <f t="shared" si="2"/>
        <v>1</v>
      </c>
      <c r="L39" s="26" t="b">
        <f t="shared" si="3"/>
        <v>1</v>
      </c>
      <c r="M39" s="26" t="s">
        <v>39</v>
      </c>
      <c r="N39" s="26" t="s">
        <v>3</v>
      </c>
      <c r="O39" s="26" t="s">
        <v>137</v>
      </c>
      <c r="P39" s="26" t="s">
        <v>138</v>
      </c>
    </row>
    <row r="40" spans="1:16" x14ac:dyDescent="0.2">
      <c r="A40" s="87" t="s">
        <v>40</v>
      </c>
      <c r="B40" s="88" t="s">
        <v>3</v>
      </c>
      <c r="C40" s="89" t="s">
        <v>111</v>
      </c>
      <c r="D40" s="32" t="s">
        <v>112</v>
      </c>
      <c r="E40" s="82">
        <v>59.919999999999995</v>
      </c>
      <c r="F40" s="82">
        <v>58.32</v>
      </c>
      <c r="G40" s="82">
        <v>48.6</v>
      </c>
      <c r="H40" s="82">
        <v>67.569999999999993</v>
      </c>
      <c r="I40" s="82">
        <v>63.47</v>
      </c>
      <c r="K40" s="26" t="b">
        <f t="shared" si="2"/>
        <v>1</v>
      </c>
      <c r="L40" s="26" t="b">
        <f t="shared" si="3"/>
        <v>1</v>
      </c>
      <c r="M40" s="26" t="s">
        <v>40</v>
      </c>
      <c r="N40" s="26" t="s">
        <v>3</v>
      </c>
      <c r="O40" s="26" t="s">
        <v>137</v>
      </c>
      <c r="P40" s="26" t="s">
        <v>112</v>
      </c>
    </row>
    <row r="41" spans="1:16" x14ac:dyDescent="0.2">
      <c r="A41" s="87" t="s">
        <v>41</v>
      </c>
      <c r="B41" s="88" t="s">
        <v>3</v>
      </c>
      <c r="C41" s="89" t="s">
        <v>111</v>
      </c>
      <c r="D41" s="32" t="s">
        <v>112</v>
      </c>
      <c r="E41" s="82">
        <v>67.56</v>
      </c>
      <c r="F41" s="82">
        <v>59.150000000000006</v>
      </c>
      <c r="G41" s="82">
        <v>66.64</v>
      </c>
      <c r="H41" s="82">
        <v>72.149999999999991</v>
      </c>
      <c r="I41" s="82">
        <v>69.98</v>
      </c>
      <c r="K41" s="26" t="b">
        <f t="shared" si="2"/>
        <v>1</v>
      </c>
      <c r="L41" s="26" t="b">
        <f t="shared" si="3"/>
        <v>1</v>
      </c>
      <c r="M41" s="26" t="s">
        <v>41</v>
      </c>
      <c r="N41" s="26" t="s">
        <v>3</v>
      </c>
      <c r="O41" s="26" t="s">
        <v>137</v>
      </c>
      <c r="P41" s="26" t="s">
        <v>112</v>
      </c>
    </row>
    <row r="42" spans="1:16" x14ac:dyDescent="0.2">
      <c r="A42" s="87" t="s">
        <v>42</v>
      </c>
      <c r="B42" s="88" t="s">
        <v>3</v>
      </c>
      <c r="C42" s="89" t="s">
        <v>111</v>
      </c>
      <c r="D42" s="32" t="s">
        <v>112</v>
      </c>
      <c r="E42" s="82">
        <v>57.11</v>
      </c>
      <c r="F42" s="82">
        <v>58.5</v>
      </c>
      <c r="G42" s="82">
        <v>43.860000000000007</v>
      </c>
      <c r="H42" s="82">
        <v>68.47</v>
      </c>
      <c r="I42" s="82">
        <v>58.28</v>
      </c>
      <c r="K42" s="26" t="b">
        <f t="shared" si="2"/>
        <v>1</v>
      </c>
      <c r="L42" s="26" t="b">
        <f t="shared" si="3"/>
        <v>1</v>
      </c>
      <c r="M42" s="26" t="s">
        <v>42</v>
      </c>
      <c r="N42" s="26" t="s">
        <v>3</v>
      </c>
      <c r="O42" s="26" t="s">
        <v>137</v>
      </c>
      <c r="P42" s="26" t="s">
        <v>112</v>
      </c>
    </row>
    <row r="43" spans="1:16" x14ac:dyDescent="0.2">
      <c r="A43" s="87" t="s">
        <v>43</v>
      </c>
      <c r="B43" s="88" t="s">
        <v>3</v>
      </c>
      <c r="C43" s="89" t="s">
        <v>111</v>
      </c>
      <c r="D43" s="32" t="s">
        <v>112</v>
      </c>
      <c r="E43" s="82">
        <v>56.900000000000006</v>
      </c>
      <c r="F43" s="82">
        <v>54.4</v>
      </c>
      <c r="G43" s="82">
        <v>53.169999999999995</v>
      </c>
      <c r="H43" s="82">
        <v>65.19</v>
      </c>
      <c r="I43" s="82">
        <v>63.8</v>
      </c>
      <c r="K43" s="26" t="b">
        <f t="shared" si="2"/>
        <v>1</v>
      </c>
      <c r="L43" s="26" t="b">
        <f t="shared" si="3"/>
        <v>1</v>
      </c>
      <c r="M43" s="26" t="s">
        <v>43</v>
      </c>
      <c r="N43" s="26" t="s">
        <v>3</v>
      </c>
      <c r="O43" s="26" t="s">
        <v>137</v>
      </c>
      <c r="P43" s="26" t="s">
        <v>112</v>
      </c>
    </row>
    <row r="44" spans="1:16" x14ac:dyDescent="0.2">
      <c r="A44" s="87" t="s">
        <v>44</v>
      </c>
      <c r="B44" s="88" t="s">
        <v>3</v>
      </c>
      <c r="C44" s="89" t="s">
        <v>111</v>
      </c>
      <c r="D44" s="32" t="s">
        <v>138</v>
      </c>
      <c r="E44" s="82">
        <v>58.06</v>
      </c>
      <c r="F44" s="82">
        <v>59.54</v>
      </c>
      <c r="G44" s="82">
        <v>66.42</v>
      </c>
      <c r="H44" s="82">
        <v>66.8</v>
      </c>
      <c r="I44" s="82">
        <v>69.540000000000006</v>
      </c>
      <c r="K44" s="26" t="b">
        <f t="shared" si="2"/>
        <v>1</v>
      </c>
      <c r="L44" s="26" t="b">
        <f t="shared" si="3"/>
        <v>1</v>
      </c>
      <c r="M44" s="26" t="s">
        <v>44</v>
      </c>
      <c r="N44" s="26" t="s">
        <v>3</v>
      </c>
      <c r="O44" s="26" t="s">
        <v>137</v>
      </c>
      <c r="P44" s="26" t="s">
        <v>138</v>
      </c>
    </row>
    <row r="45" spans="1:16" x14ac:dyDescent="0.2">
      <c r="A45" s="87" t="s">
        <v>45</v>
      </c>
      <c r="B45" s="88" t="s">
        <v>3</v>
      </c>
      <c r="C45" s="89" t="s">
        <v>111</v>
      </c>
      <c r="D45" s="32" t="s">
        <v>112</v>
      </c>
      <c r="E45" s="82">
        <v>65.19</v>
      </c>
      <c r="F45" s="82">
        <v>56.71</v>
      </c>
      <c r="G45" s="82">
        <v>55.58</v>
      </c>
      <c r="H45" s="82">
        <v>66.55</v>
      </c>
      <c r="I45" s="82">
        <v>67.05</v>
      </c>
      <c r="K45" s="26" t="b">
        <f t="shared" si="2"/>
        <v>1</v>
      </c>
      <c r="L45" s="26" t="b">
        <f t="shared" si="3"/>
        <v>1</v>
      </c>
      <c r="M45" s="26" t="s">
        <v>45</v>
      </c>
      <c r="N45" s="26" t="s">
        <v>3</v>
      </c>
      <c r="O45" s="26" t="s">
        <v>137</v>
      </c>
      <c r="P45" s="26" t="s">
        <v>112</v>
      </c>
    </row>
    <row r="46" spans="1:16" x14ac:dyDescent="0.2">
      <c r="A46" s="87" t="s">
        <v>46</v>
      </c>
      <c r="B46" s="88" t="s">
        <v>3</v>
      </c>
      <c r="C46" s="89" t="s">
        <v>111</v>
      </c>
      <c r="D46" s="32" t="s">
        <v>138</v>
      </c>
      <c r="E46" s="82">
        <v>58.56</v>
      </c>
      <c r="F46" s="82">
        <v>60.14</v>
      </c>
      <c r="G46" s="82">
        <v>53.7</v>
      </c>
      <c r="H46" s="82">
        <v>70.069999999999993</v>
      </c>
      <c r="I46" s="82">
        <v>48.96</v>
      </c>
      <c r="K46" s="26" t="b">
        <f t="shared" si="2"/>
        <v>1</v>
      </c>
      <c r="L46" s="26" t="b">
        <f t="shared" si="3"/>
        <v>1</v>
      </c>
      <c r="M46" s="26" t="s">
        <v>46</v>
      </c>
      <c r="N46" s="26" t="s">
        <v>3</v>
      </c>
      <c r="O46" s="26" t="s">
        <v>137</v>
      </c>
      <c r="P46" s="26" t="s">
        <v>138</v>
      </c>
    </row>
    <row r="47" spans="1:16" x14ac:dyDescent="0.2">
      <c r="A47" s="87" t="s">
        <v>47</v>
      </c>
      <c r="B47" s="88" t="s">
        <v>3</v>
      </c>
      <c r="C47" s="89" t="s">
        <v>111</v>
      </c>
      <c r="D47" s="32" t="s">
        <v>112</v>
      </c>
      <c r="E47" s="82">
        <v>67.070000000000007</v>
      </c>
      <c r="F47" s="82">
        <v>59.589999999999996</v>
      </c>
      <c r="G47" s="82">
        <v>60.47</v>
      </c>
      <c r="H47" s="82">
        <v>60.74</v>
      </c>
      <c r="I47" s="82">
        <v>60.59</v>
      </c>
      <c r="K47" s="26" t="b">
        <f t="shared" si="2"/>
        <v>1</v>
      </c>
      <c r="L47" s="26" t="b">
        <f t="shared" si="3"/>
        <v>1</v>
      </c>
      <c r="M47" s="26" t="s">
        <v>47</v>
      </c>
      <c r="N47" s="26" t="s">
        <v>3</v>
      </c>
      <c r="O47" s="26" t="s">
        <v>137</v>
      </c>
      <c r="P47" s="26" t="s">
        <v>112</v>
      </c>
    </row>
    <row r="48" spans="1:16" x14ac:dyDescent="0.2">
      <c r="A48" s="87" t="s">
        <v>48</v>
      </c>
      <c r="B48" s="88" t="s">
        <v>3</v>
      </c>
      <c r="C48" s="89" t="s">
        <v>111</v>
      </c>
      <c r="D48" s="32" t="s">
        <v>112</v>
      </c>
      <c r="E48" s="82">
        <v>58.349999999999994</v>
      </c>
      <c r="F48" s="82">
        <v>56.43</v>
      </c>
      <c r="G48" s="82">
        <v>59.92</v>
      </c>
      <c r="H48" s="82">
        <v>65.73</v>
      </c>
      <c r="I48" s="82">
        <v>63.32</v>
      </c>
      <c r="K48" s="26" t="b">
        <f t="shared" si="2"/>
        <v>1</v>
      </c>
      <c r="L48" s="26" t="b">
        <f t="shared" si="3"/>
        <v>1</v>
      </c>
      <c r="M48" s="26" t="s">
        <v>48</v>
      </c>
      <c r="N48" s="26" t="s">
        <v>3</v>
      </c>
      <c r="O48" s="26" t="s">
        <v>137</v>
      </c>
      <c r="P48" s="26" t="s">
        <v>112</v>
      </c>
    </row>
    <row r="49" spans="1:16" x14ac:dyDescent="0.2">
      <c r="A49" s="87" t="s">
        <v>49</v>
      </c>
      <c r="B49" s="88" t="s">
        <v>3</v>
      </c>
      <c r="C49" s="89" t="s">
        <v>111</v>
      </c>
      <c r="D49" s="32" t="s">
        <v>112</v>
      </c>
      <c r="E49" s="82">
        <v>55.160000000000004</v>
      </c>
      <c r="F49" s="82">
        <v>58.51</v>
      </c>
      <c r="G49" s="82">
        <v>61.38</v>
      </c>
      <c r="H49" s="82">
        <v>64.679999999999993</v>
      </c>
      <c r="I49" s="82">
        <v>59.59</v>
      </c>
      <c r="K49" s="26" t="b">
        <f t="shared" si="2"/>
        <v>1</v>
      </c>
      <c r="L49" s="26" t="b">
        <f t="shared" si="3"/>
        <v>1</v>
      </c>
      <c r="M49" s="26" t="s">
        <v>49</v>
      </c>
      <c r="N49" s="26" t="s">
        <v>3</v>
      </c>
      <c r="O49" s="26" t="s">
        <v>137</v>
      </c>
      <c r="P49" s="26" t="s">
        <v>112</v>
      </c>
    </row>
    <row r="50" spans="1:16" x14ac:dyDescent="0.2">
      <c r="A50" s="87" t="s">
        <v>50</v>
      </c>
      <c r="B50" s="88" t="s">
        <v>3</v>
      </c>
      <c r="C50" s="89" t="s">
        <v>111</v>
      </c>
      <c r="D50" s="32" t="s">
        <v>112</v>
      </c>
      <c r="E50" s="82">
        <v>70.11</v>
      </c>
      <c r="F50" s="82">
        <v>64.34</v>
      </c>
      <c r="G50" s="82">
        <v>56.82</v>
      </c>
      <c r="H50" s="82">
        <v>68.63</v>
      </c>
      <c r="I50" s="82">
        <v>68.72</v>
      </c>
      <c r="K50" s="26" t="b">
        <f t="shared" si="2"/>
        <v>1</v>
      </c>
      <c r="L50" s="26" t="b">
        <f t="shared" si="3"/>
        <v>1</v>
      </c>
      <c r="M50" s="26" t="s">
        <v>50</v>
      </c>
      <c r="N50" s="26" t="s">
        <v>3</v>
      </c>
      <c r="O50" s="26" t="s">
        <v>137</v>
      </c>
      <c r="P50" s="26" t="s">
        <v>112</v>
      </c>
    </row>
    <row r="51" spans="1:16" x14ac:dyDescent="0.2">
      <c r="A51" s="87" t="s">
        <v>51</v>
      </c>
      <c r="B51" s="88" t="s">
        <v>3</v>
      </c>
      <c r="C51" s="89" t="s">
        <v>111</v>
      </c>
      <c r="D51" s="32" t="s">
        <v>112</v>
      </c>
      <c r="E51" s="82">
        <v>59.16</v>
      </c>
      <c r="F51" s="82">
        <v>56.61</v>
      </c>
      <c r="G51" s="82">
        <v>52.56</v>
      </c>
      <c r="H51" s="82">
        <v>63.89</v>
      </c>
      <c r="I51" s="82">
        <v>61.83</v>
      </c>
      <c r="K51" s="26" t="b">
        <f t="shared" si="2"/>
        <v>1</v>
      </c>
      <c r="L51" s="26" t="b">
        <f t="shared" si="3"/>
        <v>1</v>
      </c>
      <c r="M51" s="26" t="s">
        <v>51</v>
      </c>
      <c r="N51" s="26" t="s">
        <v>3</v>
      </c>
      <c r="O51" s="26" t="s">
        <v>137</v>
      </c>
      <c r="P51" s="26" t="s">
        <v>112</v>
      </c>
    </row>
    <row r="52" spans="1:16" x14ac:dyDescent="0.2">
      <c r="A52" s="87" t="s">
        <v>52</v>
      </c>
      <c r="B52" s="88" t="s">
        <v>3</v>
      </c>
      <c r="C52" s="89" t="s">
        <v>111</v>
      </c>
      <c r="D52" s="32" t="s">
        <v>112</v>
      </c>
      <c r="E52" s="82">
        <v>63.5</v>
      </c>
      <c r="F52" s="82">
        <v>58.4</v>
      </c>
      <c r="G52" s="82">
        <v>60.91</v>
      </c>
      <c r="H52" s="82">
        <v>68.63000000000001</v>
      </c>
      <c r="I52" s="82">
        <v>68.650000000000006</v>
      </c>
      <c r="K52" s="26" t="b">
        <f t="shared" si="2"/>
        <v>1</v>
      </c>
      <c r="L52" s="26" t="b">
        <f t="shared" si="3"/>
        <v>1</v>
      </c>
      <c r="M52" s="26" t="s">
        <v>52</v>
      </c>
      <c r="N52" s="26" t="s">
        <v>3</v>
      </c>
      <c r="O52" s="26" t="s">
        <v>137</v>
      </c>
      <c r="P52" s="26" t="s">
        <v>112</v>
      </c>
    </row>
    <row r="53" spans="1:16" x14ac:dyDescent="0.2">
      <c r="A53" s="87" t="s">
        <v>53</v>
      </c>
      <c r="B53" s="88" t="s">
        <v>3</v>
      </c>
      <c r="C53" s="89" t="s">
        <v>111</v>
      </c>
      <c r="D53" s="32" t="s">
        <v>112</v>
      </c>
      <c r="E53" s="82">
        <v>66.08</v>
      </c>
      <c r="F53" s="82">
        <v>62.6</v>
      </c>
      <c r="G53" s="82">
        <v>59.620000000000005</v>
      </c>
      <c r="H53" s="82">
        <v>69.350000000000009</v>
      </c>
      <c r="I53" s="82">
        <v>62.660000000000004</v>
      </c>
      <c r="K53" s="26" t="b">
        <f t="shared" si="2"/>
        <v>1</v>
      </c>
      <c r="L53" s="26" t="b">
        <f t="shared" si="3"/>
        <v>1</v>
      </c>
      <c r="M53" s="26" t="s">
        <v>53</v>
      </c>
      <c r="N53" s="26" t="s">
        <v>3</v>
      </c>
      <c r="O53" s="26" t="s">
        <v>137</v>
      </c>
      <c r="P53" s="26" t="s">
        <v>112</v>
      </c>
    </row>
    <row r="54" spans="1:16" x14ac:dyDescent="0.2">
      <c r="A54" s="87" t="s">
        <v>54</v>
      </c>
      <c r="B54" s="88" t="s">
        <v>3</v>
      </c>
      <c r="C54" s="89" t="s">
        <v>111</v>
      </c>
      <c r="D54" s="32" t="s">
        <v>112</v>
      </c>
      <c r="E54" s="82">
        <v>66.25</v>
      </c>
      <c r="F54" s="82">
        <v>59.29</v>
      </c>
      <c r="G54" s="82">
        <v>52.7</v>
      </c>
      <c r="H54" s="82">
        <v>55.53</v>
      </c>
      <c r="I54" s="82">
        <v>49.43</v>
      </c>
      <c r="K54" s="26" t="b">
        <f t="shared" si="2"/>
        <v>1</v>
      </c>
      <c r="L54" s="26" t="b">
        <f t="shared" si="3"/>
        <v>1</v>
      </c>
      <c r="M54" s="26" t="s">
        <v>54</v>
      </c>
      <c r="N54" s="26" t="s">
        <v>3</v>
      </c>
      <c r="O54" s="26" t="s">
        <v>137</v>
      </c>
      <c r="P54" s="26" t="s">
        <v>112</v>
      </c>
    </row>
    <row r="55" spans="1:16" x14ac:dyDescent="0.2">
      <c r="A55" s="87" t="s">
        <v>55</v>
      </c>
      <c r="B55" s="88" t="s">
        <v>3</v>
      </c>
      <c r="C55" s="89" t="s">
        <v>111</v>
      </c>
      <c r="D55" s="32" t="s">
        <v>112</v>
      </c>
      <c r="E55" s="82">
        <v>61.489999999999995</v>
      </c>
      <c r="F55" s="82">
        <v>58.230000000000004</v>
      </c>
      <c r="G55" s="82">
        <v>54.82</v>
      </c>
      <c r="H55" s="82">
        <v>64.36</v>
      </c>
      <c r="I55" s="82">
        <v>63.16</v>
      </c>
      <c r="K55" s="26" t="b">
        <f t="shared" si="2"/>
        <v>1</v>
      </c>
      <c r="L55" s="26" t="b">
        <f t="shared" si="3"/>
        <v>1</v>
      </c>
      <c r="M55" s="26" t="s">
        <v>55</v>
      </c>
      <c r="N55" s="26" t="s">
        <v>3</v>
      </c>
      <c r="O55" s="26" t="s">
        <v>137</v>
      </c>
      <c r="P55" s="26" t="s">
        <v>112</v>
      </c>
    </row>
    <row r="56" spans="1:16" x14ac:dyDescent="0.2">
      <c r="A56" s="87" t="s">
        <v>56</v>
      </c>
      <c r="B56" s="88" t="s">
        <v>3</v>
      </c>
      <c r="C56" s="89" t="s">
        <v>111</v>
      </c>
      <c r="D56" s="32" t="s">
        <v>112</v>
      </c>
      <c r="E56" s="82">
        <v>65.53</v>
      </c>
      <c r="F56" s="82">
        <v>58.58</v>
      </c>
      <c r="G56" s="82">
        <v>58.89</v>
      </c>
      <c r="H56" s="82">
        <v>66.490000000000009</v>
      </c>
      <c r="I56" s="82">
        <v>67.94</v>
      </c>
      <c r="K56" s="26" t="b">
        <f t="shared" si="2"/>
        <v>1</v>
      </c>
      <c r="L56" s="26" t="b">
        <f t="shared" si="3"/>
        <v>1</v>
      </c>
      <c r="M56" s="26" t="s">
        <v>56</v>
      </c>
      <c r="N56" s="26" t="s">
        <v>3</v>
      </c>
      <c r="O56" s="26" t="s">
        <v>137</v>
      </c>
      <c r="P56" s="26" t="s">
        <v>112</v>
      </c>
    </row>
    <row r="57" spans="1:16" x14ac:dyDescent="0.2">
      <c r="A57" s="87" t="s">
        <v>57</v>
      </c>
      <c r="B57" s="88" t="s">
        <v>3</v>
      </c>
      <c r="C57" s="89" t="s">
        <v>111</v>
      </c>
      <c r="D57" s="32" t="s">
        <v>112</v>
      </c>
      <c r="E57" s="82">
        <v>63.46</v>
      </c>
      <c r="F57" s="82">
        <v>58.32</v>
      </c>
      <c r="G57" s="82">
        <v>54.57</v>
      </c>
      <c r="H57" s="82">
        <v>63.36</v>
      </c>
      <c r="I57" s="82">
        <v>56.05</v>
      </c>
      <c r="K57" s="26" t="b">
        <f t="shared" si="2"/>
        <v>1</v>
      </c>
      <c r="L57" s="26" t="b">
        <f t="shared" si="3"/>
        <v>1</v>
      </c>
      <c r="M57" s="26" t="s">
        <v>57</v>
      </c>
      <c r="N57" s="26" t="s">
        <v>3</v>
      </c>
      <c r="O57" s="26" t="s">
        <v>137</v>
      </c>
      <c r="P57" s="26" t="s">
        <v>112</v>
      </c>
    </row>
    <row r="58" spans="1:16" x14ac:dyDescent="0.2">
      <c r="A58" s="87" t="s">
        <v>58</v>
      </c>
      <c r="B58" s="88" t="s">
        <v>3</v>
      </c>
      <c r="C58" s="89" t="s">
        <v>111</v>
      </c>
      <c r="D58" s="32" t="s">
        <v>112</v>
      </c>
      <c r="E58" s="82">
        <v>59.98</v>
      </c>
      <c r="F58" s="82">
        <v>61.18</v>
      </c>
      <c r="G58" s="82">
        <v>64.23</v>
      </c>
      <c r="H58" s="82">
        <v>64.72</v>
      </c>
      <c r="I58" s="82">
        <v>66.95</v>
      </c>
      <c r="K58" s="26" t="b">
        <f t="shared" si="2"/>
        <v>1</v>
      </c>
      <c r="L58" s="26" t="b">
        <f t="shared" si="3"/>
        <v>1</v>
      </c>
      <c r="M58" s="26" t="s">
        <v>58</v>
      </c>
      <c r="N58" s="26" t="s">
        <v>3</v>
      </c>
      <c r="O58" s="26" t="s">
        <v>137</v>
      </c>
      <c r="P58" s="26" t="s">
        <v>112</v>
      </c>
    </row>
    <row r="59" spans="1:16" x14ac:dyDescent="0.2">
      <c r="A59" s="87" t="s">
        <v>59</v>
      </c>
      <c r="B59" s="88" t="s">
        <v>3</v>
      </c>
      <c r="C59" s="89" t="s">
        <v>111</v>
      </c>
      <c r="D59" s="32" t="s">
        <v>112</v>
      </c>
      <c r="E59" s="82">
        <v>67.649999999999991</v>
      </c>
      <c r="F59" s="82">
        <v>60.02</v>
      </c>
      <c r="G59" s="82">
        <v>58.18</v>
      </c>
      <c r="H59" s="82">
        <v>61.65</v>
      </c>
      <c r="I59" s="82">
        <v>51.129999999999995</v>
      </c>
      <c r="K59" s="26" t="b">
        <f t="shared" si="2"/>
        <v>1</v>
      </c>
      <c r="L59" s="26" t="b">
        <f t="shared" si="3"/>
        <v>1</v>
      </c>
      <c r="M59" s="26" t="s">
        <v>59</v>
      </c>
      <c r="N59" s="26" t="s">
        <v>3</v>
      </c>
      <c r="O59" s="26" t="s">
        <v>137</v>
      </c>
      <c r="P59" s="26" t="s">
        <v>112</v>
      </c>
    </row>
    <row r="60" spans="1:16" x14ac:dyDescent="0.2">
      <c r="A60" s="87" t="s">
        <v>60</v>
      </c>
      <c r="B60" s="88" t="s">
        <v>3</v>
      </c>
      <c r="C60" s="89" t="s">
        <v>111</v>
      </c>
      <c r="D60" s="32" t="s">
        <v>112</v>
      </c>
      <c r="E60" s="82">
        <v>64.569999999999993</v>
      </c>
      <c r="F60" s="82">
        <v>58.42</v>
      </c>
      <c r="G60" s="82">
        <v>55.49</v>
      </c>
      <c r="H60" s="82">
        <v>63.07</v>
      </c>
      <c r="I60" s="82">
        <v>65.73</v>
      </c>
      <c r="K60" s="26" t="b">
        <f t="shared" si="2"/>
        <v>1</v>
      </c>
      <c r="L60" s="26" t="b">
        <f t="shared" si="3"/>
        <v>1</v>
      </c>
      <c r="M60" s="26" t="s">
        <v>60</v>
      </c>
      <c r="N60" s="26" t="s">
        <v>3</v>
      </c>
      <c r="O60" s="26" t="s">
        <v>137</v>
      </c>
      <c r="P60" s="26" t="s">
        <v>112</v>
      </c>
    </row>
    <row r="61" spans="1:16" x14ac:dyDescent="0.2">
      <c r="A61" s="87" t="s">
        <v>61</v>
      </c>
      <c r="B61" s="88" t="s">
        <v>3</v>
      </c>
      <c r="C61" s="89" t="s">
        <v>111</v>
      </c>
      <c r="D61" s="32" t="s">
        <v>138</v>
      </c>
      <c r="E61" s="82">
        <v>63.160000000000004</v>
      </c>
      <c r="F61" s="82">
        <v>57.72</v>
      </c>
      <c r="G61" s="82">
        <v>58.190000000000005</v>
      </c>
      <c r="H61" s="82">
        <v>63.529999999999994</v>
      </c>
      <c r="I61" s="82">
        <v>64.989999999999995</v>
      </c>
      <c r="K61" s="26" t="b">
        <f t="shared" si="2"/>
        <v>1</v>
      </c>
      <c r="L61" s="26" t="b">
        <f t="shared" si="3"/>
        <v>1</v>
      </c>
      <c r="M61" s="26" t="s">
        <v>61</v>
      </c>
      <c r="N61" s="26" t="s">
        <v>3</v>
      </c>
      <c r="O61" s="26" t="s">
        <v>137</v>
      </c>
      <c r="P61" s="26" t="s">
        <v>138</v>
      </c>
    </row>
    <row r="62" spans="1:16" x14ac:dyDescent="0.2">
      <c r="A62" s="87" t="s">
        <v>62</v>
      </c>
      <c r="B62" s="88" t="s">
        <v>3</v>
      </c>
      <c r="C62" s="89" t="s">
        <v>111</v>
      </c>
      <c r="D62" s="32" t="s">
        <v>112</v>
      </c>
      <c r="E62" s="82">
        <v>43.45</v>
      </c>
      <c r="F62" s="82">
        <v>53.300000000000004</v>
      </c>
      <c r="G62" s="82">
        <v>45.29</v>
      </c>
      <c r="H62" s="82">
        <v>54.010000000000005</v>
      </c>
      <c r="I62" s="82">
        <v>41.160000000000004</v>
      </c>
      <c r="K62" s="26" t="b">
        <f t="shared" si="2"/>
        <v>1</v>
      </c>
      <c r="L62" s="26" t="b">
        <f t="shared" si="3"/>
        <v>1</v>
      </c>
      <c r="M62" s="26" t="s">
        <v>62</v>
      </c>
      <c r="N62" s="26" t="s">
        <v>3</v>
      </c>
      <c r="O62" s="26" t="s">
        <v>137</v>
      </c>
      <c r="P62" s="26" t="s">
        <v>112</v>
      </c>
    </row>
    <row r="63" spans="1:16" x14ac:dyDescent="0.2">
      <c r="A63" s="87" t="s">
        <v>63</v>
      </c>
      <c r="B63" s="88" t="s">
        <v>3</v>
      </c>
      <c r="C63" s="89" t="s">
        <v>111</v>
      </c>
      <c r="D63" s="32" t="s">
        <v>112</v>
      </c>
      <c r="E63" s="82">
        <v>66.570000000000007</v>
      </c>
      <c r="F63" s="82">
        <v>57.67</v>
      </c>
      <c r="G63" s="82">
        <v>65.83</v>
      </c>
      <c r="H63" s="82">
        <v>69.34</v>
      </c>
      <c r="I63" s="82">
        <v>62.67</v>
      </c>
      <c r="K63" s="26" t="b">
        <f t="shared" si="2"/>
        <v>1</v>
      </c>
      <c r="L63" s="26" t="b">
        <f t="shared" si="3"/>
        <v>1</v>
      </c>
      <c r="M63" s="26" t="s">
        <v>63</v>
      </c>
      <c r="N63" s="26" t="s">
        <v>3</v>
      </c>
      <c r="O63" s="26" t="s">
        <v>137</v>
      </c>
      <c r="P63" s="26" t="s">
        <v>112</v>
      </c>
    </row>
    <row r="64" spans="1:16" x14ac:dyDescent="0.2">
      <c r="A64" s="87" t="s">
        <v>64</v>
      </c>
      <c r="B64" s="88" t="s">
        <v>3</v>
      </c>
      <c r="C64" s="89" t="s">
        <v>111</v>
      </c>
      <c r="D64" s="32" t="s">
        <v>112</v>
      </c>
      <c r="E64" s="82">
        <v>54.43</v>
      </c>
      <c r="F64" s="82">
        <v>57.63</v>
      </c>
      <c r="G64" s="82">
        <v>55.45</v>
      </c>
      <c r="H64" s="82">
        <v>61.92</v>
      </c>
      <c r="I64" s="82">
        <v>54.54</v>
      </c>
      <c r="K64" s="26" t="b">
        <f t="shared" si="2"/>
        <v>1</v>
      </c>
      <c r="L64" s="26" t="b">
        <f t="shared" si="3"/>
        <v>1</v>
      </c>
      <c r="M64" s="26" t="s">
        <v>64</v>
      </c>
      <c r="N64" s="26" t="s">
        <v>3</v>
      </c>
      <c r="O64" s="26" t="s">
        <v>137</v>
      </c>
      <c r="P64" s="26" t="s">
        <v>112</v>
      </c>
    </row>
    <row r="65" spans="1:16" x14ac:dyDescent="0.2">
      <c r="A65" s="87" t="s">
        <v>65</v>
      </c>
      <c r="B65" s="88" t="s">
        <v>3</v>
      </c>
      <c r="C65" s="89" t="s">
        <v>111</v>
      </c>
      <c r="D65" s="32" t="s">
        <v>112</v>
      </c>
      <c r="E65" s="82">
        <v>64.53</v>
      </c>
      <c r="F65" s="82">
        <v>61.849999999999994</v>
      </c>
      <c r="G65" s="82">
        <v>58.73</v>
      </c>
      <c r="H65" s="82">
        <v>67.84</v>
      </c>
      <c r="I65" s="82">
        <v>62.78</v>
      </c>
      <c r="K65" s="26" t="b">
        <f t="shared" si="2"/>
        <v>1</v>
      </c>
      <c r="L65" s="26" t="b">
        <f t="shared" si="3"/>
        <v>1</v>
      </c>
      <c r="M65" s="26" t="s">
        <v>65</v>
      </c>
      <c r="N65" s="26" t="s">
        <v>3</v>
      </c>
      <c r="O65" s="26" t="s">
        <v>137</v>
      </c>
      <c r="P65" s="26" t="s">
        <v>112</v>
      </c>
    </row>
    <row r="66" spans="1:16" x14ac:dyDescent="0.2">
      <c r="A66" s="87" t="s">
        <v>66</v>
      </c>
      <c r="B66" s="88" t="s">
        <v>3</v>
      </c>
      <c r="C66" s="89" t="s">
        <v>111</v>
      </c>
      <c r="D66" s="32" t="s">
        <v>112</v>
      </c>
      <c r="E66" s="82">
        <v>57.47</v>
      </c>
      <c r="F66" s="82">
        <v>59.290000000000006</v>
      </c>
      <c r="G66" s="82">
        <v>55.06</v>
      </c>
      <c r="H66" s="82">
        <v>65.78</v>
      </c>
      <c r="I66" s="82">
        <v>54.089999999999996</v>
      </c>
      <c r="K66" s="26" t="b">
        <f t="shared" si="2"/>
        <v>1</v>
      </c>
      <c r="L66" s="26" t="b">
        <f t="shared" si="3"/>
        <v>1</v>
      </c>
      <c r="M66" s="26" t="s">
        <v>66</v>
      </c>
      <c r="N66" s="26" t="s">
        <v>3</v>
      </c>
      <c r="O66" s="26" t="s">
        <v>137</v>
      </c>
      <c r="P66" s="26" t="s">
        <v>112</v>
      </c>
    </row>
    <row r="67" spans="1:16" x14ac:dyDescent="0.2">
      <c r="A67" s="87" t="s">
        <v>67</v>
      </c>
      <c r="B67" s="88" t="s">
        <v>3</v>
      </c>
      <c r="C67" s="89" t="s">
        <v>111</v>
      </c>
      <c r="D67" s="32" t="s">
        <v>112</v>
      </c>
      <c r="E67" s="82">
        <v>68.69</v>
      </c>
      <c r="F67" s="82">
        <v>61.940000000000005</v>
      </c>
      <c r="G67" s="82">
        <v>62.52</v>
      </c>
      <c r="H67" s="82">
        <v>70.029999999999987</v>
      </c>
      <c r="I67" s="82">
        <v>67.98</v>
      </c>
      <c r="K67" s="26" t="b">
        <f t="shared" si="2"/>
        <v>1</v>
      </c>
      <c r="L67" s="26" t="b">
        <f t="shared" si="3"/>
        <v>1</v>
      </c>
      <c r="M67" s="26" t="s">
        <v>67</v>
      </c>
      <c r="N67" s="26" t="s">
        <v>3</v>
      </c>
      <c r="O67" s="26" t="s">
        <v>137</v>
      </c>
      <c r="P67" s="26" t="s">
        <v>112</v>
      </c>
    </row>
    <row r="68" spans="1:16" x14ac:dyDescent="0.2">
      <c r="A68" s="87" t="s">
        <v>68</v>
      </c>
      <c r="B68" s="88" t="s">
        <v>3</v>
      </c>
      <c r="C68" s="89" t="s">
        <v>111</v>
      </c>
      <c r="D68" s="32" t="s">
        <v>138</v>
      </c>
      <c r="E68" s="82">
        <v>52.22</v>
      </c>
      <c r="F68" s="82">
        <v>61.239999999999995</v>
      </c>
      <c r="G68" s="82">
        <v>56.03</v>
      </c>
      <c r="H68" s="82">
        <v>66.820000000000007</v>
      </c>
      <c r="I68" s="82">
        <v>55.190000000000005</v>
      </c>
      <c r="K68" s="26" t="b">
        <f t="shared" si="2"/>
        <v>1</v>
      </c>
      <c r="L68" s="26" t="b">
        <f t="shared" si="3"/>
        <v>1</v>
      </c>
      <c r="M68" s="26" t="s">
        <v>68</v>
      </c>
      <c r="N68" s="26" t="s">
        <v>3</v>
      </c>
      <c r="O68" s="26" t="s">
        <v>137</v>
      </c>
      <c r="P68" s="26" t="s">
        <v>138</v>
      </c>
    </row>
    <row r="69" spans="1:16" x14ac:dyDescent="0.2">
      <c r="A69" s="87" t="s">
        <v>69</v>
      </c>
      <c r="B69" s="88" t="s">
        <v>3</v>
      </c>
      <c r="C69" s="89" t="s">
        <v>111</v>
      </c>
      <c r="D69" s="32" t="s">
        <v>112</v>
      </c>
      <c r="E69" s="82">
        <v>59.59</v>
      </c>
      <c r="F69" s="82">
        <v>55.93</v>
      </c>
      <c r="G69" s="82">
        <v>64.09</v>
      </c>
      <c r="H69" s="82">
        <v>64.72</v>
      </c>
      <c r="I69" s="82">
        <v>67.760000000000005</v>
      </c>
      <c r="K69" s="26" t="b">
        <f t="shared" si="2"/>
        <v>1</v>
      </c>
      <c r="L69" s="26" t="b">
        <f t="shared" si="3"/>
        <v>1</v>
      </c>
      <c r="M69" s="26" t="s">
        <v>69</v>
      </c>
      <c r="N69" s="26" t="s">
        <v>3</v>
      </c>
      <c r="O69" s="26" t="s">
        <v>137</v>
      </c>
      <c r="P69" s="26" t="s">
        <v>112</v>
      </c>
    </row>
    <row r="70" spans="1:16" x14ac:dyDescent="0.2">
      <c r="A70" s="87" t="s">
        <v>70</v>
      </c>
      <c r="B70" s="88" t="s">
        <v>3</v>
      </c>
      <c r="C70" s="89" t="s">
        <v>111</v>
      </c>
      <c r="D70" s="32" t="s">
        <v>138</v>
      </c>
      <c r="E70" s="82">
        <v>59.93</v>
      </c>
      <c r="F70" s="82">
        <v>58.42</v>
      </c>
      <c r="G70" s="82">
        <v>55.87</v>
      </c>
      <c r="H70" s="82">
        <v>65.67</v>
      </c>
      <c r="I70" s="82">
        <v>51.269999999999996</v>
      </c>
      <c r="K70" s="26" t="b">
        <f t="shared" si="2"/>
        <v>1</v>
      </c>
      <c r="L70" s="26" t="b">
        <f t="shared" si="3"/>
        <v>1</v>
      </c>
      <c r="M70" s="26" t="s">
        <v>70</v>
      </c>
      <c r="N70" s="26" t="s">
        <v>3</v>
      </c>
      <c r="O70" s="26" t="s">
        <v>137</v>
      </c>
      <c r="P70" s="26" t="s">
        <v>138</v>
      </c>
    </row>
    <row r="71" spans="1:16" x14ac:dyDescent="0.2">
      <c r="A71" s="87" t="s">
        <v>71</v>
      </c>
      <c r="B71" s="88" t="s">
        <v>3</v>
      </c>
      <c r="C71" s="89" t="s">
        <v>111</v>
      </c>
      <c r="D71" s="32" t="s">
        <v>112</v>
      </c>
      <c r="E71" s="82">
        <v>49.269999999999996</v>
      </c>
      <c r="F71" s="82">
        <v>56.65</v>
      </c>
      <c r="G71" s="82">
        <v>40.75</v>
      </c>
      <c r="H71" s="82">
        <v>58.3</v>
      </c>
      <c r="I71" s="82">
        <v>46.12</v>
      </c>
      <c r="K71" s="26" t="b">
        <f t="shared" si="2"/>
        <v>1</v>
      </c>
      <c r="L71" s="26" t="b">
        <f t="shared" si="3"/>
        <v>1</v>
      </c>
      <c r="M71" s="26" t="s">
        <v>71</v>
      </c>
      <c r="N71" s="26" t="s">
        <v>3</v>
      </c>
      <c r="O71" s="26" t="s">
        <v>137</v>
      </c>
      <c r="P71" s="26" t="s">
        <v>112</v>
      </c>
    </row>
    <row r="72" spans="1:16" x14ac:dyDescent="0.2">
      <c r="A72" s="87" t="s">
        <v>72</v>
      </c>
      <c r="B72" s="88" t="s">
        <v>3</v>
      </c>
      <c r="C72" s="89" t="s">
        <v>111</v>
      </c>
      <c r="D72" s="32" t="s">
        <v>112</v>
      </c>
      <c r="E72" s="82">
        <v>57.419999999999995</v>
      </c>
      <c r="F72" s="82">
        <v>61.63</v>
      </c>
      <c r="G72" s="82">
        <v>54.800000000000004</v>
      </c>
      <c r="H72" s="82">
        <v>68.22</v>
      </c>
      <c r="I72" s="82">
        <v>58.37</v>
      </c>
      <c r="K72" s="26" t="b">
        <f t="shared" si="2"/>
        <v>1</v>
      </c>
      <c r="L72" s="26" t="b">
        <f t="shared" si="3"/>
        <v>1</v>
      </c>
      <c r="M72" s="26" t="s">
        <v>72</v>
      </c>
      <c r="N72" s="26" t="s">
        <v>3</v>
      </c>
      <c r="O72" s="26" t="s">
        <v>137</v>
      </c>
      <c r="P72" s="26" t="s">
        <v>112</v>
      </c>
    </row>
    <row r="73" spans="1:16" x14ac:dyDescent="0.2">
      <c r="A73" s="87" t="s">
        <v>73</v>
      </c>
      <c r="B73" s="88" t="s">
        <v>3</v>
      </c>
      <c r="C73" s="89" t="s">
        <v>111</v>
      </c>
      <c r="D73" s="32" t="s">
        <v>138</v>
      </c>
      <c r="E73" s="82">
        <v>64.69</v>
      </c>
      <c r="F73" s="82">
        <v>60.910000000000004</v>
      </c>
      <c r="G73" s="82">
        <v>58.68</v>
      </c>
      <c r="H73" s="82">
        <v>66.47</v>
      </c>
      <c r="I73" s="82">
        <v>68.75</v>
      </c>
      <c r="K73" s="26" t="b">
        <f t="shared" si="2"/>
        <v>1</v>
      </c>
      <c r="L73" s="26" t="b">
        <f t="shared" si="3"/>
        <v>1</v>
      </c>
      <c r="M73" s="26" t="s">
        <v>73</v>
      </c>
      <c r="N73" s="26" t="s">
        <v>3</v>
      </c>
      <c r="O73" s="26" t="s">
        <v>137</v>
      </c>
      <c r="P73" s="26" t="s">
        <v>138</v>
      </c>
    </row>
    <row r="74" spans="1:16" x14ac:dyDescent="0.2">
      <c r="A74" s="87" t="s">
        <v>74</v>
      </c>
      <c r="B74" s="88" t="s">
        <v>3</v>
      </c>
      <c r="C74" s="89" t="s">
        <v>111</v>
      </c>
      <c r="D74" s="32" t="s">
        <v>112</v>
      </c>
      <c r="E74" s="82">
        <v>64.25</v>
      </c>
      <c r="F74" s="82">
        <v>60.6</v>
      </c>
      <c r="G74" s="82">
        <v>64.75</v>
      </c>
      <c r="H74" s="82">
        <v>70.929999999999993</v>
      </c>
      <c r="I74" s="82">
        <v>61.35</v>
      </c>
      <c r="K74" s="26" t="b">
        <f t="shared" si="2"/>
        <v>1</v>
      </c>
      <c r="L74" s="26" t="b">
        <f t="shared" si="3"/>
        <v>1</v>
      </c>
      <c r="M74" s="26" t="s">
        <v>74</v>
      </c>
      <c r="N74" s="26" t="s">
        <v>3</v>
      </c>
      <c r="O74" s="26" t="s">
        <v>137</v>
      </c>
      <c r="P74" s="26" t="s">
        <v>112</v>
      </c>
    </row>
    <row r="75" spans="1:16" x14ac:dyDescent="0.2">
      <c r="A75" s="87" t="s">
        <v>75</v>
      </c>
      <c r="B75" s="88" t="s">
        <v>3</v>
      </c>
      <c r="C75" s="89" t="s">
        <v>111</v>
      </c>
      <c r="D75" s="32" t="s">
        <v>138</v>
      </c>
      <c r="E75" s="82">
        <v>60.769999999999996</v>
      </c>
      <c r="F75" s="82">
        <v>56.95</v>
      </c>
      <c r="G75" s="82">
        <v>57.89</v>
      </c>
      <c r="H75" s="82">
        <v>64.47</v>
      </c>
      <c r="I75" s="82">
        <v>59.78</v>
      </c>
      <c r="K75" s="26" t="b">
        <f t="shared" si="2"/>
        <v>1</v>
      </c>
      <c r="L75" s="26" t="b">
        <f t="shared" si="3"/>
        <v>1</v>
      </c>
      <c r="M75" s="26" t="s">
        <v>75</v>
      </c>
      <c r="N75" s="26" t="s">
        <v>3</v>
      </c>
      <c r="O75" s="26" t="s">
        <v>137</v>
      </c>
      <c r="P75" s="26" t="s">
        <v>138</v>
      </c>
    </row>
    <row r="76" spans="1:16" x14ac:dyDescent="0.2">
      <c r="A76" s="87" t="s">
        <v>76</v>
      </c>
      <c r="B76" s="88" t="s">
        <v>3</v>
      </c>
      <c r="C76" s="89" t="s">
        <v>111</v>
      </c>
      <c r="D76" s="32" t="s">
        <v>112</v>
      </c>
      <c r="E76" s="82">
        <v>56.34</v>
      </c>
      <c r="F76" s="82">
        <v>59.57</v>
      </c>
      <c r="G76" s="82">
        <v>56.370000000000005</v>
      </c>
      <c r="H76" s="82">
        <v>66.58</v>
      </c>
      <c r="I76" s="82">
        <v>53.910000000000004</v>
      </c>
      <c r="K76" s="26" t="b">
        <f t="shared" si="2"/>
        <v>1</v>
      </c>
      <c r="L76" s="26" t="b">
        <f t="shared" si="3"/>
        <v>1</v>
      </c>
      <c r="M76" s="26" t="s">
        <v>76</v>
      </c>
      <c r="N76" s="26" t="s">
        <v>3</v>
      </c>
      <c r="O76" s="26" t="s">
        <v>137</v>
      </c>
      <c r="P76" s="26" t="s">
        <v>112</v>
      </c>
    </row>
    <row r="77" spans="1:16" x14ac:dyDescent="0.2">
      <c r="A77" s="87" t="s">
        <v>77</v>
      </c>
      <c r="B77" s="88" t="s">
        <v>3</v>
      </c>
      <c r="C77" s="89" t="s">
        <v>111</v>
      </c>
      <c r="D77" s="32" t="s">
        <v>138</v>
      </c>
      <c r="E77" s="82">
        <v>52.07</v>
      </c>
      <c r="F77" s="82">
        <v>57.69</v>
      </c>
      <c r="G77" s="82">
        <v>56.489999999999995</v>
      </c>
      <c r="H77" s="82">
        <v>62.52</v>
      </c>
      <c r="I77" s="82">
        <v>59.99</v>
      </c>
      <c r="K77" s="26" t="b">
        <f t="shared" si="2"/>
        <v>1</v>
      </c>
      <c r="L77" s="26" t="b">
        <f t="shared" si="3"/>
        <v>1</v>
      </c>
      <c r="M77" s="26" t="s">
        <v>77</v>
      </c>
      <c r="N77" s="26" t="s">
        <v>3</v>
      </c>
      <c r="O77" s="26" t="s">
        <v>137</v>
      </c>
      <c r="P77" s="26" t="s">
        <v>138</v>
      </c>
    </row>
    <row r="78" spans="1:16" x14ac:dyDescent="0.2">
      <c r="A78" s="87" t="s">
        <v>78</v>
      </c>
      <c r="B78" s="88" t="s">
        <v>3</v>
      </c>
      <c r="C78" s="89" t="s">
        <v>111</v>
      </c>
      <c r="D78" s="32" t="s">
        <v>138</v>
      </c>
      <c r="E78" s="82">
        <v>68.180000000000007</v>
      </c>
      <c r="F78" s="82">
        <v>63.07</v>
      </c>
      <c r="G78" s="82">
        <v>62.26</v>
      </c>
      <c r="H78" s="82">
        <v>61.910000000000004</v>
      </c>
      <c r="I78" s="82">
        <v>52.2</v>
      </c>
      <c r="K78" s="26" t="b">
        <f t="shared" si="2"/>
        <v>1</v>
      </c>
      <c r="L78" s="26" t="b">
        <f t="shared" si="3"/>
        <v>1</v>
      </c>
      <c r="M78" s="26" t="s">
        <v>78</v>
      </c>
      <c r="N78" s="26" t="s">
        <v>3</v>
      </c>
      <c r="O78" s="26" t="s">
        <v>137</v>
      </c>
      <c r="P78" s="26" t="s">
        <v>138</v>
      </c>
    </row>
    <row r="79" spans="1:16" x14ac:dyDescent="0.2">
      <c r="A79" s="87" t="s">
        <v>79</v>
      </c>
      <c r="B79" s="88" t="s">
        <v>3</v>
      </c>
      <c r="C79" s="89" t="s">
        <v>111</v>
      </c>
      <c r="D79" s="32" t="s">
        <v>112</v>
      </c>
      <c r="E79" s="82">
        <v>53.1</v>
      </c>
      <c r="F79" s="82">
        <v>56.019999999999996</v>
      </c>
      <c r="G79" s="82">
        <v>59.690000000000005</v>
      </c>
      <c r="H79" s="82">
        <v>66.489999999999995</v>
      </c>
      <c r="I79" s="82">
        <v>59.14</v>
      </c>
      <c r="K79" s="26" t="b">
        <f t="shared" si="2"/>
        <v>1</v>
      </c>
      <c r="L79" s="26" t="b">
        <f t="shared" si="3"/>
        <v>1</v>
      </c>
      <c r="M79" s="26" t="s">
        <v>79</v>
      </c>
      <c r="N79" s="26" t="s">
        <v>3</v>
      </c>
      <c r="O79" s="26" t="s">
        <v>137</v>
      </c>
      <c r="P79" s="26" t="s">
        <v>112</v>
      </c>
    </row>
    <row r="80" spans="1:16" x14ac:dyDescent="0.2">
      <c r="A80" s="87" t="s">
        <v>80</v>
      </c>
      <c r="B80" s="88" t="s">
        <v>3</v>
      </c>
      <c r="C80" s="89" t="s">
        <v>111</v>
      </c>
      <c r="D80" s="32" t="s">
        <v>112</v>
      </c>
      <c r="E80" s="82">
        <v>56.79</v>
      </c>
      <c r="F80" s="82">
        <v>56.720000000000006</v>
      </c>
      <c r="G80" s="82">
        <v>55.57</v>
      </c>
      <c r="H80" s="82">
        <v>65.81</v>
      </c>
      <c r="I80" s="82">
        <v>60.05</v>
      </c>
      <c r="K80" s="26" t="b">
        <f t="shared" si="2"/>
        <v>1</v>
      </c>
      <c r="L80" s="26" t="b">
        <f t="shared" si="3"/>
        <v>1</v>
      </c>
      <c r="M80" s="26" t="s">
        <v>80</v>
      </c>
      <c r="N80" s="26" t="s">
        <v>3</v>
      </c>
      <c r="O80" s="26" t="s">
        <v>137</v>
      </c>
      <c r="P80" s="26" t="s">
        <v>112</v>
      </c>
    </row>
    <row r="81" spans="1:16" x14ac:dyDescent="0.2">
      <c r="A81" s="87" t="s">
        <v>128</v>
      </c>
      <c r="B81" s="88" t="s">
        <v>3</v>
      </c>
      <c r="C81" s="89" t="s">
        <v>111</v>
      </c>
      <c r="D81" s="32" t="s">
        <v>138</v>
      </c>
      <c r="E81" s="82">
        <v>57.07</v>
      </c>
      <c r="F81" s="82">
        <v>62.77</v>
      </c>
      <c r="G81" s="82">
        <v>53.760000000000005</v>
      </c>
      <c r="H81" s="82">
        <v>69.39</v>
      </c>
      <c r="I81" s="82">
        <v>54.9</v>
      </c>
      <c r="K81" s="26" t="b">
        <f t="shared" si="2"/>
        <v>0</v>
      </c>
      <c r="L81" s="26" t="b">
        <f t="shared" si="3"/>
        <v>1</v>
      </c>
      <c r="M81" s="26" t="s">
        <v>279</v>
      </c>
      <c r="N81" s="26" t="s">
        <v>3</v>
      </c>
      <c r="O81" s="26" t="s">
        <v>137</v>
      </c>
      <c r="P81" s="26" t="s">
        <v>138</v>
      </c>
    </row>
    <row r="82" spans="1:16" x14ac:dyDescent="0.2">
      <c r="A82" s="87" t="s">
        <v>129</v>
      </c>
      <c r="B82" s="88" t="s">
        <v>3</v>
      </c>
      <c r="C82" s="89" t="s">
        <v>111</v>
      </c>
      <c r="D82" s="32" t="s">
        <v>138</v>
      </c>
      <c r="E82" s="82">
        <v>57.07</v>
      </c>
      <c r="F82" s="82">
        <v>62.77</v>
      </c>
      <c r="G82" s="82">
        <v>53.760000000000005</v>
      </c>
      <c r="H82" s="82">
        <v>69.39</v>
      </c>
      <c r="I82" s="82">
        <v>54.9</v>
      </c>
      <c r="K82" s="26" t="b">
        <f t="shared" si="2"/>
        <v>0</v>
      </c>
      <c r="L82" s="26" t="b">
        <f t="shared" si="3"/>
        <v>1</v>
      </c>
      <c r="M82" s="26" t="s">
        <v>280</v>
      </c>
      <c r="N82" s="26" t="s">
        <v>3</v>
      </c>
      <c r="O82" s="26" t="s">
        <v>137</v>
      </c>
      <c r="P82" s="26" t="s">
        <v>138</v>
      </c>
    </row>
    <row r="83" spans="1:16" x14ac:dyDescent="0.2">
      <c r="A83" s="87" t="s">
        <v>81</v>
      </c>
      <c r="B83" s="88" t="s">
        <v>3</v>
      </c>
      <c r="C83" s="89" t="s">
        <v>111</v>
      </c>
      <c r="D83" s="32" t="s">
        <v>112</v>
      </c>
      <c r="E83" s="82">
        <v>61.64</v>
      </c>
      <c r="F83" s="82">
        <v>58</v>
      </c>
      <c r="G83" s="82">
        <v>56.83</v>
      </c>
      <c r="H83" s="82">
        <v>67.28</v>
      </c>
      <c r="I83" s="82">
        <v>61.64</v>
      </c>
      <c r="K83" s="26" t="b">
        <f t="shared" ref="K83:K103" si="4">+M83=A83</f>
        <v>1</v>
      </c>
      <c r="L83" s="26" t="b">
        <f t="shared" ref="L83:L103" si="5">+P83=D83</f>
        <v>1</v>
      </c>
      <c r="M83" s="26" t="s">
        <v>81</v>
      </c>
      <c r="N83" s="26" t="s">
        <v>3</v>
      </c>
      <c r="O83" s="26" t="s">
        <v>137</v>
      </c>
      <c r="P83" s="26" t="s">
        <v>112</v>
      </c>
    </row>
    <row r="84" spans="1:16" x14ac:dyDescent="0.2">
      <c r="A84" s="87" t="s">
        <v>82</v>
      </c>
      <c r="B84" s="88" t="s">
        <v>3</v>
      </c>
      <c r="C84" s="89" t="s">
        <v>111</v>
      </c>
      <c r="D84" s="32" t="s">
        <v>112</v>
      </c>
      <c r="E84" s="82">
        <v>44.79</v>
      </c>
      <c r="F84" s="82">
        <v>52.51</v>
      </c>
      <c r="G84" s="82">
        <v>48.190000000000005</v>
      </c>
      <c r="H84" s="82">
        <v>60.03</v>
      </c>
      <c r="I84" s="82">
        <v>46.64</v>
      </c>
      <c r="K84" s="26" t="b">
        <f t="shared" si="4"/>
        <v>1</v>
      </c>
      <c r="L84" s="26" t="b">
        <f t="shared" si="5"/>
        <v>1</v>
      </c>
      <c r="M84" s="26" t="s">
        <v>82</v>
      </c>
      <c r="N84" s="26" t="s">
        <v>3</v>
      </c>
      <c r="O84" s="26" t="s">
        <v>137</v>
      </c>
      <c r="P84" s="26" t="s">
        <v>112</v>
      </c>
    </row>
    <row r="85" spans="1:16" x14ac:dyDescent="0.2">
      <c r="A85" s="87" t="s">
        <v>83</v>
      </c>
      <c r="B85" s="88" t="s">
        <v>3</v>
      </c>
      <c r="C85" s="89" t="s">
        <v>111</v>
      </c>
      <c r="D85" s="32" t="s">
        <v>112</v>
      </c>
      <c r="E85" s="82">
        <v>66.28</v>
      </c>
      <c r="F85" s="82">
        <v>62.84</v>
      </c>
      <c r="G85" s="82">
        <v>53.019999999999996</v>
      </c>
      <c r="H85" s="82">
        <v>70.09</v>
      </c>
      <c r="I85" s="82">
        <v>66.67</v>
      </c>
      <c r="K85" s="26" t="b">
        <f t="shared" si="4"/>
        <v>1</v>
      </c>
      <c r="L85" s="26" t="b">
        <f t="shared" si="5"/>
        <v>1</v>
      </c>
      <c r="M85" s="26" t="s">
        <v>83</v>
      </c>
      <c r="N85" s="26" t="s">
        <v>3</v>
      </c>
      <c r="O85" s="26" t="s">
        <v>137</v>
      </c>
      <c r="P85" s="26" t="s">
        <v>112</v>
      </c>
    </row>
    <row r="86" spans="1:16" x14ac:dyDescent="0.2">
      <c r="A86" s="87" t="s">
        <v>84</v>
      </c>
      <c r="B86" s="88" t="s">
        <v>3</v>
      </c>
      <c r="C86" s="89" t="s">
        <v>111</v>
      </c>
      <c r="D86" s="32" t="s">
        <v>112</v>
      </c>
      <c r="E86" s="82">
        <v>70.36</v>
      </c>
      <c r="F86" s="82">
        <v>64.81</v>
      </c>
      <c r="G86" s="82">
        <v>65.400000000000006</v>
      </c>
      <c r="H86" s="82">
        <v>71.819999999999993</v>
      </c>
      <c r="I86" s="82">
        <v>74.789999999999992</v>
      </c>
      <c r="K86" s="26" t="b">
        <f t="shared" si="4"/>
        <v>1</v>
      </c>
      <c r="L86" s="26" t="b">
        <f t="shared" si="5"/>
        <v>1</v>
      </c>
      <c r="M86" s="26" t="s">
        <v>84</v>
      </c>
      <c r="N86" s="26" t="s">
        <v>3</v>
      </c>
      <c r="O86" s="26" t="s">
        <v>137</v>
      </c>
      <c r="P86" s="26" t="s">
        <v>112</v>
      </c>
    </row>
    <row r="87" spans="1:16" x14ac:dyDescent="0.2">
      <c r="A87" s="87" t="s">
        <v>85</v>
      </c>
      <c r="B87" s="88" t="s">
        <v>3</v>
      </c>
      <c r="C87" s="89" t="s">
        <v>111</v>
      </c>
      <c r="D87" s="32" t="s">
        <v>112</v>
      </c>
      <c r="E87" s="82">
        <v>63.519999999999996</v>
      </c>
      <c r="F87" s="82">
        <v>66.400000000000006</v>
      </c>
      <c r="G87" s="82">
        <v>56.45</v>
      </c>
      <c r="H87" s="82">
        <v>71.7</v>
      </c>
      <c r="I87" s="82">
        <v>62.35</v>
      </c>
      <c r="K87" s="26" t="b">
        <f t="shared" si="4"/>
        <v>1</v>
      </c>
      <c r="L87" s="26" t="b">
        <f t="shared" si="5"/>
        <v>1</v>
      </c>
      <c r="M87" s="26" t="s">
        <v>85</v>
      </c>
      <c r="N87" s="26" t="s">
        <v>3</v>
      </c>
      <c r="O87" s="26" t="s">
        <v>137</v>
      </c>
      <c r="P87" s="26" t="s">
        <v>112</v>
      </c>
    </row>
    <row r="88" spans="1:16" x14ac:dyDescent="0.2">
      <c r="A88" s="87" t="s">
        <v>86</v>
      </c>
      <c r="B88" s="88" t="s">
        <v>3</v>
      </c>
      <c r="C88" s="89" t="s">
        <v>111</v>
      </c>
      <c r="D88" s="32" t="s">
        <v>138</v>
      </c>
      <c r="E88" s="82">
        <v>70.22</v>
      </c>
      <c r="F88" s="82">
        <v>65.25</v>
      </c>
      <c r="G88" s="82">
        <v>68.98</v>
      </c>
      <c r="H88" s="82">
        <v>75.38</v>
      </c>
      <c r="I88" s="82">
        <v>62.13</v>
      </c>
      <c r="K88" s="26" t="b">
        <f t="shared" si="4"/>
        <v>1</v>
      </c>
      <c r="L88" s="26" t="b">
        <f t="shared" si="5"/>
        <v>1</v>
      </c>
      <c r="M88" s="26" t="s">
        <v>86</v>
      </c>
      <c r="N88" s="26" t="s">
        <v>3</v>
      </c>
      <c r="O88" s="26" t="s">
        <v>137</v>
      </c>
      <c r="P88" s="26" t="s">
        <v>138</v>
      </c>
    </row>
    <row r="89" spans="1:16" x14ac:dyDescent="0.2">
      <c r="A89" s="87" t="s">
        <v>87</v>
      </c>
      <c r="B89" s="88" t="s">
        <v>3</v>
      </c>
      <c r="C89" s="89" t="s">
        <v>111</v>
      </c>
      <c r="D89" s="32" t="s">
        <v>138</v>
      </c>
      <c r="E89" s="82">
        <v>59.62</v>
      </c>
      <c r="F89" s="82">
        <v>51.28</v>
      </c>
      <c r="G89" s="82">
        <v>56.68</v>
      </c>
      <c r="H89" s="82">
        <v>63.819999999999993</v>
      </c>
      <c r="I89" s="82">
        <v>69.42</v>
      </c>
      <c r="K89" s="26" t="b">
        <f t="shared" si="4"/>
        <v>1</v>
      </c>
      <c r="L89" s="26" t="b">
        <f t="shared" si="5"/>
        <v>1</v>
      </c>
      <c r="M89" s="26" t="s">
        <v>87</v>
      </c>
      <c r="N89" s="26" t="s">
        <v>3</v>
      </c>
      <c r="O89" s="26" t="s">
        <v>137</v>
      </c>
      <c r="P89" s="26" t="s">
        <v>138</v>
      </c>
    </row>
    <row r="90" spans="1:16" x14ac:dyDescent="0.2">
      <c r="A90" s="87" t="s">
        <v>88</v>
      </c>
      <c r="B90" s="88" t="s">
        <v>3</v>
      </c>
      <c r="C90" s="89" t="s">
        <v>111</v>
      </c>
      <c r="D90" s="32" t="s">
        <v>112</v>
      </c>
      <c r="E90" s="82">
        <v>65.099999999999994</v>
      </c>
      <c r="F90" s="82">
        <v>57.98</v>
      </c>
      <c r="G90" s="82">
        <v>58.31</v>
      </c>
      <c r="H90" s="82">
        <v>69.34</v>
      </c>
      <c r="I90" s="82">
        <v>65.839999999999989</v>
      </c>
      <c r="K90" s="26" t="b">
        <f t="shared" si="4"/>
        <v>1</v>
      </c>
      <c r="L90" s="26" t="b">
        <f t="shared" si="5"/>
        <v>1</v>
      </c>
      <c r="M90" s="26" t="s">
        <v>88</v>
      </c>
      <c r="N90" s="26" t="s">
        <v>3</v>
      </c>
      <c r="O90" s="26" t="s">
        <v>137</v>
      </c>
      <c r="P90" s="26" t="s">
        <v>112</v>
      </c>
    </row>
    <row r="91" spans="1:16" x14ac:dyDescent="0.2">
      <c r="A91" s="87" t="s">
        <v>89</v>
      </c>
      <c r="B91" s="88" t="s">
        <v>3</v>
      </c>
      <c r="C91" s="89" t="s">
        <v>111</v>
      </c>
      <c r="D91" s="32" t="s">
        <v>112</v>
      </c>
      <c r="E91" s="82">
        <v>52.449999999999996</v>
      </c>
      <c r="F91" s="82">
        <v>51.23</v>
      </c>
      <c r="G91" s="82">
        <v>51.82</v>
      </c>
      <c r="H91" s="82">
        <v>62.88</v>
      </c>
      <c r="I91" s="82">
        <v>52.699999999999996</v>
      </c>
      <c r="K91" s="26" t="b">
        <f t="shared" si="4"/>
        <v>1</v>
      </c>
      <c r="L91" s="26" t="b">
        <f t="shared" si="5"/>
        <v>1</v>
      </c>
      <c r="M91" s="26" t="s">
        <v>89</v>
      </c>
      <c r="N91" s="26" t="s">
        <v>3</v>
      </c>
      <c r="O91" s="26" t="s">
        <v>137</v>
      </c>
      <c r="P91" s="26" t="s">
        <v>112</v>
      </c>
    </row>
    <row r="92" spans="1:16" x14ac:dyDescent="0.2">
      <c r="A92" s="87" t="s">
        <v>90</v>
      </c>
      <c r="B92" s="88" t="s">
        <v>3</v>
      </c>
      <c r="C92" s="89" t="s">
        <v>111</v>
      </c>
      <c r="D92" s="32" t="s">
        <v>112</v>
      </c>
      <c r="E92" s="82">
        <v>53.76</v>
      </c>
      <c r="F92" s="82">
        <v>57.59</v>
      </c>
      <c r="G92" s="82">
        <v>54.04</v>
      </c>
      <c r="H92" s="82">
        <v>66.89</v>
      </c>
      <c r="I92" s="82">
        <v>44.72</v>
      </c>
      <c r="K92" s="26" t="b">
        <f t="shared" si="4"/>
        <v>1</v>
      </c>
      <c r="L92" s="26" t="b">
        <f t="shared" si="5"/>
        <v>1</v>
      </c>
      <c r="M92" s="26" t="s">
        <v>90</v>
      </c>
      <c r="N92" s="26" t="s">
        <v>3</v>
      </c>
      <c r="O92" s="26" t="s">
        <v>137</v>
      </c>
      <c r="P92" s="26" t="s">
        <v>112</v>
      </c>
    </row>
    <row r="93" spans="1:16" x14ac:dyDescent="0.2">
      <c r="A93" s="87" t="s">
        <v>91</v>
      </c>
      <c r="B93" s="88" t="s">
        <v>3</v>
      </c>
      <c r="C93" s="89" t="s">
        <v>111</v>
      </c>
      <c r="D93" s="32" t="s">
        <v>112</v>
      </c>
      <c r="E93" s="82">
        <v>61.370000000000005</v>
      </c>
      <c r="F93" s="82">
        <v>55.39</v>
      </c>
      <c r="G93" s="82">
        <v>45.220000000000006</v>
      </c>
      <c r="H93" s="82">
        <v>51.65</v>
      </c>
      <c r="I93" s="82">
        <v>44.379999999999995</v>
      </c>
      <c r="K93" s="26" t="b">
        <f t="shared" si="4"/>
        <v>1</v>
      </c>
      <c r="L93" s="26" t="b">
        <f t="shared" si="5"/>
        <v>1</v>
      </c>
      <c r="M93" s="26" t="s">
        <v>91</v>
      </c>
      <c r="N93" s="26" t="s">
        <v>3</v>
      </c>
      <c r="O93" s="26" t="s">
        <v>137</v>
      </c>
      <c r="P93" s="26" t="s">
        <v>112</v>
      </c>
    </row>
    <row r="94" spans="1:16" x14ac:dyDescent="0.2">
      <c r="A94" s="87" t="s">
        <v>92</v>
      </c>
      <c r="B94" s="88" t="s">
        <v>3</v>
      </c>
      <c r="C94" s="89" t="s">
        <v>111</v>
      </c>
      <c r="D94" s="32" t="s">
        <v>112</v>
      </c>
      <c r="E94" s="82">
        <v>65.540000000000006</v>
      </c>
      <c r="F94" s="82">
        <v>60.730000000000004</v>
      </c>
      <c r="G94" s="82">
        <v>52.089999999999996</v>
      </c>
      <c r="H94" s="82">
        <v>60.51</v>
      </c>
      <c r="I94" s="82">
        <v>53.120000000000005</v>
      </c>
      <c r="K94" s="26" t="b">
        <f t="shared" si="4"/>
        <v>1</v>
      </c>
      <c r="L94" s="26" t="b">
        <f t="shared" si="5"/>
        <v>1</v>
      </c>
      <c r="M94" s="26" t="s">
        <v>92</v>
      </c>
      <c r="N94" s="26" t="s">
        <v>3</v>
      </c>
      <c r="O94" s="26" t="s">
        <v>137</v>
      </c>
      <c r="P94" s="26" t="s">
        <v>112</v>
      </c>
    </row>
    <row r="95" spans="1:16" x14ac:dyDescent="0.2">
      <c r="A95" s="87" t="s">
        <v>93</v>
      </c>
      <c r="B95" s="88" t="s">
        <v>3</v>
      </c>
      <c r="C95" s="89" t="s">
        <v>111</v>
      </c>
      <c r="D95" s="32" t="s">
        <v>112</v>
      </c>
      <c r="E95" s="82">
        <v>53.07</v>
      </c>
      <c r="F95" s="82">
        <v>56.129999999999995</v>
      </c>
      <c r="G95" s="82">
        <v>54.22</v>
      </c>
      <c r="H95" s="82">
        <v>62</v>
      </c>
      <c r="I95" s="82">
        <v>50.110000000000007</v>
      </c>
      <c r="K95" s="26" t="b">
        <f t="shared" si="4"/>
        <v>1</v>
      </c>
      <c r="L95" s="26" t="b">
        <f t="shared" si="5"/>
        <v>1</v>
      </c>
      <c r="M95" s="26" t="s">
        <v>93</v>
      </c>
      <c r="N95" s="26" t="s">
        <v>3</v>
      </c>
      <c r="O95" s="26" t="s">
        <v>137</v>
      </c>
      <c r="P95" s="26" t="s">
        <v>112</v>
      </c>
    </row>
    <row r="96" spans="1:16" x14ac:dyDescent="0.2">
      <c r="A96" s="87" t="s">
        <v>94</v>
      </c>
      <c r="B96" s="88" t="s">
        <v>3</v>
      </c>
      <c r="C96" s="89" t="s">
        <v>111</v>
      </c>
      <c r="D96" s="32" t="s">
        <v>112</v>
      </c>
      <c r="E96" s="82">
        <v>65.95</v>
      </c>
      <c r="F96" s="82">
        <v>60.75</v>
      </c>
      <c r="G96" s="82">
        <v>57.66</v>
      </c>
      <c r="H96" s="82">
        <v>67.22</v>
      </c>
      <c r="I96" s="82">
        <v>61.88</v>
      </c>
      <c r="K96" s="26" t="b">
        <f t="shared" si="4"/>
        <v>1</v>
      </c>
      <c r="L96" s="26" t="b">
        <f t="shared" si="5"/>
        <v>1</v>
      </c>
      <c r="M96" s="26" t="s">
        <v>94</v>
      </c>
      <c r="N96" s="26" t="s">
        <v>3</v>
      </c>
      <c r="O96" s="26" t="s">
        <v>137</v>
      </c>
      <c r="P96" s="26" t="s">
        <v>112</v>
      </c>
    </row>
    <row r="97" spans="1:16" x14ac:dyDescent="0.2">
      <c r="A97" s="87" t="s">
        <v>95</v>
      </c>
      <c r="B97" s="88" t="s">
        <v>3</v>
      </c>
      <c r="C97" s="89" t="s">
        <v>111</v>
      </c>
      <c r="D97" s="32" t="s">
        <v>112</v>
      </c>
      <c r="E97" s="82">
        <v>47.300000000000004</v>
      </c>
      <c r="F97" s="82">
        <v>54.800000000000004</v>
      </c>
      <c r="G97" s="82">
        <v>46.12</v>
      </c>
      <c r="H97" s="82">
        <v>54.33</v>
      </c>
      <c r="I97" s="82">
        <v>38.6</v>
      </c>
      <c r="K97" s="26" t="b">
        <f t="shared" si="4"/>
        <v>1</v>
      </c>
      <c r="L97" s="26" t="b">
        <f t="shared" si="5"/>
        <v>1</v>
      </c>
      <c r="M97" s="26" t="s">
        <v>95</v>
      </c>
      <c r="N97" s="26" t="s">
        <v>3</v>
      </c>
      <c r="O97" s="26" t="s">
        <v>137</v>
      </c>
      <c r="P97" s="26" t="s">
        <v>112</v>
      </c>
    </row>
    <row r="98" spans="1:16" x14ac:dyDescent="0.2">
      <c r="A98" s="87" t="s">
        <v>96</v>
      </c>
      <c r="B98" s="88" t="s">
        <v>3</v>
      </c>
      <c r="C98" s="89" t="s">
        <v>111</v>
      </c>
      <c r="D98" s="32" t="s">
        <v>112</v>
      </c>
      <c r="E98" s="82">
        <v>55.21</v>
      </c>
      <c r="F98" s="82">
        <v>54.58</v>
      </c>
      <c r="G98" s="82">
        <v>54.440000000000005</v>
      </c>
      <c r="H98" s="82">
        <v>66.77</v>
      </c>
      <c r="I98" s="82">
        <v>61.62</v>
      </c>
      <c r="K98" s="26" t="b">
        <f t="shared" si="4"/>
        <v>1</v>
      </c>
      <c r="L98" s="26" t="b">
        <f t="shared" si="5"/>
        <v>1</v>
      </c>
      <c r="M98" s="26" t="s">
        <v>96</v>
      </c>
      <c r="N98" s="26" t="s">
        <v>3</v>
      </c>
      <c r="O98" s="26" t="s">
        <v>137</v>
      </c>
      <c r="P98" s="26" t="s">
        <v>112</v>
      </c>
    </row>
    <row r="99" spans="1:16" x14ac:dyDescent="0.2">
      <c r="A99" s="87" t="s">
        <v>97</v>
      </c>
      <c r="B99" s="88" t="s">
        <v>3</v>
      </c>
      <c r="C99" s="89" t="s">
        <v>111</v>
      </c>
      <c r="D99" s="32" t="s">
        <v>112</v>
      </c>
      <c r="E99" s="82">
        <v>55.47</v>
      </c>
      <c r="F99" s="82">
        <v>59.3</v>
      </c>
      <c r="G99" s="82">
        <v>66.580000000000013</v>
      </c>
      <c r="H99" s="82">
        <v>65.039999999999992</v>
      </c>
      <c r="I99" s="82">
        <v>67.53</v>
      </c>
      <c r="K99" s="26" t="b">
        <f t="shared" si="4"/>
        <v>1</v>
      </c>
      <c r="L99" s="26" t="b">
        <f t="shared" si="5"/>
        <v>1</v>
      </c>
      <c r="M99" s="26" t="s">
        <v>97</v>
      </c>
      <c r="N99" s="26" t="s">
        <v>3</v>
      </c>
      <c r="O99" s="26" t="s">
        <v>137</v>
      </c>
      <c r="P99" s="26" t="s">
        <v>112</v>
      </c>
    </row>
    <row r="100" spans="1:16" x14ac:dyDescent="0.2">
      <c r="A100" s="87" t="s">
        <v>98</v>
      </c>
      <c r="B100" s="88" t="s">
        <v>3</v>
      </c>
      <c r="C100" s="89" t="s">
        <v>111</v>
      </c>
      <c r="D100" s="32" t="s">
        <v>112</v>
      </c>
      <c r="E100" s="82">
        <v>58.7</v>
      </c>
      <c r="F100" s="82">
        <v>57.660000000000004</v>
      </c>
      <c r="G100" s="82">
        <v>59.38</v>
      </c>
      <c r="H100" s="82">
        <v>65.22</v>
      </c>
      <c r="I100" s="82">
        <v>63.71</v>
      </c>
      <c r="K100" s="26" t="b">
        <f t="shared" si="4"/>
        <v>1</v>
      </c>
      <c r="L100" s="26" t="b">
        <f t="shared" si="5"/>
        <v>1</v>
      </c>
      <c r="M100" s="26" t="s">
        <v>98</v>
      </c>
      <c r="N100" s="26" t="s">
        <v>3</v>
      </c>
      <c r="O100" s="26" t="s">
        <v>137</v>
      </c>
      <c r="P100" s="26" t="s">
        <v>112</v>
      </c>
    </row>
    <row r="101" spans="1:16" x14ac:dyDescent="0.2">
      <c r="A101" s="87" t="s">
        <v>99</v>
      </c>
      <c r="B101" s="88" t="s">
        <v>3</v>
      </c>
      <c r="C101" s="89" t="s">
        <v>111</v>
      </c>
      <c r="D101" s="32" t="s">
        <v>138</v>
      </c>
      <c r="E101" s="82">
        <v>63.669999999999995</v>
      </c>
      <c r="F101" s="82">
        <v>60.1</v>
      </c>
      <c r="G101" s="82">
        <v>58.379999999999995</v>
      </c>
      <c r="H101" s="82">
        <v>64.75</v>
      </c>
      <c r="I101" s="82">
        <v>57.21</v>
      </c>
      <c r="K101" s="26" t="b">
        <f t="shared" si="4"/>
        <v>1</v>
      </c>
      <c r="L101" s="26" t="b">
        <f t="shared" si="5"/>
        <v>1</v>
      </c>
      <c r="M101" s="26" t="s">
        <v>99</v>
      </c>
      <c r="N101" s="26" t="s">
        <v>3</v>
      </c>
      <c r="O101" s="26" t="s">
        <v>137</v>
      </c>
      <c r="P101" s="26" t="s">
        <v>138</v>
      </c>
    </row>
    <row r="102" spans="1:16" x14ac:dyDescent="0.2">
      <c r="A102" s="87" t="s">
        <v>100</v>
      </c>
      <c r="B102" s="88" t="s">
        <v>3</v>
      </c>
      <c r="C102" s="89" t="s">
        <v>111</v>
      </c>
      <c r="D102" s="32" t="s">
        <v>112</v>
      </c>
      <c r="E102" s="82">
        <v>58.11</v>
      </c>
      <c r="F102" s="82">
        <v>54.52</v>
      </c>
      <c r="G102" s="82">
        <v>63.32</v>
      </c>
      <c r="H102" s="82">
        <v>60.8</v>
      </c>
      <c r="I102" s="82">
        <v>65.23</v>
      </c>
      <c r="K102" s="26" t="b">
        <f t="shared" si="4"/>
        <v>1</v>
      </c>
      <c r="L102" s="26" t="b">
        <f t="shared" si="5"/>
        <v>1</v>
      </c>
      <c r="M102" s="26" t="s">
        <v>100</v>
      </c>
      <c r="N102" s="26" t="s">
        <v>3</v>
      </c>
      <c r="O102" s="26" t="s">
        <v>137</v>
      </c>
      <c r="P102" s="26" t="s">
        <v>112</v>
      </c>
    </row>
    <row r="103" spans="1:16" x14ac:dyDescent="0.2">
      <c r="A103" s="87" t="s">
        <v>101</v>
      </c>
      <c r="B103" s="88" t="s">
        <v>3</v>
      </c>
      <c r="C103" s="89" t="s">
        <v>111</v>
      </c>
      <c r="D103" s="32" t="s">
        <v>112</v>
      </c>
      <c r="E103" s="82">
        <v>55.03</v>
      </c>
      <c r="F103" s="82">
        <v>56.8</v>
      </c>
      <c r="G103" s="82">
        <v>56.35</v>
      </c>
      <c r="H103" s="82">
        <v>63.79</v>
      </c>
      <c r="I103" s="82">
        <v>64.97999999999999</v>
      </c>
      <c r="K103" s="26" t="b">
        <f t="shared" si="4"/>
        <v>1</v>
      </c>
      <c r="L103" s="26" t="b">
        <f t="shared" si="5"/>
        <v>1</v>
      </c>
      <c r="M103" s="26" t="s">
        <v>101</v>
      </c>
      <c r="N103" s="26" t="s">
        <v>3</v>
      </c>
      <c r="O103" s="26" t="s">
        <v>137</v>
      </c>
      <c r="P103" s="26" t="s">
        <v>112</v>
      </c>
    </row>
    <row r="104" spans="1:16" x14ac:dyDescent="0.2">
      <c r="D104" s="8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6"/>
  </sheetPr>
  <dimension ref="A1:Z111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 activeCell="M5" sqref="M5:N5"/>
    </sheetView>
  </sheetViews>
  <sheetFormatPr defaultColWidth="8.7109375" defaultRowHeight="14.25" x14ac:dyDescent="0.2"/>
  <cols>
    <col min="1" max="1" width="11.42578125" style="3" customWidth="1"/>
    <col min="2" max="2" width="15" style="3" bestFit="1" customWidth="1"/>
    <col min="3" max="3" width="7.28515625" style="3" customWidth="1"/>
    <col min="4" max="4" width="8" style="3" bestFit="1" customWidth="1"/>
    <col min="5" max="5" width="9.28515625" style="3" customWidth="1"/>
    <col min="6" max="6" width="9.5703125" style="3" customWidth="1"/>
    <col min="7" max="8" width="9.7109375" style="3" customWidth="1"/>
    <col min="9" max="10" width="8.28515625" style="3" customWidth="1"/>
    <col min="11" max="11" width="7.28515625" style="3" customWidth="1"/>
    <col min="12" max="12" width="8" style="3" bestFit="1" customWidth="1"/>
    <col min="13" max="13" width="7.28515625" style="3" customWidth="1"/>
    <col min="14" max="14" width="8" style="3" bestFit="1" customWidth="1"/>
    <col min="15" max="16" width="9" style="3" customWidth="1"/>
    <col min="17" max="17" width="9.42578125" style="3" bestFit="1" customWidth="1"/>
    <col min="18" max="18" width="27.7109375" style="3" customWidth="1"/>
    <col min="19" max="19" width="8.7109375" style="3"/>
    <col min="20" max="20" width="9.7109375" style="3" customWidth="1"/>
    <col min="21" max="16384" width="8.7109375" style="3"/>
  </cols>
  <sheetData>
    <row r="1" spans="1:26" s="352" customFormat="1" ht="30" customHeight="1" thickBot="1" x14ac:dyDescent="0.35">
      <c r="A1" s="346" t="s">
        <v>298</v>
      </c>
    </row>
    <row r="2" spans="1:26" s="1" customFormat="1" ht="15.75" thickTop="1" x14ac:dyDescent="0.25">
      <c r="A2" s="113" t="s">
        <v>103</v>
      </c>
      <c r="R2" s="40"/>
      <c r="S2" s="40"/>
      <c r="T2" s="40"/>
      <c r="U2" s="40"/>
      <c r="V2" s="40"/>
      <c r="W2" s="40"/>
      <c r="X2" s="40"/>
      <c r="Y2" s="40"/>
      <c r="Z2" s="40"/>
    </row>
    <row r="3" spans="1:26" s="2" customFormat="1" ht="12.75" customHeight="1" x14ac:dyDescent="0.2">
      <c r="A3" s="132" t="s">
        <v>287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43"/>
      <c r="R3" s="55" t="s">
        <v>113</v>
      </c>
      <c r="S3" s="161">
        <f>+'Payment by County - Non Irr.'!H37</f>
        <v>4.8499999999999996</v>
      </c>
      <c r="T3" s="162">
        <f>'Payment by County - Non Irr.'!Q37</f>
        <v>11.12</v>
      </c>
      <c r="U3" s="43"/>
      <c r="V3" s="43"/>
      <c r="W3" s="43"/>
      <c r="X3" s="43"/>
      <c r="Y3" s="43"/>
      <c r="Z3" s="43"/>
    </row>
    <row r="4" spans="1:26" s="2" customFormat="1" ht="12.75" customHeight="1" x14ac:dyDescent="0.2">
      <c r="A4" s="48"/>
      <c r="B4" s="38"/>
      <c r="C4" s="38"/>
      <c r="D4" s="38"/>
      <c r="I4" s="38"/>
      <c r="J4" s="38"/>
      <c r="K4" s="38"/>
      <c r="L4" s="38"/>
      <c r="O4" s="383">
        <f>'Payment by County - Non Irr.'!A81</f>
        <v>45341</v>
      </c>
      <c r="P4" s="383"/>
      <c r="Q4" s="43"/>
      <c r="R4" s="55" t="s">
        <v>114</v>
      </c>
      <c r="S4" s="163">
        <f>'Payment by County - Non Irr.'!H49</f>
        <v>4.4000000000000004</v>
      </c>
      <c r="T4" s="164">
        <f>'Payment by County - Non Irr.'!Q49</f>
        <v>11.3</v>
      </c>
      <c r="U4" s="43"/>
      <c r="V4" s="43"/>
      <c r="W4" s="43"/>
      <c r="X4" s="43"/>
      <c r="Y4" s="43"/>
      <c r="Z4" s="43"/>
    </row>
    <row r="5" spans="1:26" s="4" customFormat="1" ht="54" customHeight="1" x14ac:dyDescent="0.25">
      <c r="A5" s="49" t="s">
        <v>0</v>
      </c>
      <c r="B5" s="49" t="s">
        <v>1</v>
      </c>
      <c r="C5" s="384" t="s">
        <v>347</v>
      </c>
      <c r="D5" s="384"/>
      <c r="E5" s="384" t="s">
        <v>358</v>
      </c>
      <c r="F5" s="384"/>
      <c r="G5" s="384" t="s">
        <v>359</v>
      </c>
      <c r="H5" s="384"/>
      <c r="I5" s="384" t="s">
        <v>360</v>
      </c>
      <c r="J5" s="384"/>
      <c r="K5" s="384" t="s">
        <v>345</v>
      </c>
      <c r="L5" s="384"/>
      <c r="M5" s="385" t="s">
        <v>357</v>
      </c>
      <c r="N5" s="386"/>
      <c r="O5" s="387" t="s">
        <v>346</v>
      </c>
      <c r="P5" s="388"/>
      <c r="Q5" s="39"/>
      <c r="R5" s="54"/>
      <c r="S5" s="37">
        <v>0.85</v>
      </c>
      <c r="T5" s="36"/>
      <c r="U5" s="39"/>
      <c r="V5" s="39"/>
      <c r="W5" s="39"/>
      <c r="X5" s="39"/>
      <c r="Y5" s="39"/>
      <c r="Z5" s="39"/>
    </row>
    <row r="6" spans="1:26" x14ac:dyDescent="0.2">
      <c r="A6" s="5"/>
      <c r="B6" s="5"/>
      <c r="C6" s="22" t="s">
        <v>2</v>
      </c>
      <c r="D6" s="23" t="s">
        <v>3</v>
      </c>
      <c r="E6" s="22" t="s">
        <v>2</v>
      </c>
      <c r="F6" s="23" t="s">
        <v>3</v>
      </c>
      <c r="G6" s="22" t="s">
        <v>2</v>
      </c>
      <c r="H6" s="23" t="s">
        <v>3</v>
      </c>
      <c r="I6" s="22" t="s">
        <v>2</v>
      </c>
      <c r="J6" s="23" t="s">
        <v>3</v>
      </c>
      <c r="K6" s="22" t="s">
        <v>2</v>
      </c>
      <c r="L6" s="23" t="s">
        <v>3</v>
      </c>
      <c r="M6" s="22" t="s">
        <v>2</v>
      </c>
      <c r="N6" s="23" t="s">
        <v>3</v>
      </c>
      <c r="O6" s="22" t="s">
        <v>2</v>
      </c>
      <c r="P6" s="23" t="s">
        <v>3</v>
      </c>
      <c r="Q6" s="40"/>
      <c r="R6" s="54"/>
      <c r="S6" s="44">
        <f>1-0.057</f>
        <v>0.94299999999999995</v>
      </c>
      <c r="T6" s="36"/>
      <c r="U6" s="40"/>
      <c r="V6" s="40"/>
      <c r="W6" s="40"/>
      <c r="X6" s="40"/>
      <c r="Y6" s="40"/>
      <c r="Z6" s="40"/>
    </row>
    <row r="7" spans="1:26" ht="14.65" customHeight="1" x14ac:dyDescent="0.2">
      <c r="A7" s="18">
        <v>7</v>
      </c>
      <c r="B7" s="14" t="s">
        <v>4</v>
      </c>
      <c r="C7" s="118">
        <f>+ROUND((SUM('corn yields Nonirrigated'!E4:I4)-MAX('corn yields Nonirrigated'!E4:I4)-MIN('corn yields Nonirrigated'!E4:I4))/3,2)</f>
        <v>175.62</v>
      </c>
      <c r="D7" s="121">
        <f>+ROUND((SUM('soybean yields Nonirrigated'!E4:I4)-MAX('soybean yields Nonirrigated'!E4:I4)-MIN('soybean yields Nonirrigated'!E4:I4))/3,2)</f>
        <v>52.52</v>
      </c>
      <c r="E7" s="6">
        <f t="shared" ref="E7:E38" si="0">C7*$S$3</f>
        <v>851.75699999999995</v>
      </c>
      <c r="F7" s="7">
        <f t="shared" ref="F7:F38" si="1">D7*$T$3</f>
        <v>584.02239999999995</v>
      </c>
      <c r="G7" s="6">
        <f>E7*0.86</f>
        <v>732.51101999999992</v>
      </c>
      <c r="H7" s="7">
        <f>F7*0.86</f>
        <v>502.25926399999997</v>
      </c>
      <c r="I7" s="6">
        <f t="shared" ref="I7:J38" si="2">E7*0.1</f>
        <v>85.175700000000006</v>
      </c>
      <c r="J7" s="7">
        <f t="shared" si="2"/>
        <v>58.402239999999999</v>
      </c>
      <c r="K7" s="98" t="s">
        <v>145</v>
      </c>
      <c r="L7" s="99" t="s">
        <v>145</v>
      </c>
      <c r="M7" s="98" t="str">
        <f>IF(K7="n/a","n/a",IFERROR(K7*$S$4,""))</f>
        <v>n/a</v>
      </c>
      <c r="N7" s="99" t="str">
        <f>IF(L7="n/a","n/a",IFERROR(L7*$T$4,""))</f>
        <v>n/a</v>
      </c>
      <c r="O7" s="98" t="str">
        <f>IF(K7="n/a","n/a",(IF((M7-G7)&lt;0,IF(-(M7-G7)&lt;I7,-(M7-G7)*$S$5,I7*$S$5),0))*$S$6)</f>
        <v>n/a</v>
      </c>
      <c r="P7" s="99" t="str">
        <f>IF(L7="n/a","n/a",(IF((N7-H7)&lt;0,IF(-(N7-H7)&lt;J7,-(N7-H7)*$S$5,J7*$S$5),0))*$S$6)</f>
        <v>n/a</v>
      </c>
      <c r="Q7" s="41"/>
      <c r="U7" s="40"/>
      <c r="V7" s="40"/>
      <c r="W7" s="40"/>
      <c r="X7" s="40"/>
      <c r="Y7" s="40"/>
      <c r="Z7" s="40"/>
    </row>
    <row r="8" spans="1:26" ht="14.65" customHeight="1" x14ac:dyDescent="0.2">
      <c r="A8" s="19">
        <v>7</v>
      </c>
      <c r="B8" s="15" t="s">
        <v>5</v>
      </c>
      <c r="C8" s="119">
        <f>+ROUND((SUM('corn yields Nonirrigated'!E5:I5)-MAX('corn yields Nonirrigated'!E5:I5)-MIN('corn yields Nonirrigated'!E5:I5))/3,2)</f>
        <v>186.65</v>
      </c>
      <c r="D8" s="122">
        <f>+ROUND((SUM('soybean yields Nonirrigated'!E5:I5)-MAX('soybean yields Nonirrigated'!E5:I5)-MIN('soybean yields Nonirrigated'!E5:I5))/3,2)</f>
        <v>54.51</v>
      </c>
      <c r="E8" s="8">
        <f t="shared" si="0"/>
        <v>905.25249999999994</v>
      </c>
      <c r="F8" s="9">
        <f t="shared" si="1"/>
        <v>606.1511999999999</v>
      </c>
      <c r="G8" s="8">
        <f t="shared" ref="G8:H38" si="3">E8*0.86</f>
        <v>778.5171499999999</v>
      </c>
      <c r="H8" s="9">
        <f t="shared" si="3"/>
        <v>521.29003199999988</v>
      </c>
      <c r="I8" s="8">
        <f t="shared" si="2"/>
        <v>90.52525</v>
      </c>
      <c r="J8" s="9">
        <f t="shared" si="2"/>
        <v>60.61511999999999</v>
      </c>
      <c r="K8" s="100" t="s">
        <v>145</v>
      </c>
      <c r="L8" s="101" t="s">
        <v>145</v>
      </c>
      <c r="M8" s="100" t="str">
        <f t="shared" ref="M8:M71" si="4">IF(K8="n/a","n/a",IFERROR(K8*$S$4,""))</f>
        <v>n/a</v>
      </c>
      <c r="N8" s="101" t="str">
        <f t="shared" ref="N8:N71" si="5">IF(L8="n/a","n/a",IFERROR(L8*$T$4,""))</f>
        <v>n/a</v>
      </c>
      <c r="O8" s="100" t="str">
        <f t="shared" ref="O8:O71" si="6">IF(K8="n/a","n/a",(IF((M8-G8)&lt;0,IF(-(M8-G8)&lt;I8,-(M8-G8)*$S$5,I8*$S$5),0))*$S$6)</f>
        <v>n/a</v>
      </c>
      <c r="P8" s="101" t="str">
        <f t="shared" ref="P8:P71" si="7">IF(L8="n/a","n/a",(IF((N8-H8)&lt;0,IF(-(N8-H8)&lt;J8,-(N8-H8)*$S$5,J8*$S$5),0))*$S$6)</f>
        <v>n/a</v>
      </c>
      <c r="Q8" s="41"/>
      <c r="U8" s="40"/>
      <c r="V8" s="40"/>
      <c r="W8" s="40"/>
      <c r="X8" s="40"/>
      <c r="Y8" s="40"/>
      <c r="Z8" s="40"/>
    </row>
    <row r="9" spans="1:26" ht="14.65" customHeight="1" x14ac:dyDescent="0.2">
      <c r="A9" s="20">
        <v>3</v>
      </c>
      <c r="B9" s="16" t="s">
        <v>6</v>
      </c>
      <c r="C9" s="120">
        <f>+ROUND((SUM('corn yields Nonirrigated'!E6:I6)-MAX('corn yields Nonirrigated'!E6:I6)-MIN('corn yields Nonirrigated'!E6:I6))/3,2)</f>
        <v>205.47</v>
      </c>
      <c r="D9" s="123">
        <f>+ROUND((SUM('soybean yields Nonirrigated'!E6:I6)-MAX('soybean yields Nonirrigated'!E6:I6)-MIN('soybean yields Nonirrigated'!E6:I6))/3,2)</f>
        <v>60.41</v>
      </c>
      <c r="E9" s="10">
        <f t="shared" si="0"/>
        <v>996.52949999999987</v>
      </c>
      <c r="F9" s="11">
        <f t="shared" si="1"/>
        <v>671.75919999999996</v>
      </c>
      <c r="G9" s="10">
        <f t="shared" si="3"/>
        <v>857.01536999999985</v>
      </c>
      <c r="H9" s="11">
        <f t="shared" si="3"/>
        <v>577.71291199999996</v>
      </c>
      <c r="I9" s="10">
        <f t="shared" si="2"/>
        <v>99.65294999999999</v>
      </c>
      <c r="J9" s="11">
        <f t="shared" si="2"/>
        <v>67.175920000000005</v>
      </c>
      <c r="K9" s="102" t="s">
        <v>145</v>
      </c>
      <c r="L9" s="103" t="s">
        <v>145</v>
      </c>
      <c r="M9" s="102" t="str">
        <f t="shared" si="4"/>
        <v>n/a</v>
      </c>
      <c r="N9" s="103" t="str">
        <f t="shared" si="5"/>
        <v>n/a</v>
      </c>
      <c r="O9" s="102" t="str">
        <f t="shared" si="6"/>
        <v>n/a</v>
      </c>
      <c r="P9" s="103" t="str">
        <f t="shared" si="7"/>
        <v>n/a</v>
      </c>
      <c r="Q9" s="40"/>
      <c r="U9" s="40"/>
      <c r="V9" s="40"/>
      <c r="W9" s="40"/>
      <c r="X9" s="40"/>
      <c r="Y9" s="40"/>
      <c r="Z9" s="40"/>
    </row>
    <row r="10" spans="1:26" ht="14.65" customHeight="1" x14ac:dyDescent="0.2">
      <c r="A10" s="19">
        <v>8</v>
      </c>
      <c r="B10" s="15" t="s">
        <v>7</v>
      </c>
      <c r="C10" s="119">
        <f>+ROUND((SUM('corn yields Nonirrigated'!E7:I7)-MAX('corn yields Nonirrigated'!E7:I7)-MIN('corn yields Nonirrigated'!E7:I7))/3,2)</f>
        <v>161.71</v>
      </c>
      <c r="D10" s="122">
        <f>+ROUND((SUM('soybean yields Nonirrigated'!E7:I7)-MAX('soybean yields Nonirrigated'!E7:I7)-MIN('soybean yields Nonirrigated'!E7:I7))/3,2)</f>
        <v>46.59</v>
      </c>
      <c r="E10" s="8">
        <f t="shared" si="0"/>
        <v>784.29349999999999</v>
      </c>
      <c r="F10" s="9">
        <f t="shared" si="1"/>
        <v>518.08079999999995</v>
      </c>
      <c r="G10" s="8">
        <f t="shared" si="3"/>
        <v>674.49240999999995</v>
      </c>
      <c r="H10" s="9">
        <f t="shared" si="3"/>
        <v>445.54948799999994</v>
      </c>
      <c r="I10" s="8">
        <f t="shared" si="2"/>
        <v>78.429349999999999</v>
      </c>
      <c r="J10" s="9">
        <f t="shared" si="2"/>
        <v>51.808079999999997</v>
      </c>
      <c r="K10" s="100" t="s">
        <v>145</v>
      </c>
      <c r="L10" s="101" t="s">
        <v>145</v>
      </c>
      <c r="M10" s="100" t="str">
        <f t="shared" si="4"/>
        <v>n/a</v>
      </c>
      <c r="N10" s="101" t="str">
        <f t="shared" si="5"/>
        <v>n/a</v>
      </c>
      <c r="O10" s="100" t="str">
        <f t="shared" si="6"/>
        <v>n/a</v>
      </c>
      <c r="P10" s="101" t="str">
        <f t="shared" si="7"/>
        <v>n/a</v>
      </c>
      <c r="Q10" s="40"/>
      <c r="U10" s="40"/>
      <c r="V10" s="40"/>
      <c r="W10" s="40"/>
      <c r="X10" s="40"/>
      <c r="Y10" s="40"/>
      <c r="Z10" s="40"/>
    </row>
    <row r="11" spans="1:26" ht="14.65" customHeight="1" x14ac:dyDescent="0.2">
      <c r="A11" s="20">
        <v>4</v>
      </c>
      <c r="B11" s="16" t="s">
        <v>8</v>
      </c>
      <c r="C11" s="120">
        <f>+ROUND((SUM('corn yields Nonirrigated'!E8:I8)-MAX('corn yields Nonirrigated'!E8:I8)-MIN('corn yields Nonirrigated'!E8:I8))/3,2)</f>
        <v>225.69</v>
      </c>
      <c r="D11" s="123">
        <f>+ROUND((SUM('soybean yields Nonirrigated'!E8:I8)-MAX('soybean yields Nonirrigated'!E8:I8)-MIN('soybean yields Nonirrigated'!E8:I8))/3,2)</f>
        <v>62.11</v>
      </c>
      <c r="E11" s="10">
        <f t="shared" si="0"/>
        <v>1094.5964999999999</v>
      </c>
      <c r="F11" s="11">
        <f t="shared" si="1"/>
        <v>690.66319999999996</v>
      </c>
      <c r="G11" s="10">
        <f t="shared" si="3"/>
        <v>941.35298999999986</v>
      </c>
      <c r="H11" s="11">
        <f t="shared" si="3"/>
        <v>593.97035199999993</v>
      </c>
      <c r="I11" s="10">
        <f t="shared" si="2"/>
        <v>109.45965</v>
      </c>
      <c r="J11" s="11">
        <f t="shared" si="2"/>
        <v>69.066320000000005</v>
      </c>
      <c r="K11" s="102" t="s">
        <v>145</v>
      </c>
      <c r="L11" s="103" t="s">
        <v>145</v>
      </c>
      <c r="M11" s="102" t="str">
        <f t="shared" si="4"/>
        <v>n/a</v>
      </c>
      <c r="N11" s="103" t="str">
        <f t="shared" si="5"/>
        <v>n/a</v>
      </c>
      <c r="O11" s="102" t="str">
        <f t="shared" si="6"/>
        <v>n/a</v>
      </c>
      <c r="P11" s="103" t="str">
        <f t="shared" si="7"/>
        <v>n/a</v>
      </c>
      <c r="Q11" s="40"/>
      <c r="R11" s="52"/>
      <c r="S11" s="40"/>
      <c r="T11" s="40"/>
      <c r="U11" s="40"/>
      <c r="V11" s="40"/>
      <c r="W11" s="40"/>
      <c r="X11" s="40"/>
      <c r="Y11" s="40"/>
      <c r="Z11" s="40"/>
    </row>
    <row r="12" spans="1:26" ht="14.65" customHeight="1" x14ac:dyDescent="0.2">
      <c r="A12" s="19">
        <v>6</v>
      </c>
      <c r="B12" s="15" t="s">
        <v>9</v>
      </c>
      <c r="C12" s="119">
        <f>+ROUND((SUM('corn yields Nonirrigated'!E9:I9)-MAX('corn yields Nonirrigated'!E9:I9)-MIN('corn yields Nonirrigated'!E9:I9))/3,2)</f>
        <v>225.2</v>
      </c>
      <c r="D12" s="122">
        <f>+ROUND((SUM('soybean yields Nonirrigated'!E9:I9)-MAX('soybean yields Nonirrigated'!E9:I9)-MIN('soybean yields Nonirrigated'!E9:I9))/3,2)</f>
        <v>64.569999999999993</v>
      </c>
      <c r="E12" s="8">
        <f t="shared" si="0"/>
        <v>1092.2199999999998</v>
      </c>
      <c r="F12" s="9">
        <f t="shared" si="1"/>
        <v>718.01839999999993</v>
      </c>
      <c r="G12" s="8">
        <f t="shared" si="3"/>
        <v>939.30919999999981</v>
      </c>
      <c r="H12" s="9">
        <f t="shared" si="3"/>
        <v>617.49582399999997</v>
      </c>
      <c r="I12" s="8">
        <f t="shared" si="2"/>
        <v>109.22199999999998</v>
      </c>
      <c r="J12" s="9">
        <f t="shared" si="2"/>
        <v>71.801839999999999</v>
      </c>
      <c r="K12" s="100" t="s">
        <v>145</v>
      </c>
      <c r="L12" s="101" t="s">
        <v>145</v>
      </c>
      <c r="M12" s="100" t="str">
        <f t="shared" si="4"/>
        <v>n/a</v>
      </c>
      <c r="N12" s="101" t="str">
        <f t="shared" si="5"/>
        <v>n/a</v>
      </c>
      <c r="O12" s="100" t="str">
        <f t="shared" si="6"/>
        <v>n/a</v>
      </c>
      <c r="P12" s="101" t="str">
        <f t="shared" si="7"/>
        <v>n/a</v>
      </c>
      <c r="Q12" s="40"/>
      <c r="R12" s="52"/>
      <c r="S12" s="40"/>
      <c r="T12" s="40"/>
      <c r="U12" s="40"/>
      <c r="V12" s="40"/>
      <c r="W12" s="40"/>
      <c r="X12" s="40"/>
      <c r="Y12" s="40"/>
      <c r="Z12" s="40"/>
    </row>
    <row r="13" spans="1:26" ht="14.65" customHeight="1" x14ac:dyDescent="0.2">
      <c r="A13" s="20">
        <v>3</v>
      </c>
      <c r="B13" s="16" t="s">
        <v>10</v>
      </c>
      <c r="C13" s="120">
        <f>+ROUND((SUM('corn yields Nonirrigated'!E10:I10)-MAX('corn yields Nonirrigated'!E10:I10)-MIN('corn yields Nonirrigated'!E10:I10))/3,2)</f>
        <v>216.77</v>
      </c>
      <c r="D13" s="123">
        <f>+ROUND((SUM('soybean yields Nonirrigated'!E10:I10)-MAX('soybean yields Nonirrigated'!E10:I10)-MIN('soybean yields Nonirrigated'!E10:I10))/3,2)</f>
        <v>62.35</v>
      </c>
      <c r="E13" s="10">
        <f t="shared" si="0"/>
        <v>1051.3344999999999</v>
      </c>
      <c r="F13" s="11">
        <f t="shared" si="1"/>
        <v>693.33199999999999</v>
      </c>
      <c r="G13" s="10">
        <f t="shared" si="3"/>
        <v>904.14766999999995</v>
      </c>
      <c r="H13" s="11">
        <f t="shared" si="3"/>
        <v>596.26552000000004</v>
      </c>
      <c r="I13" s="10">
        <f t="shared" si="2"/>
        <v>105.13345</v>
      </c>
      <c r="J13" s="11">
        <f t="shared" si="2"/>
        <v>69.333200000000005</v>
      </c>
      <c r="K13" s="102" t="s">
        <v>145</v>
      </c>
      <c r="L13" s="103" t="s">
        <v>145</v>
      </c>
      <c r="M13" s="102" t="str">
        <f t="shared" si="4"/>
        <v>n/a</v>
      </c>
      <c r="N13" s="103" t="str">
        <f t="shared" si="5"/>
        <v>n/a</v>
      </c>
      <c r="O13" s="102" t="str">
        <f t="shared" si="6"/>
        <v>n/a</v>
      </c>
      <c r="P13" s="103" t="str">
        <f t="shared" si="7"/>
        <v>n/a</v>
      </c>
      <c r="Q13" s="40"/>
      <c r="R13" s="52"/>
      <c r="S13" s="35"/>
      <c r="T13" s="35"/>
      <c r="U13" s="40"/>
      <c r="V13" s="40"/>
      <c r="W13" s="40"/>
      <c r="X13" s="40"/>
      <c r="Y13" s="40"/>
      <c r="Z13" s="40"/>
    </row>
    <row r="14" spans="1:26" ht="14.65" customHeight="1" x14ac:dyDescent="0.2">
      <c r="A14" s="19">
        <v>5</v>
      </c>
      <c r="B14" s="15" t="s">
        <v>11</v>
      </c>
      <c r="C14" s="119">
        <f>+ROUND((SUM('corn yields Nonirrigated'!E11:I11)-MAX('corn yields Nonirrigated'!E11:I11)-MIN('corn yields Nonirrigated'!E11:I11))/3,2)</f>
        <v>213.82</v>
      </c>
      <c r="D14" s="122">
        <f>+ROUND((SUM('soybean yields Nonirrigated'!E11:I11)-MAX('soybean yields Nonirrigated'!E11:I11)-MIN('soybean yields Nonirrigated'!E11:I11))/3,2)</f>
        <v>59.63</v>
      </c>
      <c r="E14" s="8">
        <f t="shared" si="0"/>
        <v>1037.0269999999998</v>
      </c>
      <c r="F14" s="9">
        <f t="shared" si="1"/>
        <v>663.0856</v>
      </c>
      <c r="G14" s="8">
        <f t="shared" si="3"/>
        <v>891.84321999999986</v>
      </c>
      <c r="H14" s="9">
        <f t="shared" si="3"/>
        <v>570.25361599999997</v>
      </c>
      <c r="I14" s="8">
        <f t="shared" si="2"/>
        <v>103.70269999999999</v>
      </c>
      <c r="J14" s="9">
        <f t="shared" si="2"/>
        <v>66.30856</v>
      </c>
      <c r="K14" s="100" t="s">
        <v>145</v>
      </c>
      <c r="L14" s="101" t="s">
        <v>145</v>
      </c>
      <c r="M14" s="100" t="str">
        <f t="shared" si="4"/>
        <v>n/a</v>
      </c>
      <c r="N14" s="101" t="str">
        <f t="shared" si="5"/>
        <v>n/a</v>
      </c>
      <c r="O14" s="100" t="str">
        <f t="shared" si="6"/>
        <v>n/a</v>
      </c>
      <c r="P14" s="101" t="str">
        <f t="shared" si="7"/>
        <v>n/a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65" customHeight="1" x14ac:dyDescent="0.2">
      <c r="A15" s="20">
        <v>3</v>
      </c>
      <c r="B15" s="16" t="s">
        <v>12</v>
      </c>
      <c r="C15" s="120">
        <f>+ROUND((SUM('corn yields Nonirrigated'!E12:I12)-MAX('corn yields Nonirrigated'!E12:I12)-MIN('corn yields Nonirrigated'!E12:I12))/3,2)</f>
        <v>224.02</v>
      </c>
      <c r="D15" s="123">
        <f>+ROUND((SUM('soybean yields Nonirrigated'!E12:I12)-MAX('soybean yields Nonirrigated'!E12:I12)-MIN('soybean yields Nonirrigated'!E12:I12))/3,2)</f>
        <v>63.92</v>
      </c>
      <c r="E15" s="10">
        <f t="shared" si="0"/>
        <v>1086.4970000000001</v>
      </c>
      <c r="F15" s="11">
        <f t="shared" si="1"/>
        <v>710.79039999999998</v>
      </c>
      <c r="G15" s="10">
        <f t="shared" si="3"/>
        <v>934.38742000000002</v>
      </c>
      <c r="H15" s="11">
        <f t="shared" si="3"/>
        <v>611.27974399999994</v>
      </c>
      <c r="I15" s="10">
        <f t="shared" si="2"/>
        <v>108.64970000000001</v>
      </c>
      <c r="J15" s="11">
        <f t="shared" si="2"/>
        <v>71.079040000000006</v>
      </c>
      <c r="K15" s="102" t="s">
        <v>145</v>
      </c>
      <c r="L15" s="103" t="s">
        <v>145</v>
      </c>
      <c r="M15" s="102" t="str">
        <f t="shared" si="4"/>
        <v>n/a</v>
      </c>
      <c r="N15" s="103" t="str">
        <f t="shared" si="5"/>
        <v>n/a</v>
      </c>
      <c r="O15" s="102" t="str">
        <f t="shared" si="6"/>
        <v>n/a</v>
      </c>
      <c r="P15" s="103" t="str">
        <f t="shared" si="7"/>
        <v>n/a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65" customHeight="1" x14ac:dyDescent="0.2">
      <c r="A16" s="19">
        <v>3</v>
      </c>
      <c r="B16" s="15" t="s">
        <v>13</v>
      </c>
      <c r="C16" s="119">
        <f>+ROUND((SUM('corn yields Nonirrigated'!E13:I13)-MAX('corn yields Nonirrigated'!E13:I13)-MIN('corn yields Nonirrigated'!E13:I13))/3,2)</f>
        <v>222.46</v>
      </c>
      <c r="D16" s="122">
        <f>+ROUND((SUM('soybean yields Nonirrigated'!E13:I13)-MAX('soybean yields Nonirrigated'!E13:I13)-MIN('soybean yields Nonirrigated'!E13:I13))/3,2)</f>
        <v>63.3</v>
      </c>
      <c r="E16" s="8">
        <f t="shared" si="0"/>
        <v>1078.931</v>
      </c>
      <c r="F16" s="9">
        <f t="shared" si="1"/>
        <v>703.89599999999996</v>
      </c>
      <c r="G16" s="8">
        <f t="shared" si="3"/>
        <v>927.88066000000003</v>
      </c>
      <c r="H16" s="9">
        <f t="shared" si="3"/>
        <v>605.35055999999997</v>
      </c>
      <c r="I16" s="8">
        <f t="shared" si="2"/>
        <v>107.8931</v>
      </c>
      <c r="J16" s="9">
        <f t="shared" si="2"/>
        <v>70.389600000000002</v>
      </c>
      <c r="K16" s="100" t="s">
        <v>145</v>
      </c>
      <c r="L16" s="101" t="s">
        <v>145</v>
      </c>
      <c r="M16" s="100" t="str">
        <f t="shared" si="4"/>
        <v>n/a</v>
      </c>
      <c r="N16" s="101" t="str">
        <f t="shared" si="5"/>
        <v>n/a</v>
      </c>
      <c r="O16" s="100" t="str">
        <f t="shared" si="6"/>
        <v>n/a</v>
      </c>
      <c r="P16" s="101" t="str">
        <f t="shared" si="7"/>
        <v>n/a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65" customHeight="1" x14ac:dyDescent="0.2">
      <c r="A17" s="20">
        <v>1</v>
      </c>
      <c r="B17" s="16" t="s">
        <v>14</v>
      </c>
      <c r="C17" s="120">
        <f>+ROUND((SUM('corn yields Nonirrigated'!E14:I14)-MAX('corn yields Nonirrigated'!E14:I14)-MIN('corn yields Nonirrigated'!E14:I14))/3,2)</f>
        <v>209.32</v>
      </c>
      <c r="D17" s="123">
        <f>+ROUND((SUM('soybean yields Nonirrigated'!E14:I14)-MAX('soybean yields Nonirrigated'!E14:I14)-MIN('soybean yields Nonirrigated'!E14:I14))/3,2)</f>
        <v>59.38</v>
      </c>
      <c r="E17" s="10">
        <f t="shared" si="0"/>
        <v>1015.2019999999999</v>
      </c>
      <c r="F17" s="11">
        <f t="shared" si="1"/>
        <v>660.30560000000003</v>
      </c>
      <c r="G17" s="10">
        <f t="shared" si="3"/>
        <v>873.07371999999987</v>
      </c>
      <c r="H17" s="11">
        <f t="shared" si="3"/>
        <v>567.86281600000007</v>
      </c>
      <c r="I17" s="10">
        <f t="shared" si="2"/>
        <v>101.52019999999999</v>
      </c>
      <c r="J17" s="11">
        <f t="shared" si="2"/>
        <v>66.030560000000008</v>
      </c>
      <c r="K17" s="102" t="s">
        <v>145</v>
      </c>
      <c r="L17" s="103" t="s">
        <v>145</v>
      </c>
      <c r="M17" s="102" t="str">
        <f t="shared" si="4"/>
        <v>n/a</v>
      </c>
      <c r="N17" s="103" t="str">
        <f t="shared" si="5"/>
        <v>n/a</v>
      </c>
      <c r="O17" s="102" t="str">
        <f t="shared" si="6"/>
        <v>n/a</v>
      </c>
      <c r="P17" s="103" t="str">
        <f t="shared" si="7"/>
        <v>n/a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65" customHeight="1" x14ac:dyDescent="0.2">
      <c r="A18" s="19">
        <v>2</v>
      </c>
      <c r="B18" s="15" t="s">
        <v>15</v>
      </c>
      <c r="C18" s="119">
        <f>+ROUND((SUM('corn yields Nonirrigated'!E15:I15)-MAX('corn yields Nonirrigated'!E15:I15)-MIN('corn yields Nonirrigated'!E15:I15))/3,2)</f>
        <v>219.27</v>
      </c>
      <c r="D18" s="122">
        <f>+ROUND((SUM('soybean yields Nonirrigated'!E15:I15)-MAX('soybean yields Nonirrigated'!E15:I15)-MIN('soybean yields Nonirrigated'!E15:I15))/3,2)</f>
        <v>59.97</v>
      </c>
      <c r="E18" s="8">
        <f t="shared" si="0"/>
        <v>1063.4594999999999</v>
      </c>
      <c r="F18" s="9">
        <f t="shared" si="1"/>
        <v>666.86639999999989</v>
      </c>
      <c r="G18" s="8">
        <f t="shared" si="3"/>
        <v>914.57516999999996</v>
      </c>
      <c r="H18" s="9">
        <f t="shared" si="3"/>
        <v>573.50510399999985</v>
      </c>
      <c r="I18" s="8">
        <f t="shared" si="2"/>
        <v>106.34595</v>
      </c>
      <c r="J18" s="9">
        <f t="shared" si="2"/>
        <v>66.686639999999997</v>
      </c>
      <c r="K18" s="100" t="s">
        <v>145</v>
      </c>
      <c r="L18" s="101" t="s">
        <v>145</v>
      </c>
      <c r="M18" s="100" t="str">
        <f t="shared" si="4"/>
        <v>n/a</v>
      </c>
      <c r="N18" s="101" t="str">
        <f t="shared" si="5"/>
        <v>n/a</v>
      </c>
      <c r="O18" s="100" t="str">
        <f t="shared" si="6"/>
        <v>n/a</v>
      </c>
      <c r="P18" s="101" t="str">
        <f t="shared" si="7"/>
        <v>n/a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65" customHeight="1" x14ac:dyDescent="0.2">
      <c r="A19" s="20">
        <v>4</v>
      </c>
      <c r="B19" s="16" t="s">
        <v>16</v>
      </c>
      <c r="C19" s="120">
        <f>+ROUND((SUM('corn yields Nonirrigated'!E16:I16)-MAX('corn yields Nonirrigated'!E16:I16)-MIN('corn yields Nonirrigated'!E16:I16))/3,2)</f>
        <v>212.87</v>
      </c>
      <c r="D19" s="123">
        <f>+ROUND((SUM('soybean yields Nonirrigated'!E16:I16)-MAX('soybean yields Nonirrigated'!E16:I16)-MIN('soybean yields Nonirrigated'!E16:I16))/3,2)</f>
        <v>58.91</v>
      </c>
      <c r="E19" s="10">
        <f t="shared" si="0"/>
        <v>1032.4195</v>
      </c>
      <c r="F19" s="11">
        <f t="shared" si="1"/>
        <v>655.0791999999999</v>
      </c>
      <c r="G19" s="10">
        <f t="shared" si="3"/>
        <v>887.88076999999998</v>
      </c>
      <c r="H19" s="11">
        <f t="shared" si="3"/>
        <v>563.36811199999988</v>
      </c>
      <c r="I19" s="10">
        <f t="shared" si="2"/>
        <v>103.24195</v>
      </c>
      <c r="J19" s="11">
        <f t="shared" si="2"/>
        <v>65.507919999999999</v>
      </c>
      <c r="K19" s="102" t="s">
        <v>145</v>
      </c>
      <c r="L19" s="103" t="s">
        <v>145</v>
      </c>
      <c r="M19" s="102" t="str">
        <f t="shared" si="4"/>
        <v>n/a</v>
      </c>
      <c r="N19" s="103" t="str">
        <f t="shared" si="5"/>
        <v>n/a</v>
      </c>
      <c r="O19" s="102" t="str">
        <f t="shared" si="6"/>
        <v>n/a</v>
      </c>
      <c r="P19" s="103" t="str">
        <f t="shared" si="7"/>
        <v>n/a</v>
      </c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65" customHeight="1" x14ac:dyDescent="0.2">
      <c r="A20" s="19">
        <v>4</v>
      </c>
      <c r="B20" s="15" t="s">
        <v>17</v>
      </c>
      <c r="C20" s="119">
        <f>+ROUND((SUM('corn yields Nonirrigated'!E17:I17)-MAX('corn yields Nonirrigated'!E17:I17)-MIN('corn yields Nonirrigated'!E17:I17))/3,2)</f>
        <v>233.3</v>
      </c>
      <c r="D20" s="122">
        <f>+ROUND((SUM('soybean yields Nonirrigated'!E17:I17)-MAX('soybean yields Nonirrigated'!E17:I17)-MIN('soybean yields Nonirrigated'!E17:I17))/3,2)</f>
        <v>64.7</v>
      </c>
      <c r="E20" s="8">
        <f t="shared" si="0"/>
        <v>1131.5049999999999</v>
      </c>
      <c r="F20" s="9">
        <f t="shared" si="1"/>
        <v>719.46399999999994</v>
      </c>
      <c r="G20" s="8">
        <f t="shared" si="3"/>
        <v>973.09429999999986</v>
      </c>
      <c r="H20" s="9">
        <f t="shared" si="3"/>
        <v>618.73903999999993</v>
      </c>
      <c r="I20" s="8">
        <f t="shared" si="2"/>
        <v>113.15049999999999</v>
      </c>
      <c r="J20" s="9">
        <f t="shared" si="2"/>
        <v>71.946399999999997</v>
      </c>
      <c r="K20" s="100" t="s">
        <v>145</v>
      </c>
      <c r="L20" s="101" t="s">
        <v>145</v>
      </c>
      <c r="M20" s="100" t="str">
        <f t="shared" si="4"/>
        <v>n/a</v>
      </c>
      <c r="N20" s="101" t="str">
        <f t="shared" si="5"/>
        <v>n/a</v>
      </c>
      <c r="O20" s="100" t="str">
        <f t="shared" si="6"/>
        <v>n/a</v>
      </c>
      <c r="P20" s="101" t="str">
        <f t="shared" si="7"/>
        <v>n/a</v>
      </c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65" customHeight="1" x14ac:dyDescent="0.2">
      <c r="A21" s="20">
        <v>7</v>
      </c>
      <c r="B21" s="16" t="s">
        <v>18</v>
      </c>
      <c r="C21" s="120">
        <f>+ROUND((SUM('corn yields Nonirrigated'!E18:I18)-MAX('corn yields Nonirrigated'!E18:I18)-MIN('corn yields Nonirrigated'!E18:I18))/3,2)</f>
        <v>198.62</v>
      </c>
      <c r="D21" s="123">
        <f>+ROUND((SUM('soybean yields Nonirrigated'!E18:I18)-MAX('soybean yields Nonirrigated'!E18:I18)-MIN('soybean yields Nonirrigated'!E18:I18))/3,2)</f>
        <v>57.21</v>
      </c>
      <c r="E21" s="10">
        <f t="shared" si="0"/>
        <v>963.3069999999999</v>
      </c>
      <c r="F21" s="11">
        <f t="shared" si="1"/>
        <v>636.17520000000002</v>
      </c>
      <c r="G21" s="10">
        <f t="shared" si="3"/>
        <v>828.44401999999991</v>
      </c>
      <c r="H21" s="11">
        <f t="shared" si="3"/>
        <v>547.11067200000002</v>
      </c>
      <c r="I21" s="10">
        <f t="shared" si="2"/>
        <v>96.330699999999993</v>
      </c>
      <c r="J21" s="11">
        <f t="shared" si="2"/>
        <v>63.617520000000006</v>
      </c>
      <c r="K21" s="102" t="s">
        <v>145</v>
      </c>
      <c r="L21" s="103" t="s">
        <v>145</v>
      </c>
      <c r="M21" s="102" t="str">
        <f t="shared" si="4"/>
        <v>n/a</v>
      </c>
      <c r="N21" s="103" t="str">
        <f t="shared" si="5"/>
        <v>n/a</v>
      </c>
      <c r="O21" s="102" t="str">
        <f t="shared" si="6"/>
        <v>n/a</v>
      </c>
      <c r="P21" s="103" t="str">
        <f t="shared" si="7"/>
        <v>n/a</v>
      </c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65" customHeight="1" x14ac:dyDescent="0.2">
      <c r="A22" s="19">
        <v>6</v>
      </c>
      <c r="B22" s="15" t="s">
        <v>19</v>
      </c>
      <c r="C22" s="119">
        <f>+ROUND((SUM('corn yields Nonirrigated'!E19:I19)-MAX('corn yields Nonirrigated'!E19:I19)-MIN('corn yields Nonirrigated'!E19:I19))/3,2)</f>
        <v>226.74</v>
      </c>
      <c r="D22" s="122">
        <f>+ROUND((SUM('soybean yields Nonirrigated'!E19:I19)-MAX('soybean yields Nonirrigated'!E19:I19)-MIN('soybean yields Nonirrigated'!E19:I19))/3,2)</f>
        <v>68.13</v>
      </c>
      <c r="E22" s="8">
        <f t="shared" si="0"/>
        <v>1099.6889999999999</v>
      </c>
      <c r="F22" s="9">
        <f t="shared" si="1"/>
        <v>757.60559999999987</v>
      </c>
      <c r="G22" s="8">
        <f t="shared" si="3"/>
        <v>945.73253999999986</v>
      </c>
      <c r="H22" s="9">
        <f t="shared" si="3"/>
        <v>651.54081599999984</v>
      </c>
      <c r="I22" s="8">
        <f t="shared" si="2"/>
        <v>109.96889999999999</v>
      </c>
      <c r="J22" s="9">
        <f t="shared" si="2"/>
        <v>75.760559999999984</v>
      </c>
      <c r="K22" s="100" t="s">
        <v>145</v>
      </c>
      <c r="L22" s="101" t="s">
        <v>145</v>
      </c>
      <c r="M22" s="100" t="str">
        <f t="shared" si="4"/>
        <v>n/a</v>
      </c>
      <c r="N22" s="101" t="str">
        <f t="shared" si="5"/>
        <v>n/a</v>
      </c>
      <c r="O22" s="100" t="str">
        <f t="shared" si="6"/>
        <v>n/a</v>
      </c>
      <c r="P22" s="101" t="str">
        <f t="shared" si="7"/>
        <v>n/a</v>
      </c>
      <c r="R22" s="53"/>
      <c r="S22" s="40"/>
      <c r="T22" s="40"/>
      <c r="U22" s="40"/>
      <c r="V22" s="40"/>
      <c r="W22" s="40"/>
      <c r="X22" s="40"/>
      <c r="Y22" s="40"/>
      <c r="Z22" s="40"/>
    </row>
    <row r="23" spans="1:26" ht="14.65" customHeight="1" x14ac:dyDescent="0.2">
      <c r="A23" s="20">
        <v>2</v>
      </c>
      <c r="B23" s="16" t="s">
        <v>20</v>
      </c>
      <c r="C23" s="120">
        <f>+ROUND((SUM('corn yields Nonirrigated'!E20:I20)-MAX('corn yields Nonirrigated'!E20:I20)-MIN('corn yields Nonirrigated'!E20:I20))/3,2)</f>
        <v>209.74</v>
      </c>
      <c r="D23" s="123">
        <f>+ROUND((SUM('soybean yields Nonirrigated'!E20:I20)-MAX('soybean yields Nonirrigated'!E20:I20)-MIN('soybean yields Nonirrigated'!E20:I20))/3,2)</f>
        <v>60.63</v>
      </c>
      <c r="E23" s="10">
        <f t="shared" si="0"/>
        <v>1017.2389999999999</v>
      </c>
      <c r="F23" s="11">
        <f t="shared" si="1"/>
        <v>674.2056</v>
      </c>
      <c r="G23" s="10">
        <f t="shared" si="3"/>
        <v>874.82553999999993</v>
      </c>
      <c r="H23" s="11">
        <f t="shared" si="3"/>
        <v>579.81681600000002</v>
      </c>
      <c r="I23" s="10">
        <f t="shared" si="2"/>
        <v>101.7239</v>
      </c>
      <c r="J23" s="11">
        <f t="shared" si="2"/>
        <v>67.420560000000009</v>
      </c>
      <c r="K23" s="102" t="s">
        <v>145</v>
      </c>
      <c r="L23" s="103" t="s">
        <v>145</v>
      </c>
      <c r="M23" s="102" t="str">
        <f t="shared" si="4"/>
        <v>n/a</v>
      </c>
      <c r="N23" s="103" t="str">
        <f t="shared" si="5"/>
        <v>n/a</v>
      </c>
      <c r="O23" s="102" t="str">
        <f t="shared" si="6"/>
        <v>n/a</v>
      </c>
      <c r="P23" s="103" t="str">
        <f t="shared" si="7"/>
        <v>n/a</v>
      </c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65" customHeight="1" x14ac:dyDescent="0.2">
      <c r="A24" s="19">
        <v>1</v>
      </c>
      <c r="B24" s="15" t="s">
        <v>21</v>
      </c>
      <c r="C24" s="119">
        <f>+ROUND((SUM('corn yields Nonirrigated'!E21:I21)-MAX('corn yields Nonirrigated'!E21:I21)-MIN('corn yields Nonirrigated'!E21:I21))/3,2)</f>
        <v>223.9</v>
      </c>
      <c r="D24" s="122">
        <f>+ROUND((SUM('soybean yields Nonirrigated'!E21:I21)-MAX('soybean yields Nonirrigated'!E21:I21)-MIN('soybean yields Nonirrigated'!E21:I21))/3,2)</f>
        <v>64.72</v>
      </c>
      <c r="E24" s="8">
        <f t="shared" si="0"/>
        <v>1085.915</v>
      </c>
      <c r="F24" s="9">
        <f t="shared" si="1"/>
        <v>719.68639999999994</v>
      </c>
      <c r="G24" s="8">
        <f t="shared" si="3"/>
        <v>933.88689999999997</v>
      </c>
      <c r="H24" s="9">
        <f t="shared" si="3"/>
        <v>618.93030399999998</v>
      </c>
      <c r="I24" s="8">
        <f t="shared" si="2"/>
        <v>108.5915</v>
      </c>
      <c r="J24" s="9">
        <f t="shared" si="2"/>
        <v>71.968639999999994</v>
      </c>
      <c r="K24" s="100" t="s">
        <v>145</v>
      </c>
      <c r="L24" s="101" t="s">
        <v>145</v>
      </c>
      <c r="M24" s="100" t="str">
        <f t="shared" si="4"/>
        <v>n/a</v>
      </c>
      <c r="N24" s="101" t="str">
        <f t="shared" si="5"/>
        <v>n/a</v>
      </c>
      <c r="O24" s="100" t="str">
        <f t="shared" si="6"/>
        <v>n/a</v>
      </c>
      <c r="P24" s="101" t="str">
        <f t="shared" si="7"/>
        <v>n/a</v>
      </c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4.65" customHeight="1" x14ac:dyDescent="0.2">
      <c r="A25" s="20">
        <v>3</v>
      </c>
      <c r="B25" s="16" t="s">
        <v>22</v>
      </c>
      <c r="C25" s="120">
        <f>+ROUND((SUM('corn yields Nonirrigated'!E22:I22)-MAX('corn yields Nonirrigated'!E22:I22)-MIN('corn yields Nonirrigated'!E22:I22))/3,2)</f>
        <v>220.94</v>
      </c>
      <c r="D25" s="123">
        <f>+ROUND((SUM('soybean yields Nonirrigated'!E22:I22)-MAX('soybean yields Nonirrigated'!E22:I22)-MIN('soybean yields Nonirrigated'!E22:I22))/3,2)</f>
        <v>60.93</v>
      </c>
      <c r="E25" s="10">
        <f t="shared" si="0"/>
        <v>1071.559</v>
      </c>
      <c r="F25" s="11">
        <f t="shared" si="1"/>
        <v>677.5415999999999</v>
      </c>
      <c r="G25" s="10">
        <f t="shared" si="3"/>
        <v>921.54073999999991</v>
      </c>
      <c r="H25" s="11">
        <f t="shared" si="3"/>
        <v>582.68577599999992</v>
      </c>
      <c r="I25" s="10">
        <f t="shared" si="2"/>
        <v>107.1559</v>
      </c>
      <c r="J25" s="11">
        <f t="shared" si="2"/>
        <v>67.754159999999999</v>
      </c>
      <c r="K25" s="102" t="s">
        <v>145</v>
      </c>
      <c r="L25" s="103" t="s">
        <v>145</v>
      </c>
      <c r="M25" s="102" t="str">
        <f t="shared" si="4"/>
        <v>n/a</v>
      </c>
      <c r="N25" s="103" t="str">
        <f t="shared" si="5"/>
        <v>n/a</v>
      </c>
      <c r="O25" s="102" t="str">
        <f t="shared" si="6"/>
        <v>n/a</v>
      </c>
      <c r="P25" s="103" t="str">
        <f t="shared" si="7"/>
        <v>n/a</v>
      </c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65" customHeight="1" x14ac:dyDescent="0.2">
      <c r="A26" s="19">
        <v>8</v>
      </c>
      <c r="B26" s="15" t="s">
        <v>23</v>
      </c>
      <c r="C26" s="119">
        <f>+ROUND((SUM('corn yields Nonirrigated'!E23:I23)-MAX('corn yields Nonirrigated'!E23:I23)-MIN('corn yields Nonirrigated'!E23:I23))/3,2)</f>
        <v>161.93</v>
      </c>
      <c r="D26" s="122">
        <f>+ROUND((SUM('soybean yields Nonirrigated'!E23:I23)-MAX('soybean yields Nonirrigated'!E23:I23)-MIN('soybean yields Nonirrigated'!E23:I23))/3,2)</f>
        <v>48.38</v>
      </c>
      <c r="E26" s="8">
        <f t="shared" si="0"/>
        <v>785.3605</v>
      </c>
      <c r="F26" s="9">
        <f t="shared" si="1"/>
        <v>537.98559999999998</v>
      </c>
      <c r="G26" s="8">
        <f t="shared" si="3"/>
        <v>675.41003000000001</v>
      </c>
      <c r="H26" s="9">
        <f t="shared" si="3"/>
        <v>462.66761599999995</v>
      </c>
      <c r="I26" s="8">
        <f t="shared" si="2"/>
        <v>78.536050000000003</v>
      </c>
      <c r="J26" s="9">
        <f t="shared" si="2"/>
        <v>53.798560000000002</v>
      </c>
      <c r="K26" s="100" t="s">
        <v>145</v>
      </c>
      <c r="L26" s="101" t="s">
        <v>145</v>
      </c>
      <c r="M26" s="100" t="str">
        <f t="shared" si="4"/>
        <v>n/a</v>
      </c>
      <c r="N26" s="101" t="str">
        <f t="shared" si="5"/>
        <v>n/a</v>
      </c>
      <c r="O26" s="100" t="str">
        <f t="shared" si="6"/>
        <v>n/a</v>
      </c>
      <c r="P26" s="101" t="str">
        <f t="shared" si="7"/>
        <v>n/a</v>
      </c>
    </row>
    <row r="27" spans="1:26" ht="14.65" customHeight="1" x14ac:dyDescent="0.2">
      <c r="A27" s="20">
        <v>1</v>
      </c>
      <c r="B27" s="16" t="s">
        <v>24</v>
      </c>
      <c r="C27" s="120">
        <f>+ROUND((SUM('corn yields Nonirrigated'!E24:I24)-MAX('corn yields Nonirrigated'!E24:I24)-MIN('corn yields Nonirrigated'!E24:I24))/3,2)</f>
        <v>189.71</v>
      </c>
      <c r="D27" s="123">
        <f>+ROUND((SUM('soybean yields Nonirrigated'!E24:I24)-MAX('soybean yields Nonirrigated'!E24:I24)-MIN('soybean yields Nonirrigated'!E24:I24))/3,2)</f>
        <v>55.13</v>
      </c>
      <c r="E27" s="10">
        <f t="shared" si="0"/>
        <v>920.09349999999995</v>
      </c>
      <c r="F27" s="11">
        <f t="shared" si="1"/>
        <v>613.04560000000004</v>
      </c>
      <c r="G27" s="10">
        <f t="shared" si="3"/>
        <v>791.28040999999996</v>
      </c>
      <c r="H27" s="11">
        <f t="shared" si="3"/>
        <v>527.21921600000007</v>
      </c>
      <c r="I27" s="10">
        <f t="shared" si="2"/>
        <v>92.009349999999998</v>
      </c>
      <c r="J27" s="11">
        <f t="shared" si="2"/>
        <v>61.304560000000009</v>
      </c>
      <c r="K27" s="102" t="s">
        <v>145</v>
      </c>
      <c r="L27" s="103" t="s">
        <v>145</v>
      </c>
      <c r="M27" s="102" t="str">
        <f t="shared" si="4"/>
        <v>n/a</v>
      </c>
      <c r="N27" s="103" t="str">
        <f t="shared" si="5"/>
        <v>n/a</v>
      </c>
      <c r="O27" s="102" t="str">
        <f t="shared" si="6"/>
        <v>n/a</v>
      </c>
      <c r="P27" s="103" t="str">
        <f t="shared" si="7"/>
        <v>n/a</v>
      </c>
    </row>
    <row r="28" spans="1:26" ht="14.65" customHeight="1" x14ac:dyDescent="0.2">
      <c r="A28" s="19">
        <v>3</v>
      </c>
      <c r="B28" s="15" t="s">
        <v>25</v>
      </c>
      <c r="C28" s="119">
        <f>+ROUND((SUM('corn yields Nonirrigated'!E25:I25)-MAX('corn yields Nonirrigated'!E25:I25)-MIN('corn yields Nonirrigated'!E25:I25))/3,2)</f>
        <v>219.35</v>
      </c>
      <c r="D28" s="122">
        <f>+ROUND((SUM('soybean yields Nonirrigated'!E25:I25)-MAX('soybean yields Nonirrigated'!E25:I25)-MIN('soybean yields Nonirrigated'!E25:I25))/3,2)</f>
        <v>65.900000000000006</v>
      </c>
      <c r="E28" s="8">
        <f t="shared" si="0"/>
        <v>1063.8474999999999</v>
      </c>
      <c r="F28" s="9">
        <f t="shared" si="1"/>
        <v>732.80799999999999</v>
      </c>
      <c r="G28" s="8">
        <f t="shared" si="3"/>
        <v>914.90884999999992</v>
      </c>
      <c r="H28" s="9">
        <f t="shared" si="3"/>
        <v>630.21487999999999</v>
      </c>
      <c r="I28" s="8">
        <f t="shared" si="2"/>
        <v>106.38475</v>
      </c>
      <c r="J28" s="9">
        <f t="shared" si="2"/>
        <v>73.280799999999999</v>
      </c>
      <c r="K28" s="100" t="s">
        <v>145</v>
      </c>
      <c r="L28" s="101" t="s">
        <v>145</v>
      </c>
      <c r="M28" s="100" t="str">
        <f t="shared" si="4"/>
        <v>n/a</v>
      </c>
      <c r="N28" s="101" t="str">
        <f t="shared" si="5"/>
        <v>n/a</v>
      </c>
      <c r="O28" s="100" t="str">
        <f t="shared" si="6"/>
        <v>n/a</v>
      </c>
      <c r="P28" s="101" t="str">
        <f t="shared" si="7"/>
        <v>n/a</v>
      </c>
    </row>
    <row r="29" spans="1:26" ht="14.65" customHeight="1" x14ac:dyDescent="0.2">
      <c r="A29" s="20">
        <v>6</v>
      </c>
      <c r="B29" s="16" t="s">
        <v>26</v>
      </c>
      <c r="C29" s="120">
        <f>+ROUND((SUM('corn yields Nonirrigated'!E26:I26)-MAX('corn yields Nonirrigated'!E26:I26)-MIN('corn yields Nonirrigated'!E26:I26))/3,2)</f>
        <v>218.61</v>
      </c>
      <c r="D29" s="123">
        <f>+ROUND((SUM('soybean yields Nonirrigated'!E26:I26)-MAX('soybean yields Nonirrigated'!E26:I26)-MIN('soybean yields Nonirrigated'!E26:I26))/3,2)</f>
        <v>65.05</v>
      </c>
      <c r="E29" s="10">
        <f t="shared" si="0"/>
        <v>1060.2584999999999</v>
      </c>
      <c r="F29" s="11">
        <f t="shared" si="1"/>
        <v>723.35599999999988</v>
      </c>
      <c r="G29" s="10">
        <f t="shared" si="3"/>
        <v>911.8223099999999</v>
      </c>
      <c r="H29" s="11">
        <f t="shared" si="3"/>
        <v>622.08615999999984</v>
      </c>
      <c r="I29" s="10">
        <f t="shared" si="2"/>
        <v>106.02584999999999</v>
      </c>
      <c r="J29" s="11">
        <f t="shared" si="2"/>
        <v>72.335599999999985</v>
      </c>
      <c r="K29" s="102" t="s">
        <v>145</v>
      </c>
      <c r="L29" s="103" t="s">
        <v>145</v>
      </c>
      <c r="M29" s="102" t="str">
        <f t="shared" si="4"/>
        <v>n/a</v>
      </c>
      <c r="N29" s="103" t="str">
        <f t="shared" si="5"/>
        <v>n/a</v>
      </c>
      <c r="O29" s="102" t="str">
        <f t="shared" si="6"/>
        <v>n/a</v>
      </c>
      <c r="P29" s="103" t="str">
        <f t="shared" si="7"/>
        <v>n/a</v>
      </c>
    </row>
    <row r="30" spans="1:26" ht="14.65" customHeight="1" x14ac:dyDescent="0.2">
      <c r="A30" s="19">
        <v>4</v>
      </c>
      <c r="B30" s="15" t="s">
        <v>27</v>
      </c>
      <c r="C30" s="119">
        <f>+ROUND((SUM('corn yields Nonirrigated'!E27:I27)-MAX('corn yields Nonirrigated'!E27:I27)-MIN('corn yields Nonirrigated'!E27:I27))/3,2)</f>
        <v>238.3</v>
      </c>
      <c r="D30" s="122">
        <f>+ROUND((SUM('soybean yields Nonirrigated'!E27:I27)-MAX('soybean yields Nonirrigated'!E27:I27)-MIN('soybean yields Nonirrigated'!E27:I27))/3,2)</f>
        <v>65.75</v>
      </c>
      <c r="E30" s="8">
        <f t="shared" si="0"/>
        <v>1155.7549999999999</v>
      </c>
      <c r="F30" s="9">
        <f t="shared" si="1"/>
        <v>731.14</v>
      </c>
      <c r="G30" s="8">
        <f t="shared" si="3"/>
        <v>993.94929999999988</v>
      </c>
      <c r="H30" s="9">
        <f t="shared" si="3"/>
        <v>628.78039999999999</v>
      </c>
      <c r="I30" s="8">
        <f t="shared" si="2"/>
        <v>115.57549999999999</v>
      </c>
      <c r="J30" s="9">
        <f t="shared" si="2"/>
        <v>73.114000000000004</v>
      </c>
      <c r="K30" s="100" t="s">
        <v>145</v>
      </c>
      <c r="L30" s="101" t="s">
        <v>145</v>
      </c>
      <c r="M30" s="100" t="str">
        <f t="shared" si="4"/>
        <v>n/a</v>
      </c>
      <c r="N30" s="101" t="str">
        <f t="shared" si="5"/>
        <v>n/a</v>
      </c>
      <c r="O30" s="100" t="str">
        <f t="shared" si="6"/>
        <v>n/a</v>
      </c>
      <c r="P30" s="101" t="str">
        <f t="shared" si="7"/>
        <v>n/a</v>
      </c>
    </row>
    <row r="31" spans="1:26" ht="14.65" customHeight="1" x14ac:dyDescent="0.2">
      <c r="A31" s="20">
        <v>5</v>
      </c>
      <c r="B31" s="16" t="s">
        <v>28</v>
      </c>
      <c r="C31" s="120">
        <f>+ROUND((SUM('corn yields Nonirrigated'!E28:I28)-MAX('corn yields Nonirrigated'!E28:I28)-MIN('corn yields Nonirrigated'!E28:I28))/3,2)</f>
        <v>205.03</v>
      </c>
      <c r="D31" s="123">
        <f>+ROUND((SUM('soybean yields Nonirrigated'!E28:I28)-MAX('soybean yields Nonirrigated'!E28:I28)-MIN('soybean yields Nonirrigated'!E28:I28))/3,2)</f>
        <v>57.39</v>
      </c>
      <c r="E31" s="10">
        <f t="shared" si="0"/>
        <v>994.39549999999997</v>
      </c>
      <c r="F31" s="11">
        <f t="shared" si="1"/>
        <v>638.17679999999996</v>
      </c>
      <c r="G31" s="10">
        <f t="shared" si="3"/>
        <v>855.18012999999996</v>
      </c>
      <c r="H31" s="11">
        <f t="shared" si="3"/>
        <v>548.83204799999999</v>
      </c>
      <c r="I31" s="10">
        <f t="shared" si="2"/>
        <v>99.439549999999997</v>
      </c>
      <c r="J31" s="11">
        <f t="shared" si="2"/>
        <v>63.817679999999996</v>
      </c>
      <c r="K31" s="102" t="s">
        <v>145</v>
      </c>
      <c r="L31" s="103" t="s">
        <v>145</v>
      </c>
      <c r="M31" s="102" t="str">
        <f t="shared" si="4"/>
        <v>n/a</v>
      </c>
      <c r="N31" s="103" t="str">
        <f t="shared" si="5"/>
        <v>n/a</v>
      </c>
      <c r="O31" s="102" t="str">
        <f t="shared" si="6"/>
        <v>n/a</v>
      </c>
      <c r="P31" s="103" t="str">
        <f t="shared" si="7"/>
        <v>n/a</v>
      </c>
    </row>
    <row r="32" spans="1:26" ht="14.65" customHeight="1" x14ac:dyDescent="0.2">
      <c r="A32" s="19">
        <v>9</v>
      </c>
      <c r="B32" s="15" t="s">
        <v>29</v>
      </c>
      <c r="C32" s="119">
        <f>+ROUND((SUM('corn yields Nonirrigated'!E29:I29)-MAX('corn yields Nonirrigated'!E29:I29)-MIN('corn yields Nonirrigated'!E29:I29))/3,2)</f>
        <v>158.47999999999999</v>
      </c>
      <c r="D32" s="122">
        <f>+ROUND((SUM('soybean yields Nonirrigated'!E29:I29)-MAX('soybean yields Nonirrigated'!E29:I29)-MIN('soybean yields Nonirrigated'!E29:I29))/3,2)</f>
        <v>51.31</v>
      </c>
      <c r="E32" s="8">
        <f t="shared" si="0"/>
        <v>768.62799999999993</v>
      </c>
      <c r="F32" s="9">
        <f t="shared" si="1"/>
        <v>570.56719999999996</v>
      </c>
      <c r="G32" s="8">
        <f t="shared" si="3"/>
        <v>661.02007999999989</v>
      </c>
      <c r="H32" s="9">
        <f t="shared" si="3"/>
        <v>490.68779199999994</v>
      </c>
      <c r="I32" s="8">
        <f t="shared" si="2"/>
        <v>76.862799999999993</v>
      </c>
      <c r="J32" s="9">
        <f t="shared" si="2"/>
        <v>57.056719999999999</v>
      </c>
      <c r="K32" s="100" t="s">
        <v>145</v>
      </c>
      <c r="L32" s="101" t="s">
        <v>145</v>
      </c>
      <c r="M32" s="100" t="str">
        <f t="shared" si="4"/>
        <v>n/a</v>
      </c>
      <c r="N32" s="101" t="str">
        <f t="shared" si="5"/>
        <v>n/a</v>
      </c>
      <c r="O32" s="100" t="str">
        <f t="shared" si="6"/>
        <v>n/a</v>
      </c>
      <c r="P32" s="101" t="str">
        <f t="shared" si="7"/>
        <v>n/a</v>
      </c>
    </row>
    <row r="33" spans="1:16" ht="14.65" customHeight="1" x14ac:dyDescent="0.2">
      <c r="A33" s="20">
        <v>8</v>
      </c>
      <c r="B33" s="16" t="s">
        <v>30</v>
      </c>
      <c r="C33" s="120">
        <f>+ROUND((SUM('corn yields Nonirrigated'!E30:I30)-MAX('corn yields Nonirrigated'!E30:I30)-MIN('corn yields Nonirrigated'!E30:I30))/3,2)</f>
        <v>163.54</v>
      </c>
      <c r="D33" s="123">
        <f>+ROUND((SUM('soybean yields Nonirrigated'!E30:I30)-MAX('soybean yields Nonirrigated'!E30:I30)-MIN('soybean yields Nonirrigated'!E30:I30))/3,2)</f>
        <v>48.37</v>
      </c>
      <c r="E33" s="10">
        <f t="shared" si="0"/>
        <v>793.16899999999987</v>
      </c>
      <c r="F33" s="11">
        <f t="shared" si="1"/>
        <v>537.87439999999992</v>
      </c>
      <c r="G33" s="10">
        <f t="shared" si="3"/>
        <v>682.12533999999982</v>
      </c>
      <c r="H33" s="11">
        <f t="shared" si="3"/>
        <v>462.57198399999993</v>
      </c>
      <c r="I33" s="10">
        <f t="shared" si="2"/>
        <v>79.31689999999999</v>
      </c>
      <c r="J33" s="11">
        <f t="shared" si="2"/>
        <v>53.787439999999997</v>
      </c>
      <c r="K33" s="102" t="s">
        <v>145</v>
      </c>
      <c r="L33" s="103" t="s">
        <v>145</v>
      </c>
      <c r="M33" s="102" t="str">
        <f t="shared" si="4"/>
        <v>n/a</v>
      </c>
      <c r="N33" s="103" t="str">
        <f t="shared" si="5"/>
        <v>n/a</v>
      </c>
      <c r="O33" s="102" t="str">
        <f t="shared" si="6"/>
        <v>n/a</v>
      </c>
      <c r="P33" s="103" t="str">
        <f t="shared" si="7"/>
        <v>n/a</v>
      </c>
    </row>
    <row r="34" spans="1:16" ht="14.65" customHeight="1" x14ac:dyDescent="0.2">
      <c r="A34" s="19">
        <v>3</v>
      </c>
      <c r="B34" s="15" t="s">
        <v>31</v>
      </c>
      <c r="C34" s="119">
        <f>+ROUND((SUM('corn yields Nonirrigated'!E31:I31)-MAX('corn yields Nonirrigated'!E31:I31)-MIN('corn yields Nonirrigated'!E31:I31))/3,2)</f>
        <v>232.65</v>
      </c>
      <c r="D34" s="122">
        <f>+ROUND((SUM('soybean yields Nonirrigated'!E31:I31)-MAX('soybean yields Nonirrigated'!E31:I31)-MIN('soybean yields Nonirrigated'!E31:I31))/3,2)</f>
        <v>69.709999999999994</v>
      </c>
      <c r="E34" s="8">
        <f t="shared" si="0"/>
        <v>1128.3525</v>
      </c>
      <c r="F34" s="9">
        <f t="shared" si="1"/>
        <v>775.1751999999999</v>
      </c>
      <c r="G34" s="8">
        <f t="shared" si="3"/>
        <v>970.38315</v>
      </c>
      <c r="H34" s="9">
        <f t="shared" si="3"/>
        <v>666.65067199999987</v>
      </c>
      <c r="I34" s="8">
        <f t="shared" si="2"/>
        <v>112.83525</v>
      </c>
      <c r="J34" s="9">
        <f t="shared" si="2"/>
        <v>77.51751999999999</v>
      </c>
      <c r="K34" s="100" t="s">
        <v>145</v>
      </c>
      <c r="L34" s="101" t="s">
        <v>145</v>
      </c>
      <c r="M34" s="100" t="str">
        <f t="shared" si="4"/>
        <v>n/a</v>
      </c>
      <c r="N34" s="101" t="str">
        <f t="shared" si="5"/>
        <v>n/a</v>
      </c>
      <c r="O34" s="100" t="str">
        <f t="shared" si="6"/>
        <v>n/a</v>
      </c>
      <c r="P34" s="101" t="str">
        <f t="shared" si="7"/>
        <v>n/a</v>
      </c>
    </row>
    <row r="35" spans="1:16" ht="14.65" customHeight="1" x14ac:dyDescent="0.2">
      <c r="A35" s="20">
        <v>9</v>
      </c>
      <c r="B35" s="16" t="s">
        <v>32</v>
      </c>
      <c r="C35" s="120">
        <f>+ROUND((SUM('corn yields Nonirrigated'!E32:I32)-MAX('corn yields Nonirrigated'!E32:I32)-MIN('corn yields Nonirrigated'!E32:I32))/3,2)</f>
        <v>203.05</v>
      </c>
      <c r="D35" s="123">
        <f>+ROUND((SUM('soybean yields Nonirrigated'!E32:I32)-MAX('soybean yields Nonirrigated'!E32:I32)-MIN('soybean yields Nonirrigated'!E32:I32))/3,2)</f>
        <v>64.47</v>
      </c>
      <c r="E35" s="10">
        <f t="shared" si="0"/>
        <v>984.79250000000002</v>
      </c>
      <c r="F35" s="11">
        <f t="shared" si="1"/>
        <v>716.90639999999996</v>
      </c>
      <c r="G35" s="10">
        <f t="shared" si="3"/>
        <v>846.92155000000002</v>
      </c>
      <c r="H35" s="11">
        <f t="shared" si="3"/>
        <v>616.53950399999997</v>
      </c>
      <c r="I35" s="10">
        <f t="shared" si="2"/>
        <v>98.479250000000008</v>
      </c>
      <c r="J35" s="11">
        <f t="shared" si="2"/>
        <v>71.690640000000002</v>
      </c>
      <c r="K35" s="102" t="s">
        <v>145</v>
      </c>
      <c r="L35" s="103" t="s">
        <v>145</v>
      </c>
      <c r="M35" s="102" t="str">
        <f t="shared" si="4"/>
        <v>n/a</v>
      </c>
      <c r="N35" s="103" t="str">
        <f t="shared" si="5"/>
        <v>n/a</v>
      </c>
      <c r="O35" s="102" t="str">
        <f t="shared" si="6"/>
        <v>n/a</v>
      </c>
      <c r="P35" s="103" t="str">
        <f t="shared" si="7"/>
        <v>n/a</v>
      </c>
    </row>
    <row r="36" spans="1:16" ht="14.65" customHeight="1" x14ac:dyDescent="0.2">
      <c r="A36" s="19">
        <v>1</v>
      </c>
      <c r="B36" s="15" t="s">
        <v>33</v>
      </c>
      <c r="C36" s="119">
        <f>+ROUND((SUM('corn yields Nonirrigated'!E33:I33)-MAX('corn yields Nonirrigated'!E33:I33)-MIN('corn yields Nonirrigated'!E33:I33))/3,2)</f>
        <v>195.28</v>
      </c>
      <c r="D36" s="122">
        <f>+ROUND((SUM('soybean yields Nonirrigated'!E33:I33)-MAX('soybean yields Nonirrigated'!E33:I33)-MIN('soybean yields Nonirrigated'!E33:I33))/3,2)</f>
        <v>55.86</v>
      </c>
      <c r="E36" s="8">
        <f t="shared" si="0"/>
        <v>947.10799999999995</v>
      </c>
      <c r="F36" s="9">
        <f t="shared" si="1"/>
        <v>621.16319999999996</v>
      </c>
      <c r="G36" s="8">
        <f t="shared" si="3"/>
        <v>814.51288</v>
      </c>
      <c r="H36" s="9">
        <f t="shared" si="3"/>
        <v>534.20035199999995</v>
      </c>
      <c r="I36" s="8">
        <f t="shared" si="2"/>
        <v>94.710800000000006</v>
      </c>
      <c r="J36" s="9">
        <f t="shared" si="2"/>
        <v>62.116320000000002</v>
      </c>
      <c r="K36" s="100" t="s">
        <v>145</v>
      </c>
      <c r="L36" s="101" t="s">
        <v>145</v>
      </c>
      <c r="M36" s="100" t="str">
        <f t="shared" si="4"/>
        <v>n/a</v>
      </c>
      <c r="N36" s="101" t="str">
        <f t="shared" si="5"/>
        <v>n/a</v>
      </c>
      <c r="O36" s="100" t="str">
        <f t="shared" si="6"/>
        <v>n/a</v>
      </c>
      <c r="P36" s="101" t="str">
        <f t="shared" si="7"/>
        <v>n/a</v>
      </c>
    </row>
    <row r="37" spans="1:16" ht="14.65" customHeight="1" x14ac:dyDescent="0.2">
      <c r="A37" s="20">
        <v>3</v>
      </c>
      <c r="B37" s="16" t="s">
        <v>34</v>
      </c>
      <c r="C37" s="120">
        <f>+ROUND((SUM('corn yields Nonirrigated'!E34:I34)-MAX('corn yields Nonirrigated'!E34:I34)-MIN('corn yields Nonirrigated'!E34:I34))/3,2)</f>
        <v>230.88</v>
      </c>
      <c r="D37" s="123">
        <f>+ROUND((SUM('soybean yields Nonirrigated'!E34:I34)-MAX('soybean yields Nonirrigated'!E34:I34)-MIN('soybean yields Nonirrigated'!E34:I34))/3,2)</f>
        <v>67.98</v>
      </c>
      <c r="E37" s="10">
        <f t="shared" si="0"/>
        <v>1119.7679999999998</v>
      </c>
      <c r="F37" s="11">
        <f t="shared" si="1"/>
        <v>755.93759999999997</v>
      </c>
      <c r="G37" s="10">
        <f t="shared" si="3"/>
        <v>963.00047999999981</v>
      </c>
      <c r="H37" s="11">
        <f t="shared" si="3"/>
        <v>650.10633599999994</v>
      </c>
      <c r="I37" s="10">
        <f t="shared" si="2"/>
        <v>111.97679999999998</v>
      </c>
      <c r="J37" s="11">
        <f t="shared" si="2"/>
        <v>75.593760000000003</v>
      </c>
      <c r="K37" s="102" t="s">
        <v>145</v>
      </c>
      <c r="L37" s="103" t="s">
        <v>145</v>
      </c>
      <c r="M37" s="102" t="str">
        <f t="shared" si="4"/>
        <v>n/a</v>
      </c>
      <c r="N37" s="103" t="str">
        <f t="shared" si="5"/>
        <v>n/a</v>
      </c>
      <c r="O37" s="102" t="str">
        <f t="shared" si="6"/>
        <v>n/a</v>
      </c>
      <c r="P37" s="103" t="str">
        <f t="shared" si="7"/>
        <v>n/a</v>
      </c>
    </row>
    <row r="38" spans="1:16" ht="14.65" customHeight="1" x14ac:dyDescent="0.2">
      <c r="A38" s="19">
        <v>1</v>
      </c>
      <c r="B38" s="15" t="s">
        <v>35</v>
      </c>
      <c r="C38" s="119">
        <f>+ROUND((SUM('corn yields Nonirrigated'!E35:I35)-MAX('corn yields Nonirrigated'!E35:I35)-MIN('corn yields Nonirrigated'!E35:I35))/3,2)</f>
        <v>194.26</v>
      </c>
      <c r="D38" s="122">
        <f>+ROUND((SUM('soybean yields Nonirrigated'!E35:I35)-MAX('soybean yields Nonirrigated'!E35:I35)-MIN('soybean yields Nonirrigated'!E35:I35))/3,2)</f>
        <v>57.18</v>
      </c>
      <c r="E38" s="8">
        <f t="shared" si="0"/>
        <v>942.16099999999983</v>
      </c>
      <c r="F38" s="9">
        <f t="shared" si="1"/>
        <v>635.84159999999997</v>
      </c>
      <c r="G38" s="8">
        <f t="shared" si="3"/>
        <v>810.25845999999979</v>
      </c>
      <c r="H38" s="9">
        <f t="shared" si="3"/>
        <v>546.82377599999995</v>
      </c>
      <c r="I38" s="8">
        <f t="shared" si="2"/>
        <v>94.216099999999983</v>
      </c>
      <c r="J38" s="9">
        <f t="shared" si="2"/>
        <v>63.584159999999997</v>
      </c>
      <c r="K38" s="100" t="s">
        <v>145</v>
      </c>
      <c r="L38" s="101" t="s">
        <v>145</v>
      </c>
      <c r="M38" s="100" t="str">
        <f t="shared" si="4"/>
        <v>n/a</v>
      </c>
      <c r="N38" s="101" t="str">
        <f t="shared" si="5"/>
        <v>n/a</v>
      </c>
      <c r="O38" s="100" t="str">
        <f t="shared" si="6"/>
        <v>n/a</v>
      </c>
      <c r="P38" s="101" t="str">
        <f t="shared" si="7"/>
        <v>n/a</v>
      </c>
    </row>
    <row r="39" spans="1:16" ht="14.65" customHeight="1" x14ac:dyDescent="0.2">
      <c r="A39" s="20">
        <v>3</v>
      </c>
      <c r="B39" s="16" t="s">
        <v>36</v>
      </c>
      <c r="C39" s="120">
        <f>+ROUND((SUM('corn yields Nonirrigated'!E36:I36)-MAX('corn yields Nonirrigated'!E36:I36)-MIN('corn yields Nonirrigated'!E36:I36))/3,2)</f>
        <v>221.55</v>
      </c>
      <c r="D39" s="123">
        <f>+ROUND((SUM('soybean yields Nonirrigated'!E36:I36)-MAX('soybean yields Nonirrigated'!E36:I36)-MIN('soybean yields Nonirrigated'!E36:I36))/3,2)</f>
        <v>63.07</v>
      </c>
      <c r="E39" s="10">
        <f t="shared" ref="E39:E70" si="8">C39*$S$3</f>
        <v>1074.5174999999999</v>
      </c>
      <c r="F39" s="11">
        <f t="shared" ref="F39:F70" si="9">D39*$T$3</f>
        <v>701.33839999999998</v>
      </c>
      <c r="G39" s="10">
        <f t="shared" ref="G39:H70" si="10">E39*0.86</f>
        <v>924.08504999999991</v>
      </c>
      <c r="H39" s="11">
        <f t="shared" si="10"/>
        <v>603.15102400000001</v>
      </c>
      <c r="I39" s="10">
        <f t="shared" ref="I39:J70" si="11">E39*0.1</f>
        <v>107.45175</v>
      </c>
      <c r="J39" s="11">
        <f t="shared" si="11"/>
        <v>70.133840000000006</v>
      </c>
      <c r="K39" s="102" t="s">
        <v>145</v>
      </c>
      <c r="L39" s="103" t="s">
        <v>145</v>
      </c>
      <c r="M39" s="102" t="str">
        <f t="shared" si="4"/>
        <v>n/a</v>
      </c>
      <c r="N39" s="103" t="str">
        <f t="shared" si="5"/>
        <v>n/a</v>
      </c>
      <c r="O39" s="102" t="str">
        <f t="shared" si="6"/>
        <v>n/a</v>
      </c>
      <c r="P39" s="103" t="str">
        <f t="shared" si="7"/>
        <v>n/a</v>
      </c>
    </row>
    <row r="40" spans="1:16" ht="14.65" customHeight="1" x14ac:dyDescent="0.2">
      <c r="A40" s="19">
        <v>2</v>
      </c>
      <c r="B40" s="15" t="s">
        <v>37</v>
      </c>
      <c r="C40" s="119">
        <f>+ROUND((SUM('corn yields Nonirrigated'!E37:I37)-MAX('corn yields Nonirrigated'!E37:I37)-MIN('corn yields Nonirrigated'!E37:I37))/3,2)</f>
        <v>210.85</v>
      </c>
      <c r="D40" s="122">
        <f>+ROUND((SUM('soybean yields Nonirrigated'!E37:I37)-MAX('soybean yields Nonirrigated'!E37:I37)-MIN('soybean yields Nonirrigated'!E37:I37))/3,2)</f>
        <v>59.28</v>
      </c>
      <c r="E40" s="8">
        <f t="shared" si="8"/>
        <v>1022.6224999999999</v>
      </c>
      <c r="F40" s="9">
        <f t="shared" si="9"/>
        <v>659.19359999999995</v>
      </c>
      <c r="G40" s="8">
        <f t="shared" si="10"/>
        <v>879.45534999999995</v>
      </c>
      <c r="H40" s="9">
        <f t="shared" si="10"/>
        <v>566.90649599999995</v>
      </c>
      <c r="I40" s="8">
        <f t="shared" si="11"/>
        <v>102.26224999999999</v>
      </c>
      <c r="J40" s="9">
        <f t="shared" si="11"/>
        <v>65.919359999999998</v>
      </c>
      <c r="K40" s="100" t="s">
        <v>145</v>
      </c>
      <c r="L40" s="101" t="s">
        <v>145</v>
      </c>
      <c r="M40" s="100" t="str">
        <f t="shared" si="4"/>
        <v>n/a</v>
      </c>
      <c r="N40" s="101" t="str">
        <f t="shared" si="5"/>
        <v>n/a</v>
      </c>
      <c r="O40" s="100" t="str">
        <f t="shared" si="6"/>
        <v>n/a</v>
      </c>
      <c r="P40" s="101" t="str">
        <f t="shared" si="7"/>
        <v>n/a</v>
      </c>
    </row>
    <row r="41" spans="1:16" ht="14.65" customHeight="1" x14ac:dyDescent="0.2">
      <c r="A41" s="20">
        <v>2</v>
      </c>
      <c r="B41" s="16" t="s">
        <v>38</v>
      </c>
      <c r="C41" s="120">
        <f>+ROUND((SUM('corn yields Nonirrigated'!E38:I38)-MAX('corn yields Nonirrigated'!E38:I38)-MIN('corn yields Nonirrigated'!E38:I38))/3,2)</f>
        <v>213.09</v>
      </c>
      <c r="D41" s="123">
        <f>+ROUND((SUM('soybean yields Nonirrigated'!E38:I38)-MAX('soybean yields Nonirrigated'!E38:I38)-MIN('soybean yields Nonirrigated'!E38:I38))/3,2)</f>
        <v>60.32</v>
      </c>
      <c r="E41" s="10">
        <f t="shared" si="8"/>
        <v>1033.4865</v>
      </c>
      <c r="F41" s="11">
        <f t="shared" si="9"/>
        <v>670.75839999999994</v>
      </c>
      <c r="G41" s="10">
        <f t="shared" si="10"/>
        <v>888.79838999999993</v>
      </c>
      <c r="H41" s="11">
        <f t="shared" si="10"/>
        <v>576.85222399999998</v>
      </c>
      <c r="I41" s="10">
        <f t="shared" si="11"/>
        <v>103.34865000000001</v>
      </c>
      <c r="J41" s="11">
        <f t="shared" si="11"/>
        <v>67.075839999999999</v>
      </c>
      <c r="K41" s="102" t="s">
        <v>145</v>
      </c>
      <c r="L41" s="103" t="s">
        <v>145</v>
      </c>
      <c r="M41" s="102" t="str">
        <f t="shared" si="4"/>
        <v>n/a</v>
      </c>
      <c r="N41" s="103" t="str">
        <f t="shared" si="5"/>
        <v>n/a</v>
      </c>
      <c r="O41" s="102" t="str">
        <f t="shared" si="6"/>
        <v>n/a</v>
      </c>
      <c r="P41" s="103" t="str">
        <f t="shared" si="7"/>
        <v>n/a</v>
      </c>
    </row>
    <row r="42" spans="1:16" ht="14.65" customHeight="1" x14ac:dyDescent="0.2">
      <c r="A42" s="19">
        <v>7</v>
      </c>
      <c r="B42" s="15" t="s">
        <v>39</v>
      </c>
      <c r="C42" s="119">
        <f>+ROUND((SUM('corn yields Nonirrigated'!E39:I39)-MAX('corn yields Nonirrigated'!E39:I39)-MIN('corn yields Nonirrigated'!E39:I39))/3,2)</f>
        <v>210.29</v>
      </c>
      <c r="D42" s="122">
        <f>+ROUND((SUM('soybean yields Nonirrigated'!E39:I39)-MAX('soybean yields Nonirrigated'!E39:I39)-MIN('soybean yields Nonirrigated'!E39:I39))/3,2)</f>
        <v>58.02</v>
      </c>
      <c r="E42" s="8">
        <f t="shared" si="8"/>
        <v>1019.9064999999999</v>
      </c>
      <c r="F42" s="9">
        <f t="shared" si="9"/>
        <v>645.18240000000003</v>
      </c>
      <c r="G42" s="8">
        <f t="shared" si="10"/>
        <v>877.1195899999999</v>
      </c>
      <c r="H42" s="9">
        <f t="shared" si="10"/>
        <v>554.85686399999997</v>
      </c>
      <c r="I42" s="8">
        <f t="shared" si="11"/>
        <v>101.99065</v>
      </c>
      <c r="J42" s="9">
        <f t="shared" si="11"/>
        <v>64.518240000000006</v>
      </c>
      <c r="K42" s="100" t="s">
        <v>145</v>
      </c>
      <c r="L42" s="101" t="s">
        <v>145</v>
      </c>
      <c r="M42" s="100" t="str">
        <f t="shared" si="4"/>
        <v>n/a</v>
      </c>
      <c r="N42" s="101" t="str">
        <f t="shared" si="5"/>
        <v>n/a</v>
      </c>
      <c r="O42" s="100" t="str">
        <f t="shared" si="6"/>
        <v>n/a</v>
      </c>
      <c r="P42" s="101" t="str">
        <f t="shared" si="7"/>
        <v>n/a</v>
      </c>
    </row>
    <row r="43" spans="1:16" ht="14.65" customHeight="1" x14ac:dyDescent="0.2">
      <c r="A43" s="20">
        <v>4</v>
      </c>
      <c r="B43" s="16" t="s">
        <v>40</v>
      </c>
      <c r="C43" s="120">
        <f>+ROUND((SUM('corn yields Nonirrigated'!E40:I40)-MAX('corn yields Nonirrigated'!E40:I40)-MIN('corn yields Nonirrigated'!E40:I40))/3,2)</f>
        <v>217.51</v>
      </c>
      <c r="D43" s="123">
        <f>+ROUND((SUM('soybean yields Nonirrigated'!E40:I40)-MAX('soybean yields Nonirrigated'!E40:I40)-MIN('soybean yields Nonirrigated'!E40:I40))/3,2)</f>
        <v>60.57</v>
      </c>
      <c r="E43" s="10">
        <f t="shared" si="8"/>
        <v>1054.9234999999999</v>
      </c>
      <c r="F43" s="11">
        <f t="shared" si="9"/>
        <v>673.53839999999991</v>
      </c>
      <c r="G43" s="10">
        <f t="shared" si="10"/>
        <v>907.23420999999985</v>
      </c>
      <c r="H43" s="11">
        <f t="shared" si="10"/>
        <v>579.24302399999988</v>
      </c>
      <c r="I43" s="10">
        <f t="shared" si="11"/>
        <v>105.49234999999999</v>
      </c>
      <c r="J43" s="11">
        <f t="shared" si="11"/>
        <v>67.353839999999991</v>
      </c>
      <c r="K43" s="102" t="s">
        <v>145</v>
      </c>
      <c r="L43" s="103" t="s">
        <v>145</v>
      </c>
      <c r="M43" s="102" t="str">
        <f t="shared" si="4"/>
        <v>n/a</v>
      </c>
      <c r="N43" s="103" t="str">
        <f t="shared" si="5"/>
        <v>n/a</v>
      </c>
      <c r="O43" s="102" t="str">
        <f t="shared" si="6"/>
        <v>n/a</v>
      </c>
      <c r="P43" s="103" t="str">
        <f t="shared" si="7"/>
        <v>n/a</v>
      </c>
    </row>
    <row r="44" spans="1:16" ht="14.65" customHeight="1" x14ac:dyDescent="0.2">
      <c r="A44" s="19">
        <v>5</v>
      </c>
      <c r="B44" s="15" t="s">
        <v>41</v>
      </c>
      <c r="C44" s="119">
        <f>+ROUND((SUM('corn yields Nonirrigated'!E41:I41)-MAX('corn yields Nonirrigated'!E41:I41)-MIN('corn yields Nonirrigated'!E41:I41))/3,2)</f>
        <v>241.15</v>
      </c>
      <c r="D44" s="122">
        <f>+ROUND((SUM('soybean yields Nonirrigated'!E41:I41)-MAX('soybean yields Nonirrigated'!E41:I41)-MIN('soybean yields Nonirrigated'!E41:I41))/3,2)</f>
        <v>68.06</v>
      </c>
      <c r="E44" s="8">
        <f t="shared" si="8"/>
        <v>1169.5774999999999</v>
      </c>
      <c r="F44" s="9">
        <f t="shared" si="9"/>
        <v>756.82719999999995</v>
      </c>
      <c r="G44" s="8">
        <f t="shared" si="10"/>
        <v>1005.8366499999998</v>
      </c>
      <c r="H44" s="9">
        <f t="shared" si="10"/>
        <v>650.8713919999999</v>
      </c>
      <c r="I44" s="8">
        <f t="shared" si="11"/>
        <v>116.95774999999999</v>
      </c>
      <c r="J44" s="9">
        <f t="shared" si="11"/>
        <v>75.682720000000003</v>
      </c>
      <c r="K44" s="100" t="s">
        <v>145</v>
      </c>
      <c r="L44" s="101" t="s">
        <v>145</v>
      </c>
      <c r="M44" s="100" t="str">
        <f t="shared" si="4"/>
        <v>n/a</v>
      </c>
      <c r="N44" s="101" t="str">
        <f t="shared" si="5"/>
        <v>n/a</v>
      </c>
      <c r="O44" s="100" t="str">
        <f t="shared" si="6"/>
        <v>n/a</v>
      </c>
      <c r="P44" s="101" t="str">
        <f t="shared" si="7"/>
        <v>n/a</v>
      </c>
    </row>
    <row r="45" spans="1:16" ht="14.65" customHeight="1" x14ac:dyDescent="0.2">
      <c r="A45" s="20">
        <v>4</v>
      </c>
      <c r="B45" s="16" t="s">
        <v>42</v>
      </c>
      <c r="C45" s="120">
        <f>+ROUND((SUM('corn yields Nonirrigated'!E42:I42)-MAX('corn yields Nonirrigated'!E42:I42)-MIN('corn yields Nonirrigated'!E42:I42))/3,2)</f>
        <v>206.42</v>
      </c>
      <c r="D45" s="123">
        <f>+ROUND((SUM('soybean yields Nonirrigated'!E42:I42)-MAX('soybean yields Nonirrigated'!E42:I42)-MIN('soybean yields Nonirrigated'!E42:I42))/3,2)</f>
        <v>57.96</v>
      </c>
      <c r="E45" s="10">
        <f t="shared" si="8"/>
        <v>1001.1369999999998</v>
      </c>
      <c r="F45" s="11">
        <f t="shared" si="9"/>
        <v>644.51519999999994</v>
      </c>
      <c r="G45" s="10">
        <f t="shared" si="10"/>
        <v>860.97781999999984</v>
      </c>
      <c r="H45" s="11">
        <f t="shared" si="10"/>
        <v>554.28307199999995</v>
      </c>
      <c r="I45" s="10">
        <f t="shared" si="11"/>
        <v>100.11369999999999</v>
      </c>
      <c r="J45" s="11">
        <f t="shared" si="11"/>
        <v>64.451520000000002</v>
      </c>
      <c r="K45" s="102" t="s">
        <v>145</v>
      </c>
      <c r="L45" s="103" t="s">
        <v>145</v>
      </c>
      <c r="M45" s="102" t="str">
        <f t="shared" si="4"/>
        <v>n/a</v>
      </c>
      <c r="N45" s="103" t="str">
        <f t="shared" si="5"/>
        <v>n/a</v>
      </c>
      <c r="O45" s="102" t="str">
        <f t="shared" si="6"/>
        <v>n/a</v>
      </c>
      <c r="P45" s="103" t="str">
        <f t="shared" si="7"/>
        <v>n/a</v>
      </c>
    </row>
    <row r="46" spans="1:16" ht="14.65" customHeight="1" x14ac:dyDescent="0.2">
      <c r="A46" s="19">
        <v>5</v>
      </c>
      <c r="B46" s="15" t="s">
        <v>43</v>
      </c>
      <c r="C46" s="119">
        <f>+ROUND((SUM('corn yields Nonirrigated'!E43:I43)-MAX('corn yields Nonirrigated'!E43:I43)-MIN('corn yields Nonirrigated'!E43:I43))/3,2)</f>
        <v>211.44</v>
      </c>
      <c r="D46" s="122">
        <f>+ROUND((SUM('soybean yields Nonirrigated'!E43:I43)-MAX('soybean yields Nonirrigated'!E43:I43)-MIN('soybean yields Nonirrigated'!E43:I43))/3,2)</f>
        <v>58.37</v>
      </c>
      <c r="E46" s="8">
        <f t="shared" si="8"/>
        <v>1025.4839999999999</v>
      </c>
      <c r="F46" s="9">
        <f t="shared" si="9"/>
        <v>649.07439999999997</v>
      </c>
      <c r="G46" s="8">
        <f t="shared" si="10"/>
        <v>881.9162399999999</v>
      </c>
      <c r="H46" s="9">
        <f t="shared" si="10"/>
        <v>558.20398399999999</v>
      </c>
      <c r="I46" s="8">
        <f t="shared" si="11"/>
        <v>102.5484</v>
      </c>
      <c r="J46" s="9">
        <f t="shared" si="11"/>
        <v>64.907439999999994</v>
      </c>
      <c r="K46" s="100" t="s">
        <v>145</v>
      </c>
      <c r="L46" s="101" t="s">
        <v>145</v>
      </c>
      <c r="M46" s="100" t="str">
        <f t="shared" si="4"/>
        <v>n/a</v>
      </c>
      <c r="N46" s="101" t="str">
        <f t="shared" si="5"/>
        <v>n/a</v>
      </c>
      <c r="O46" s="100" t="str">
        <f t="shared" si="6"/>
        <v>n/a</v>
      </c>
      <c r="P46" s="101" t="str">
        <f t="shared" si="7"/>
        <v>n/a</v>
      </c>
    </row>
    <row r="47" spans="1:16" ht="14.65" customHeight="1" x14ac:dyDescent="0.2">
      <c r="A47" s="20">
        <v>2</v>
      </c>
      <c r="B47" s="16" t="s">
        <v>44</v>
      </c>
      <c r="C47" s="120">
        <f>+ROUND((SUM('corn yields Nonirrigated'!E44:I44)-MAX('corn yields Nonirrigated'!E44:I44)-MIN('corn yields Nonirrigated'!E44:I44))/3,2)</f>
        <v>215.19</v>
      </c>
      <c r="D47" s="123">
        <f>+ROUND((SUM('soybean yields Nonirrigated'!E44:I44)-MAX('soybean yields Nonirrigated'!E44:I44)-MIN('soybean yields Nonirrigated'!E44:I44))/3,2)</f>
        <v>64.25</v>
      </c>
      <c r="E47" s="10">
        <f t="shared" si="8"/>
        <v>1043.6714999999999</v>
      </c>
      <c r="F47" s="11">
        <f t="shared" si="9"/>
        <v>714.45999999999992</v>
      </c>
      <c r="G47" s="10">
        <f t="shared" si="10"/>
        <v>897.55748999999992</v>
      </c>
      <c r="H47" s="11">
        <f t="shared" si="10"/>
        <v>614.43559999999991</v>
      </c>
      <c r="I47" s="10">
        <f t="shared" si="11"/>
        <v>104.36715</v>
      </c>
      <c r="J47" s="11">
        <f t="shared" si="11"/>
        <v>71.445999999999998</v>
      </c>
      <c r="K47" s="102" t="s">
        <v>145</v>
      </c>
      <c r="L47" s="103" t="s">
        <v>145</v>
      </c>
      <c r="M47" s="102" t="str">
        <f t="shared" si="4"/>
        <v>n/a</v>
      </c>
      <c r="N47" s="103" t="str">
        <f t="shared" si="5"/>
        <v>n/a</v>
      </c>
      <c r="O47" s="102" t="str">
        <f t="shared" si="6"/>
        <v>n/a</v>
      </c>
      <c r="P47" s="103" t="str">
        <f t="shared" si="7"/>
        <v>n/a</v>
      </c>
    </row>
    <row r="48" spans="1:16" ht="14.65" customHeight="1" x14ac:dyDescent="0.2">
      <c r="A48" s="19">
        <v>5</v>
      </c>
      <c r="B48" s="15" t="s">
        <v>45</v>
      </c>
      <c r="C48" s="119">
        <f>+ROUND((SUM('corn yields Nonirrigated'!E45:I45)-MAX('corn yields Nonirrigated'!E45:I45)-MIN('corn yields Nonirrigated'!E45:I45))/3,2)</f>
        <v>217.93</v>
      </c>
      <c r="D48" s="122">
        <f>+ROUND((SUM('soybean yields Nonirrigated'!E45:I45)-MAX('soybean yields Nonirrigated'!E45:I45)-MIN('soybean yields Nonirrigated'!E45:I45))/3,2)</f>
        <v>62.82</v>
      </c>
      <c r="E48" s="8">
        <f t="shared" si="8"/>
        <v>1056.9604999999999</v>
      </c>
      <c r="F48" s="9">
        <f t="shared" si="9"/>
        <v>698.55840000000001</v>
      </c>
      <c r="G48" s="8">
        <f t="shared" si="10"/>
        <v>908.98602999999991</v>
      </c>
      <c r="H48" s="9">
        <f t="shared" si="10"/>
        <v>600.76022399999999</v>
      </c>
      <c r="I48" s="8">
        <f t="shared" si="11"/>
        <v>105.69605</v>
      </c>
      <c r="J48" s="9">
        <f t="shared" si="11"/>
        <v>69.855840000000001</v>
      </c>
      <c r="K48" s="100" t="s">
        <v>145</v>
      </c>
      <c r="L48" s="101" t="s">
        <v>145</v>
      </c>
      <c r="M48" s="100" t="str">
        <f t="shared" si="4"/>
        <v>n/a</v>
      </c>
      <c r="N48" s="101" t="str">
        <f t="shared" si="5"/>
        <v>n/a</v>
      </c>
      <c r="O48" s="100" t="str">
        <f t="shared" si="6"/>
        <v>n/a</v>
      </c>
      <c r="P48" s="101" t="str">
        <f t="shared" si="7"/>
        <v>n/a</v>
      </c>
    </row>
    <row r="49" spans="1:16" ht="14.65" customHeight="1" x14ac:dyDescent="0.2">
      <c r="A49" s="20">
        <v>4</v>
      </c>
      <c r="B49" s="16" t="s">
        <v>46</v>
      </c>
      <c r="C49" s="120">
        <f>+ROUND((SUM('corn yields Nonirrigated'!E46:I46)-MAX('corn yields Nonirrigated'!E46:I46)-MIN('corn yields Nonirrigated'!E46:I46))/3,2)</f>
        <v>205.29</v>
      </c>
      <c r="D49" s="123">
        <f>+ROUND((SUM('soybean yields Nonirrigated'!E46:I46)-MAX('soybean yields Nonirrigated'!E46:I46)-MIN('soybean yields Nonirrigated'!E46:I46))/3,2)</f>
        <v>57.47</v>
      </c>
      <c r="E49" s="10">
        <f t="shared" si="8"/>
        <v>995.65649999999994</v>
      </c>
      <c r="F49" s="11">
        <f t="shared" si="9"/>
        <v>639.06639999999993</v>
      </c>
      <c r="G49" s="10">
        <f t="shared" si="10"/>
        <v>856.26458999999988</v>
      </c>
      <c r="H49" s="11">
        <f t="shared" si="10"/>
        <v>549.59710399999994</v>
      </c>
      <c r="I49" s="10">
        <f t="shared" si="11"/>
        <v>99.565650000000005</v>
      </c>
      <c r="J49" s="11">
        <f t="shared" si="11"/>
        <v>63.906639999999996</v>
      </c>
      <c r="K49" s="102" t="s">
        <v>145</v>
      </c>
      <c r="L49" s="103" t="s">
        <v>145</v>
      </c>
      <c r="M49" s="102" t="str">
        <f t="shared" si="4"/>
        <v>n/a</v>
      </c>
      <c r="N49" s="103" t="str">
        <f t="shared" si="5"/>
        <v>n/a</v>
      </c>
      <c r="O49" s="102" t="str">
        <f t="shared" si="6"/>
        <v>n/a</v>
      </c>
      <c r="P49" s="103" t="str">
        <f t="shared" si="7"/>
        <v>n/a</v>
      </c>
    </row>
    <row r="50" spans="1:16" ht="14.65" customHeight="1" x14ac:dyDescent="0.2">
      <c r="A50" s="19">
        <v>9</v>
      </c>
      <c r="B50" s="15" t="s">
        <v>47</v>
      </c>
      <c r="C50" s="119">
        <f>+ROUND((SUM('corn yields Nonirrigated'!E47:I47)-MAX('corn yields Nonirrigated'!E47:I47)-MIN('corn yields Nonirrigated'!E47:I47))/3,2)</f>
        <v>190.1</v>
      </c>
      <c r="D50" s="122">
        <f>+ROUND((SUM('soybean yields Nonirrigated'!E47:I47)-MAX('soybean yields Nonirrigated'!E47:I47)-MIN('soybean yields Nonirrigated'!E47:I47))/3,2)</f>
        <v>60.6</v>
      </c>
      <c r="E50" s="8">
        <f t="shared" si="8"/>
        <v>921.9849999999999</v>
      </c>
      <c r="F50" s="9">
        <f t="shared" si="9"/>
        <v>673.87199999999996</v>
      </c>
      <c r="G50" s="8">
        <f t="shared" si="10"/>
        <v>792.9070999999999</v>
      </c>
      <c r="H50" s="9">
        <f t="shared" si="10"/>
        <v>579.52991999999995</v>
      </c>
      <c r="I50" s="8">
        <f t="shared" si="11"/>
        <v>92.198499999999996</v>
      </c>
      <c r="J50" s="9">
        <f t="shared" si="11"/>
        <v>67.387199999999993</v>
      </c>
      <c r="K50" s="100" t="s">
        <v>145</v>
      </c>
      <c r="L50" s="101" t="s">
        <v>145</v>
      </c>
      <c r="M50" s="100" t="str">
        <f t="shared" si="4"/>
        <v>n/a</v>
      </c>
      <c r="N50" s="101" t="str">
        <f t="shared" si="5"/>
        <v>n/a</v>
      </c>
      <c r="O50" s="100" t="str">
        <f t="shared" si="6"/>
        <v>n/a</v>
      </c>
      <c r="P50" s="101" t="str">
        <f t="shared" si="7"/>
        <v>n/a</v>
      </c>
    </row>
    <row r="51" spans="1:16" ht="14.65" customHeight="1" x14ac:dyDescent="0.2">
      <c r="A51" s="20">
        <v>3</v>
      </c>
      <c r="B51" s="16" t="s">
        <v>48</v>
      </c>
      <c r="C51" s="120">
        <f>+ROUND((SUM('corn yields Nonirrigated'!E48:I48)-MAX('corn yields Nonirrigated'!E48:I48)-MIN('corn yields Nonirrigated'!E48:I48))/3,2)</f>
        <v>217.04</v>
      </c>
      <c r="D51" s="123">
        <f>+ROUND((SUM('soybean yields Nonirrigated'!E48:I48)-MAX('soybean yields Nonirrigated'!E48:I48)-MIN('soybean yields Nonirrigated'!E48:I48))/3,2)</f>
        <v>60.53</v>
      </c>
      <c r="E51" s="10">
        <f t="shared" si="8"/>
        <v>1052.6439999999998</v>
      </c>
      <c r="F51" s="11">
        <f t="shared" si="9"/>
        <v>673.09359999999992</v>
      </c>
      <c r="G51" s="10">
        <f t="shared" si="10"/>
        <v>905.27383999999984</v>
      </c>
      <c r="H51" s="11">
        <f t="shared" si="10"/>
        <v>578.8604959999999</v>
      </c>
      <c r="I51" s="10">
        <f t="shared" si="11"/>
        <v>105.26439999999998</v>
      </c>
      <c r="J51" s="11">
        <f t="shared" si="11"/>
        <v>67.309359999999998</v>
      </c>
      <c r="K51" s="102" t="s">
        <v>145</v>
      </c>
      <c r="L51" s="103" t="s">
        <v>145</v>
      </c>
      <c r="M51" s="102" t="str">
        <f t="shared" si="4"/>
        <v>n/a</v>
      </c>
      <c r="N51" s="103" t="str">
        <f t="shared" si="5"/>
        <v>n/a</v>
      </c>
      <c r="O51" s="102" t="str">
        <f t="shared" si="6"/>
        <v>n/a</v>
      </c>
      <c r="P51" s="103" t="str">
        <f t="shared" si="7"/>
        <v>n/a</v>
      </c>
    </row>
    <row r="52" spans="1:16" ht="14.65" customHeight="1" x14ac:dyDescent="0.2">
      <c r="A52" s="19">
        <v>2</v>
      </c>
      <c r="B52" s="15" t="s">
        <v>49</v>
      </c>
      <c r="C52" s="119">
        <f>+ROUND((SUM('corn yields Nonirrigated'!E49:I49)-MAX('corn yields Nonirrigated'!E49:I49)-MIN('corn yields Nonirrigated'!E49:I49))/3,2)</f>
        <v>213.23</v>
      </c>
      <c r="D52" s="122">
        <f>+ROUND((SUM('soybean yields Nonirrigated'!E49:I49)-MAX('soybean yields Nonirrigated'!E49:I49)-MIN('soybean yields Nonirrigated'!E49:I49))/3,2)</f>
        <v>59.83</v>
      </c>
      <c r="E52" s="8">
        <f t="shared" si="8"/>
        <v>1034.1654999999998</v>
      </c>
      <c r="F52" s="9">
        <f t="shared" si="9"/>
        <v>665.30959999999993</v>
      </c>
      <c r="G52" s="8">
        <f t="shared" si="10"/>
        <v>889.3823299999998</v>
      </c>
      <c r="H52" s="9">
        <f t="shared" si="10"/>
        <v>572.16625599999998</v>
      </c>
      <c r="I52" s="8">
        <f t="shared" si="11"/>
        <v>103.41654999999999</v>
      </c>
      <c r="J52" s="9">
        <f t="shared" si="11"/>
        <v>66.530959999999993</v>
      </c>
      <c r="K52" s="100" t="s">
        <v>145</v>
      </c>
      <c r="L52" s="101" t="s">
        <v>145</v>
      </c>
      <c r="M52" s="100" t="str">
        <f t="shared" si="4"/>
        <v>n/a</v>
      </c>
      <c r="N52" s="101" t="str">
        <f t="shared" si="5"/>
        <v>n/a</v>
      </c>
      <c r="O52" s="100" t="str">
        <f t="shared" si="6"/>
        <v>n/a</v>
      </c>
      <c r="P52" s="101" t="str">
        <f t="shared" si="7"/>
        <v>n/a</v>
      </c>
    </row>
    <row r="53" spans="1:16" ht="14.65" customHeight="1" x14ac:dyDescent="0.2">
      <c r="A53" s="20">
        <v>4</v>
      </c>
      <c r="B53" s="16" t="s">
        <v>50</v>
      </c>
      <c r="C53" s="120">
        <f>+ROUND((SUM('corn yields Nonirrigated'!E50:I50)-MAX('corn yields Nonirrigated'!E50:I50)-MIN('corn yields Nonirrigated'!E50:I50))/3,2)</f>
        <v>242.27</v>
      </c>
      <c r="D53" s="123">
        <f>+ROUND((SUM('soybean yields Nonirrigated'!E50:I50)-MAX('soybean yields Nonirrigated'!E50:I50)-MIN('soybean yields Nonirrigated'!E50:I50))/3,2)</f>
        <v>67.23</v>
      </c>
      <c r="E53" s="10">
        <f t="shared" si="8"/>
        <v>1175.0094999999999</v>
      </c>
      <c r="F53" s="11">
        <f t="shared" si="9"/>
        <v>747.59759999999994</v>
      </c>
      <c r="G53" s="10">
        <f t="shared" si="10"/>
        <v>1010.5081699999998</v>
      </c>
      <c r="H53" s="11">
        <f t="shared" si="10"/>
        <v>642.9339359999999</v>
      </c>
      <c r="I53" s="10">
        <f t="shared" si="11"/>
        <v>117.50094999999999</v>
      </c>
      <c r="J53" s="11">
        <f t="shared" si="11"/>
        <v>74.75976</v>
      </c>
      <c r="K53" s="102" t="s">
        <v>145</v>
      </c>
      <c r="L53" s="103" t="s">
        <v>145</v>
      </c>
      <c r="M53" s="102" t="str">
        <f t="shared" si="4"/>
        <v>n/a</v>
      </c>
      <c r="N53" s="103" t="str">
        <f t="shared" si="5"/>
        <v>n/a</v>
      </c>
      <c r="O53" s="102" t="str">
        <f t="shared" si="6"/>
        <v>n/a</v>
      </c>
      <c r="P53" s="103" t="str">
        <f t="shared" si="7"/>
        <v>n/a</v>
      </c>
    </row>
    <row r="54" spans="1:16" ht="14.65" customHeight="1" x14ac:dyDescent="0.2">
      <c r="A54" s="19">
        <v>6</v>
      </c>
      <c r="B54" s="15" t="s">
        <v>51</v>
      </c>
      <c r="C54" s="119">
        <f>+ROUND((SUM('corn yields Nonirrigated'!E51:I51)-MAX('corn yields Nonirrigated'!E51:I51)-MIN('corn yields Nonirrigated'!E51:I51))/3,2)</f>
        <v>215.07</v>
      </c>
      <c r="D54" s="122">
        <f>+ROUND((SUM('soybean yields Nonirrigated'!E51:I51)-MAX('soybean yields Nonirrigated'!E51:I51)-MIN('soybean yields Nonirrigated'!E51:I51))/3,2)</f>
        <v>59.2</v>
      </c>
      <c r="E54" s="8">
        <f t="shared" si="8"/>
        <v>1043.0894999999998</v>
      </c>
      <c r="F54" s="9">
        <f t="shared" si="9"/>
        <v>658.30399999999997</v>
      </c>
      <c r="G54" s="8">
        <f t="shared" si="10"/>
        <v>897.05696999999986</v>
      </c>
      <c r="H54" s="9">
        <f t="shared" si="10"/>
        <v>566.14143999999999</v>
      </c>
      <c r="I54" s="8">
        <f t="shared" si="11"/>
        <v>104.30894999999998</v>
      </c>
      <c r="J54" s="9">
        <f t="shared" si="11"/>
        <v>65.830399999999997</v>
      </c>
      <c r="K54" s="100" t="s">
        <v>145</v>
      </c>
      <c r="L54" s="101" t="s">
        <v>145</v>
      </c>
      <c r="M54" s="100" t="str">
        <f t="shared" si="4"/>
        <v>n/a</v>
      </c>
      <c r="N54" s="101" t="str">
        <f t="shared" si="5"/>
        <v>n/a</v>
      </c>
      <c r="O54" s="100" t="str">
        <f t="shared" si="6"/>
        <v>n/a</v>
      </c>
      <c r="P54" s="101" t="str">
        <f t="shared" si="7"/>
        <v>n/a</v>
      </c>
    </row>
    <row r="55" spans="1:16" ht="14.65" customHeight="1" x14ac:dyDescent="0.2">
      <c r="A55" s="20">
        <v>6</v>
      </c>
      <c r="B55" s="16" t="s">
        <v>52</v>
      </c>
      <c r="C55" s="120">
        <f>+ROUND((SUM('corn yields Nonirrigated'!E52:I52)-MAX('corn yields Nonirrigated'!E52:I52)-MIN('corn yields Nonirrigated'!E52:I52))/3,2)</f>
        <v>218.03</v>
      </c>
      <c r="D55" s="123">
        <f>+ROUND((SUM('soybean yields Nonirrigated'!E52:I52)-MAX('soybean yields Nonirrigated'!E52:I52)-MIN('soybean yields Nonirrigated'!E52:I52))/3,2)</f>
        <v>64.349999999999994</v>
      </c>
      <c r="E55" s="10">
        <f t="shared" si="8"/>
        <v>1057.4455</v>
      </c>
      <c r="F55" s="11">
        <f t="shared" si="9"/>
        <v>715.57199999999989</v>
      </c>
      <c r="G55" s="10">
        <f t="shared" si="10"/>
        <v>909.40313000000003</v>
      </c>
      <c r="H55" s="11">
        <f t="shared" si="10"/>
        <v>615.39191999999991</v>
      </c>
      <c r="I55" s="10">
        <f t="shared" si="11"/>
        <v>105.74455</v>
      </c>
      <c r="J55" s="11">
        <f t="shared" si="11"/>
        <v>71.557199999999995</v>
      </c>
      <c r="K55" s="102" t="s">
        <v>145</v>
      </c>
      <c r="L55" s="103" t="s">
        <v>145</v>
      </c>
      <c r="M55" s="102" t="str">
        <f t="shared" si="4"/>
        <v>n/a</v>
      </c>
      <c r="N55" s="103" t="str">
        <f t="shared" si="5"/>
        <v>n/a</v>
      </c>
      <c r="O55" s="102" t="str">
        <f t="shared" si="6"/>
        <v>n/a</v>
      </c>
      <c r="P55" s="103" t="str">
        <f t="shared" si="7"/>
        <v>n/a</v>
      </c>
    </row>
    <row r="56" spans="1:16" ht="14.65" customHeight="1" x14ac:dyDescent="0.2">
      <c r="A56" s="19">
        <v>5</v>
      </c>
      <c r="B56" s="15" t="s">
        <v>53</v>
      </c>
      <c r="C56" s="119">
        <f>+ROUND((SUM('corn yields Nonirrigated'!E53:I53)-MAX('corn yields Nonirrigated'!E53:I53)-MIN('corn yields Nonirrigated'!E53:I53))/3,2)</f>
        <v>228.04</v>
      </c>
      <c r="D56" s="122">
        <f>+ROUND((SUM('soybean yields Nonirrigated'!E53:I53)-MAX('soybean yields Nonirrigated'!E53:I53)-MIN('soybean yields Nonirrigated'!E53:I53))/3,2)</f>
        <v>63.78</v>
      </c>
      <c r="E56" s="8">
        <f t="shared" si="8"/>
        <v>1105.9939999999999</v>
      </c>
      <c r="F56" s="9">
        <f t="shared" si="9"/>
        <v>709.23359999999991</v>
      </c>
      <c r="G56" s="8">
        <f t="shared" si="10"/>
        <v>951.15483999999992</v>
      </c>
      <c r="H56" s="9">
        <f t="shared" si="10"/>
        <v>609.94089599999995</v>
      </c>
      <c r="I56" s="8">
        <f t="shared" si="11"/>
        <v>110.5994</v>
      </c>
      <c r="J56" s="9">
        <f t="shared" si="11"/>
        <v>70.923359999999988</v>
      </c>
      <c r="K56" s="100" t="s">
        <v>145</v>
      </c>
      <c r="L56" s="101" t="s">
        <v>145</v>
      </c>
      <c r="M56" s="100" t="str">
        <f t="shared" si="4"/>
        <v>n/a</v>
      </c>
      <c r="N56" s="101" t="str">
        <f t="shared" si="5"/>
        <v>n/a</v>
      </c>
      <c r="O56" s="100" t="str">
        <f t="shared" si="6"/>
        <v>n/a</v>
      </c>
      <c r="P56" s="101" t="str">
        <f t="shared" si="7"/>
        <v>n/a</v>
      </c>
    </row>
    <row r="57" spans="1:16" ht="14.65" customHeight="1" x14ac:dyDescent="0.2">
      <c r="A57" s="20">
        <v>9</v>
      </c>
      <c r="B57" s="16" t="s">
        <v>54</v>
      </c>
      <c r="C57" s="120">
        <f>+ROUND((SUM('corn yields Nonirrigated'!E54:I54)-MAX('corn yields Nonirrigated'!E54:I54)-MIN('corn yields Nonirrigated'!E54:I54))/3,2)</f>
        <v>174.69</v>
      </c>
      <c r="D57" s="123">
        <f>+ROUND((SUM('soybean yields Nonirrigated'!E54:I54)-MAX('soybean yields Nonirrigated'!E54:I54)-MIN('soybean yields Nonirrigated'!E54:I54))/3,2)</f>
        <v>55.84</v>
      </c>
      <c r="E57" s="10">
        <f t="shared" si="8"/>
        <v>847.24649999999997</v>
      </c>
      <c r="F57" s="11">
        <f t="shared" si="9"/>
        <v>620.94079999999997</v>
      </c>
      <c r="G57" s="10">
        <f t="shared" si="10"/>
        <v>728.63198999999997</v>
      </c>
      <c r="H57" s="11">
        <f t="shared" si="10"/>
        <v>534.00908800000002</v>
      </c>
      <c r="I57" s="10">
        <f t="shared" si="11"/>
        <v>84.724649999999997</v>
      </c>
      <c r="J57" s="11">
        <f t="shared" si="11"/>
        <v>62.094079999999998</v>
      </c>
      <c r="K57" s="102" t="s">
        <v>145</v>
      </c>
      <c r="L57" s="103" t="s">
        <v>145</v>
      </c>
      <c r="M57" s="102" t="str">
        <f t="shared" si="4"/>
        <v>n/a</v>
      </c>
      <c r="N57" s="103" t="str">
        <f t="shared" si="5"/>
        <v>n/a</v>
      </c>
      <c r="O57" s="102" t="str">
        <f t="shared" si="6"/>
        <v>n/a</v>
      </c>
      <c r="P57" s="103" t="str">
        <f t="shared" si="7"/>
        <v>n/a</v>
      </c>
    </row>
    <row r="58" spans="1:16" ht="14.65" customHeight="1" x14ac:dyDescent="0.2">
      <c r="A58" s="19">
        <v>6</v>
      </c>
      <c r="B58" s="15" t="s">
        <v>55</v>
      </c>
      <c r="C58" s="119">
        <f>+ROUND((SUM('corn yields Nonirrigated'!E55:I55)-MAX('corn yields Nonirrigated'!E55:I55)-MIN('corn yields Nonirrigated'!E55:I55))/3,2)</f>
        <v>212.14</v>
      </c>
      <c r="D58" s="122">
        <f>+ROUND((SUM('soybean yields Nonirrigated'!E55:I55)-MAX('soybean yields Nonirrigated'!E55:I55)-MIN('soybean yields Nonirrigated'!E55:I55))/3,2)</f>
        <v>60.96</v>
      </c>
      <c r="E58" s="8">
        <f t="shared" si="8"/>
        <v>1028.8789999999999</v>
      </c>
      <c r="F58" s="9">
        <f t="shared" si="9"/>
        <v>677.87519999999995</v>
      </c>
      <c r="G58" s="8">
        <f t="shared" si="10"/>
        <v>884.83593999999994</v>
      </c>
      <c r="H58" s="9">
        <f t="shared" si="10"/>
        <v>582.97267199999999</v>
      </c>
      <c r="I58" s="8">
        <f t="shared" si="11"/>
        <v>102.8879</v>
      </c>
      <c r="J58" s="9">
        <f t="shared" si="11"/>
        <v>67.787520000000001</v>
      </c>
      <c r="K58" s="100" t="s">
        <v>145</v>
      </c>
      <c r="L58" s="101" t="s">
        <v>145</v>
      </c>
      <c r="M58" s="100" t="str">
        <f t="shared" si="4"/>
        <v>n/a</v>
      </c>
      <c r="N58" s="101" t="str">
        <f t="shared" si="5"/>
        <v>n/a</v>
      </c>
      <c r="O58" s="100" t="str">
        <f t="shared" si="6"/>
        <v>n/a</v>
      </c>
      <c r="P58" s="101" t="str">
        <f t="shared" si="7"/>
        <v>n/a</v>
      </c>
    </row>
    <row r="59" spans="1:16" ht="14.65" customHeight="1" x14ac:dyDescent="0.2">
      <c r="A59" s="20">
        <v>6</v>
      </c>
      <c r="B59" s="16" t="s">
        <v>56</v>
      </c>
      <c r="C59" s="120">
        <f>+ROUND((SUM('corn yields Nonirrigated'!E56:I56)-MAX('corn yields Nonirrigated'!E56:I56)-MIN('corn yields Nonirrigated'!E56:I56))/3,2)</f>
        <v>223.37</v>
      </c>
      <c r="D59" s="123">
        <f>+ROUND((SUM('soybean yields Nonirrigated'!E56:I56)-MAX('soybean yields Nonirrigated'!E56:I56)-MIN('soybean yields Nonirrigated'!E56:I56))/3,2)</f>
        <v>63.64</v>
      </c>
      <c r="E59" s="10">
        <f t="shared" si="8"/>
        <v>1083.3444999999999</v>
      </c>
      <c r="F59" s="11">
        <f t="shared" si="9"/>
        <v>707.67679999999996</v>
      </c>
      <c r="G59" s="10">
        <f t="shared" si="10"/>
        <v>931.67626999999993</v>
      </c>
      <c r="H59" s="11">
        <f t="shared" si="10"/>
        <v>608.60204799999997</v>
      </c>
      <c r="I59" s="10">
        <f t="shared" si="11"/>
        <v>108.33445</v>
      </c>
      <c r="J59" s="11">
        <f t="shared" si="11"/>
        <v>70.767679999999999</v>
      </c>
      <c r="K59" s="102" t="s">
        <v>145</v>
      </c>
      <c r="L59" s="103" t="s">
        <v>145</v>
      </c>
      <c r="M59" s="102" t="str">
        <f t="shared" si="4"/>
        <v>n/a</v>
      </c>
      <c r="N59" s="103" t="str">
        <f t="shared" si="5"/>
        <v>n/a</v>
      </c>
      <c r="O59" s="102" t="str">
        <f t="shared" si="6"/>
        <v>n/a</v>
      </c>
      <c r="P59" s="103" t="str">
        <f t="shared" si="7"/>
        <v>n/a</v>
      </c>
    </row>
    <row r="60" spans="1:16" ht="14.65" customHeight="1" x14ac:dyDescent="0.2">
      <c r="A60" s="19">
        <v>9</v>
      </c>
      <c r="B60" s="15" t="s">
        <v>57</v>
      </c>
      <c r="C60" s="119">
        <f>+ROUND((SUM('corn yields Nonirrigated'!E57:I57)-MAX('corn yields Nonirrigated'!E57:I57)-MIN('corn yields Nonirrigated'!E57:I57))/3,2)</f>
        <v>190.68</v>
      </c>
      <c r="D60" s="122">
        <f>+ROUND((SUM('soybean yields Nonirrigated'!E57:I57)-MAX('soybean yields Nonirrigated'!E57:I57)-MIN('soybean yields Nonirrigated'!E57:I57))/3,2)</f>
        <v>59.24</v>
      </c>
      <c r="E60" s="8">
        <f t="shared" si="8"/>
        <v>924.798</v>
      </c>
      <c r="F60" s="9">
        <f t="shared" si="9"/>
        <v>658.74879999999996</v>
      </c>
      <c r="G60" s="8">
        <f t="shared" si="10"/>
        <v>795.32628</v>
      </c>
      <c r="H60" s="9">
        <f t="shared" si="10"/>
        <v>566.52396799999997</v>
      </c>
      <c r="I60" s="8">
        <f t="shared" si="11"/>
        <v>92.479800000000012</v>
      </c>
      <c r="J60" s="9">
        <f t="shared" si="11"/>
        <v>65.874880000000005</v>
      </c>
      <c r="K60" s="100" t="s">
        <v>145</v>
      </c>
      <c r="L60" s="101" t="s">
        <v>145</v>
      </c>
      <c r="M60" s="100" t="str">
        <f t="shared" si="4"/>
        <v>n/a</v>
      </c>
      <c r="N60" s="101" t="str">
        <f t="shared" si="5"/>
        <v>n/a</v>
      </c>
      <c r="O60" s="100" t="str">
        <f t="shared" si="6"/>
        <v>n/a</v>
      </c>
      <c r="P60" s="101" t="str">
        <f t="shared" si="7"/>
        <v>n/a</v>
      </c>
    </row>
    <row r="61" spans="1:16" ht="14.65" customHeight="1" x14ac:dyDescent="0.2">
      <c r="A61" s="20">
        <v>2</v>
      </c>
      <c r="B61" s="16" t="s">
        <v>58</v>
      </c>
      <c r="C61" s="120">
        <f>+ROUND((SUM('corn yields Nonirrigated'!E58:I58)-MAX('corn yields Nonirrigated'!E58:I58)-MIN('corn yields Nonirrigated'!E58:I58))/3,2)</f>
        <v>209.95</v>
      </c>
      <c r="D61" s="123">
        <f>+ROUND((SUM('soybean yields Nonirrigated'!E58:I58)-MAX('soybean yields Nonirrigated'!E58:I58)-MIN('soybean yields Nonirrigated'!E58:I58))/3,2)</f>
        <v>63.38</v>
      </c>
      <c r="E61" s="10">
        <f t="shared" si="8"/>
        <v>1018.2574999999998</v>
      </c>
      <c r="F61" s="11">
        <f t="shared" si="9"/>
        <v>704.78559999999993</v>
      </c>
      <c r="G61" s="10">
        <f t="shared" si="10"/>
        <v>875.7014499999998</v>
      </c>
      <c r="H61" s="11">
        <f t="shared" si="10"/>
        <v>606.11561599999993</v>
      </c>
      <c r="I61" s="10">
        <f t="shared" si="11"/>
        <v>101.82574999999999</v>
      </c>
      <c r="J61" s="11">
        <f t="shared" si="11"/>
        <v>70.478560000000002</v>
      </c>
      <c r="K61" s="102" t="s">
        <v>145</v>
      </c>
      <c r="L61" s="103" t="s">
        <v>145</v>
      </c>
      <c r="M61" s="102" t="str">
        <f t="shared" si="4"/>
        <v>n/a</v>
      </c>
      <c r="N61" s="103" t="str">
        <f t="shared" si="5"/>
        <v>n/a</v>
      </c>
      <c r="O61" s="102" t="str">
        <f t="shared" si="6"/>
        <v>n/a</v>
      </c>
      <c r="P61" s="103" t="str">
        <f t="shared" si="7"/>
        <v>n/a</v>
      </c>
    </row>
    <row r="62" spans="1:16" ht="14.65" customHeight="1" x14ac:dyDescent="0.2">
      <c r="A62" s="19">
        <v>9</v>
      </c>
      <c r="B62" s="15" t="s">
        <v>59</v>
      </c>
      <c r="C62" s="119">
        <f>+ROUND((SUM('corn yields Nonirrigated'!E59:I59)-MAX('corn yields Nonirrigated'!E59:I59)-MIN('corn yields Nonirrigated'!E59:I59))/3,2)</f>
        <v>184.5</v>
      </c>
      <c r="D62" s="122">
        <f>+ROUND((SUM('soybean yields Nonirrigated'!E59:I59)-MAX('soybean yields Nonirrigated'!E59:I59)-MIN('soybean yields Nonirrigated'!E59:I59))/3,2)</f>
        <v>59.95</v>
      </c>
      <c r="E62" s="8">
        <f t="shared" si="8"/>
        <v>894.82499999999993</v>
      </c>
      <c r="F62" s="9">
        <f t="shared" si="9"/>
        <v>666.64400000000001</v>
      </c>
      <c r="G62" s="8">
        <f t="shared" si="10"/>
        <v>769.54949999999997</v>
      </c>
      <c r="H62" s="9">
        <f t="shared" si="10"/>
        <v>573.31384000000003</v>
      </c>
      <c r="I62" s="8">
        <f t="shared" si="11"/>
        <v>89.482500000000002</v>
      </c>
      <c r="J62" s="9">
        <f t="shared" si="11"/>
        <v>66.664400000000001</v>
      </c>
      <c r="K62" s="100" t="s">
        <v>145</v>
      </c>
      <c r="L62" s="101" t="s">
        <v>145</v>
      </c>
      <c r="M62" s="100" t="str">
        <f t="shared" si="4"/>
        <v>n/a</v>
      </c>
      <c r="N62" s="101" t="str">
        <f t="shared" si="5"/>
        <v>n/a</v>
      </c>
      <c r="O62" s="100" t="str">
        <f t="shared" si="6"/>
        <v>n/a</v>
      </c>
      <c r="P62" s="101" t="str">
        <f t="shared" si="7"/>
        <v>n/a</v>
      </c>
    </row>
    <row r="63" spans="1:16" ht="14.65" customHeight="1" x14ac:dyDescent="0.2">
      <c r="A63" s="20">
        <v>6</v>
      </c>
      <c r="B63" s="16" t="s">
        <v>60</v>
      </c>
      <c r="C63" s="120">
        <f>+ROUND((SUM('corn yields Nonirrigated'!E60:I60)-MAX('corn yields Nonirrigated'!E60:I60)-MIN('corn yields Nonirrigated'!E60:I60))/3,2)</f>
        <v>221</v>
      </c>
      <c r="D63" s="123">
        <f>+ROUND((SUM('soybean yields Nonirrigated'!E60:I60)-MAX('soybean yields Nonirrigated'!E60:I60)-MIN('soybean yields Nonirrigated'!E60:I60))/3,2)</f>
        <v>62.02</v>
      </c>
      <c r="E63" s="10">
        <f t="shared" si="8"/>
        <v>1071.8499999999999</v>
      </c>
      <c r="F63" s="11">
        <f t="shared" si="9"/>
        <v>689.66239999999993</v>
      </c>
      <c r="G63" s="10">
        <f t="shared" si="10"/>
        <v>921.79099999999994</v>
      </c>
      <c r="H63" s="11">
        <f t="shared" si="10"/>
        <v>593.10966399999995</v>
      </c>
      <c r="I63" s="10">
        <f t="shared" si="11"/>
        <v>107.185</v>
      </c>
      <c r="J63" s="11">
        <f t="shared" si="11"/>
        <v>68.966239999999999</v>
      </c>
      <c r="K63" s="102" t="s">
        <v>145</v>
      </c>
      <c r="L63" s="103" t="s">
        <v>145</v>
      </c>
      <c r="M63" s="102" t="str">
        <f t="shared" si="4"/>
        <v>n/a</v>
      </c>
      <c r="N63" s="103" t="str">
        <f t="shared" si="5"/>
        <v>n/a</v>
      </c>
      <c r="O63" s="102" t="str">
        <f t="shared" si="6"/>
        <v>n/a</v>
      </c>
      <c r="P63" s="103" t="str">
        <f t="shared" si="7"/>
        <v>n/a</v>
      </c>
    </row>
    <row r="64" spans="1:16" ht="14.65" customHeight="1" x14ac:dyDescent="0.2">
      <c r="A64" s="19">
        <v>9</v>
      </c>
      <c r="B64" s="15" t="s">
        <v>61</v>
      </c>
      <c r="C64" s="119">
        <f>+ROUND((SUM('corn yields Nonirrigated'!E61:I61)-MAX('corn yields Nonirrigated'!E61:I61)-MIN('corn yields Nonirrigated'!E61:I61))/3,2)</f>
        <v>200.69</v>
      </c>
      <c r="D64" s="122">
        <f>+ROUND((SUM('soybean yields Nonirrigated'!E61:I61)-MAX('soybean yields Nonirrigated'!E61:I61)-MIN('soybean yields Nonirrigated'!E61:I61))/3,2)</f>
        <v>61.63</v>
      </c>
      <c r="E64" s="8">
        <f t="shared" si="8"/>
        <v>973.34649999999988</v>
      </c>
      <c r="F64" s="9">
        <f t="shared" si="9"/>
        <v>685.32560000000001</v>
      </c>
      <c r="G64" s="8">
        <f t="shared" si="10"/>
        <v>837.07798999999989</v>
      </c>
      <c r="H64" s="9">
        <f t="shared" si="10"/>
        <v>589.38001599999996</v>
      </c>
      <c r="I64" s="8">
        <f t="shared" si="11"/>
        <v>97.334649999999996</v>
      </c>
      <c r="J64" s="9">
        <f t="shared" si="11"/>
        <v>68.532560000000004</v>
      </c>
      <c r="K64" s="100" t="s">
        <v>145</v>
      </c>
      <c r="L64" s="101" t="s">
        <v>145</v>
      </c>
      <c r="M64" s="100" t="str">
        <f t="shared" si="4"/>
        <v>n/a</v>
      </c>
      <c r="N64" s="101" t="str">
        <f t="shared" si="5"/>
        <v>n/a</v>
      </c>
      <c r="O64" s="100" t="str">
        <f t="shared" si="6"/>
        <v>n/a</v>
      </c>
      <c r="P64" s="101" t="str">
        <f t="shared" si="7"/>
        <v>n/a</v>
      </c>
    </row>
    <row r="65" spans="1:17" ht="14.65" customHeight="1" x14ac:dyDescent="0.2">
      <c r="A65" s="20">
        <v>8</v>
      </c>
      <c r="B65" s="16" t="s">
        <v>62</v>
      </c>
      <c r="C65" s="120">
        <f>+ROUND((SUM('corn yields Nonirrigated'!E62:I62)-MAX('corn yields Nonirrigated'!E62:I62)-MIN('corn yields Nonirrigated'!E62:I62))/3,2)</f>
        <v>151.99</v>
      </c>
      <c r="D65" s="123">
        <f>+ROUND((SUM('soybean yields Nonirrigated'!E62:I62)-MAX('soybean yields Nonirrigated'!E62:I62)-MIN('soybean yields Nonirrigated'!E62:I62))/3,2)</f>
        <v>47.35</v>
      </c>
      <c r="E65" s="10">
        <f t="shared" si="8"/>
        <v>737.15149999999994</v>
      </c>
      <c r="F65" s="11">
        <f t="shared" si="9"/>
        <v>526.53199999999993</v>
      </c>
      <c r="G65" s="10">
        <f t="shared" si="10"/>
        <v>633.95029</v>
      </c>
      <c r="H65" s="11">
        <f t="shared" si="10"/>
        <v>452.81751999999994</v>
      </c>
      <c r="I65" s="10">
        <f t="shared" si="11"/>
        <v>73.715149999999994</v>
      </c>
      <c r="J65" s="11">
        <f t="shared" si="11"/>
        <v>52.653199999999998</v>
      </c>
      <c r="K65" s="102" t="s">
        <v>145</v>
      </c>
      <c r="L65" s="103" t="s">
        <v>145</v>
      </c>
      <c r="M65" s="102" t="str">
        <f t="shared" si="4"/>
        <v>n/a</v>
      </c>
      <c r="N65" s="103" t="str">
        <f t="shared" si="5"/>
        <v>n/a</v>
      </c>
      <c r="O65" s="102" t="str">
        <f t="shared" si="6"/>
        <v>n/a</v>
      </c>
      <c r="P65" s="103" t="str">
        <f t="shared" si="7"/>
        <v>n/a</v>
      </c>
    </row>
    <row r="66" spans="1:17" ht="14.65" customHeight="1" x14ac:dyDescent="0.2">
      <c r="A66" s="19">
        <v>1</v>
      </c>
      <c r="B66" s="15" t="s">
        <v>63</v>
      </c>
      <c r="C66" s="119">
        <f>+ROUND((SUM('corn yields Nonirrigated'!E63:I63)-MAX('corn yields Nonirrigated'!E63:I63)-MIN('corn yields Nonirrigated'!E63:I63))/3,2)</f>
        <v>214.26</v>
      </c>
      <c r="D66" s="122">
        <f>+ROUND((SUM('soybean yields Nonirrigated'!E63:I63)-MAX('soybean yields Nonirrigated'!E63:I63)-MIN('soybean yields Nonirrigated'!E63:I63))/3,2)</f>
        <v>65.02</v>
      </c>
      <c r="E66" s="8">
        <f t="shared" si="8"/>
        <v>1039.1609999999998</v>
      </c>
      <c r="F66" s="9">
        <f t="shared" si="9"/>
        <v>723.02239999999995</v>
      </c>
      <c r="G66" s="8">
        <f t="shared" si="10"/>
        <v>893.67845999999986</v>
      </c>
      <c r="H66" s="9">
        <f t="shared" si="10"/>
        <v>621.79926399999999</v>
      </c>
      <c r="I66" s="8">
        <f t="shared" si="11"/>
        <v>103.91609999999999</v>
      </c>
      <c r="J66" s="9">
        <f t="shared" si="11"/>
        <v>72.302239999999998</v>
      </c>
      <c r="K66" s="100" t="s">
        <v>145</v>
      </c>
      <c r="L66" s="101" t="s">
        <v>145</v>
      </c>
      <c r="M66" s="100" t="str">
        <f t="shared" si="4"/>
        <v>n/a</v>
      </c>
      <c r="N66" s="101" t="str">
        <f t="shared" si="5"/>
        <v>n/a</v>
      </c>
      <c r="O66" s="100" t="str">
        <f t="shared" si="6"/>
        <v>n/a</v>
      </c>
      <c r="P66" s="101" t="str">
        <f t="shared" si="7"/>
        <v>n/a</v>
      </c>
    </row>
    <row r="67" spans="1:17" ht="14.65" customHeight="1" x14ac:dyDescent="0.2">
      <c r="A67" s="20">
        <v>8</v>
      </c>
      <c r="B67" s="16" t="s">
        <v>64</v>
      </c>
      <c r="C67" s="120">
        <f>+ROUND((SUM('corn yields Nonirrigated'!E64:I64)-MAX('corn yields Nonirrigated'!E64:I64)-MIN('corn yields Nonirrigated'!E64:I64))/3,2)</f>
        <v>183.93</v>
      </c>
      <c r="D67" s="123">
        <f>+ROUND((SUM('soybean yields Nonirrigated'!E64:I64)-MAX('soybean yields Nonirrigated'!E64:I64)-MIN('soybean yields Nonirrigated'!E64:I64))/3,2)</f>
        <v>55.87</v>
      </c>
      <c r="E67" s="10">
        <f t="shared" si="8"/>
        <v>892.06049999999993</v>
      </c>
      <c r="F67" s="11">
        <f t="shared" si="9"/>
        <v>621.2743999999999</v>
      </c>
      <c r="G67" s="10">
        <f t="shared" si="10"/>
        <v>767.17202999999995</v>
      </c>
      <c r="H67" s="11">
        <f t="shared" si="10"/>
        <v>534.29598399999986</v>
      </c>
      <c r="I67" s="10">
        <f t="shared" si="11"/>
        <v>89.206050000000005</v>
      </c>
      <c r="J67" s="11">
        <f t="shared" si="11"/>
        <v>62.127439999999993</v>
      </c>
      <c r="K67" s="102" t="s">
        <v>145</v>
      </c>
      <c r="L67" s="103" t="s">
        <v>145</v>
      </c>
      <c r="M67" s="102" t="str">
        <f t="shared" si="4"/>
        <v>n/a</v>
      </c>
      <c r="N67" s="103" t="str">
        <f t="shared" si="5"/>
        <v>n/a</v>
      </c>
      <c r="O67" s="102" t="str">
        <f t="shared" si="6"/>
        <v>n/a</v>
      </c>
      <c r="P67" s="103" t="str">
        <f t="shared" si="7"/>
        <v>n/a</v>
      </c>
    </row>
    <row r="68" spans="1:17" ht="14.65" customHeight="1" x14ac:dyDescent="0.2">
      <c r="A68" s="19">
        <v>9</v>
      </c>
      <c r="B68" s="15" t="s">
        <v>65</v>
      </c>
      <c r="C68" s="119">
        <f>+ROUND((SUM('corn yields Nonirrigated'!E65:I65)-MAX('corn yields Nonirrigated'!E65:I65)-MIN('corn yields Nonirrigated'!E65:I65))/3,2)</f>
        <v>205.84</v>
      </c>
      <c r="D68" s="122">
        <f>+ROUND((SUM('soybean yields Nonirrigated'!E65:I65)-MAX('soybean yields Nonirrigated'!E65:I65)-MIN('soybean yields Nonirrigated'!E65:I65))/3,2)</f>
        <v>63.05</v>
      </c>
      <c r="E68" s="8">
        <f t="shared" si="8"/>
        <v>998.32399999999996</v>
      </c>
      <c r="F68" s="9">
        <f t="shared" si="9"/>
        <v>701.11599999999987</v>
      </c>
      <c r="G68" s="8">
        <f t="shared" si="10"/>
        <v>858.55863999999997</v>
      </c>
      <c r="H68" s="9">
        <f t="shared" si="10"/>
        <v>602.95975999999985</v>
      </c>
      <c r="I68" s="8">
        <f t="shared" si="11"/>
        <v>99.832400000000007</v>
      </c>
      <c r="J68" s="9">
        <f t="shared" si="11"/>
        <v>70.111599999999996</v>
      </c>
      <c r="K68" s="100" t="s">
        <v>145</v>
      </c>
      <c r="L68" s="101" t="s">
        <v>145</v>
      </c>
      <c r="M68" s="100" t="str">
        <f t="shared" si="4"/>
        <v>n/a</v>
      </c>
      <c r="N68" s="101" t="str">
        <f t="shared" si="5"/>
        <v>n/a</v>
      </c>
      <c r="O68" s="100" t="str">
        <f t="shared" si="6"/>
        <v>n/a</v>
      </c>
      <c r="P68" s="101" t="str">
        <f t="shared" si="7"/>
        <v>n/a</v>
      </c>
    </row>
    <row r="69" spans="1:17" ht="14.65" customHeight="1" x14ac:dyDescent="0.2">
      <c r="A69" s="20">
        <v>8</v>
      </c>
      <c r="B69" s="16" t="s">
        <v>66</v>
      </c>
      <c r="C69" s="120">
        <f>+ROUND((SUM('corn yields Nonirrigated'!E66:I66)-MAX('corn yields Nonirrigated'!E66:I66)-MIN('corn yields Nonirrigated'!E66:I66))/3,2)</f>
        <v>192.06</v>
      </c>
      <c r="D69" s="123">
        <f>+ROUND((SUM('soybean yields Nonirrigated'!E66:I66)-MAX('soybean yields Nonirrigated'!E66:I66)-MIN('soybean yields Nonirrigated'!E66:I66))/3,2)</f>
        <v>57.27</v>
      </c>
      <c r="E69" s="10">
        <f t="shared" si="8"/>
        <v>931.49099999999999</v>
      </c>
      <c r="F69" s="11">
        <f t="shared" si="9"/>
        <v>636.8424</v>
      </c>
      <c r="G69" s="10">
        <f t="shared" si="10"/>
        <v>801.08226000000002</v>
      </c>
      <c r="H69" s="11">
        <f t="shared" si="10"/>
        <v>547.68446399999993</v>
      </c>
      <c r="I69" s="10">
        <f t="shared" si="11"/>
        <v>93.149100000000004</v>
      </c>
      <c r="J69" s="11">
        <f t="shared" si="11"/>
        <v>63.684240000000003</v>
      </c>
      <c r="K69" s="102" t="s">
        <v>145</v>
      </c>
      <c r="L69" s="103" t="s">
        <v>145</v>
      </c>
      <c r="M69" s="102" t="str">
        <f t="shared" si="4"/>
        <v>n/a</v>
      </c>
      <c r="N69" s="103" t="str">
        <f t="shared" si="5"/>
        <v>n/a</v>
      </c>
      <c r="O69" s="102" t="str">
        <f t="shared" si="6"/>
        <v>n/a</v>
      </c>
      <c r="P69" s="103" t="str">
        <f t="shared" si="7"/>
        <v>n/a</v>
      </c>
    </row>
    <row r="70" spans="1:17" ht="14.65" customHeight="1" x14ac:dyDescent="0.2">
      <c r="A70" s="19">
        <v>5</v>
      </c>
      <c r="B70" s="15" t="s">
        <v>67</v>
      </c>
      <c r="C70" s="119">
        <f>+ROUND((SUM('corn yields Nonirrigated'!E67:I67)-MAX('corn yields Nonirrigated'!E67:I67)-MIN('corn yields Nonirrigated'!E67:I67))/3,2)</f>
        <v>234.82</v>
      </c>
      <c r="D70" s="122">
        <f>+ROUND((SUM('soybean yields Nonirrigated'!E67:I67)-MAX('soybean yields Nonirrigated'!E67:I67)-MIN('soybean yields Nonirrigated'!E67:I67))/3,2)</f>
        <v>66.400000000000006</v>
      </c>
      <c r="E70" s="8">
        <f t="shared" si="8"/>
        <v>1138.877</v>
      </c>
      <c r="F70" s="9">
        <f t="shared" si="9"/>
        <v>738.36800000000005</v>
      </c>
      <c r="G70" s="8">
        <f t="shared" si="10"/>
        <v>979.43421999999998</v>
      </c>
      <c r="H70" s="9">
        <f t="shared" si="10"/>
        <v>634.99648000000002</v>
      </c>
      <c r="I70" s="8">
        <f t="shared" si="11"/>
        <v>113.8877</v>
      </c>
      <c r="J70" s="9">
        <f t="shared" si="11"/>
        <v>73.836800000000011</v>
      </c>
      <c r="K70" s="100" t="s">
        <v>145</v>
      </c>
      <c r="L70" s="101" t="s">
        <v>145</v>
      </c>
      <c r="M70" s="100" t="str">
        <f t="shared" si="4"/>
        <v>n/a</v>
      </c>
      <c r="N70" s="101" t="str">
        <f t="shared" si="5"/>
        <v>n/a</v>
      </c>
      <c r="O70" s="100" t="str">
        <f t="shared" si="6"/>
        <v>n/a</v>
      </c>
      <c r="P70" s="101" t="str">
        <f t="shared" si="7"/>
        <v>n/a</v>
      </c>
    </row>
    <row r="71" spans="1:17" ht="14.65" customHeight="1" x14ac:dyDescent="0.2">
      <c r="A71" s="20">
        <v>7</v>
      </c>
      <c r="B71" s="16" t="s">
        <v>68</v>
      </c>
      <c r="C71" s="120">
        <f>+ROUND((SUM('corn yields Nonirrigated'!E68:I68)-MAX('corn yields Nonirrigated'!E68:I68)-MIN('corn yields Nonirrigated'!E68:I68))/3,2)</f>
        <v>214.04</v>
      </c>
      <c r="D71" s="123">
        <f>+ROUND((SUM('soybean yields Nonirrigated'!E68:I68)-MAX('soybean yields Nonirrigated'!E68:I68)-MIN('soybean yields Nonirrigated'!E68:I68))/3,2)</f>
        <v>57.49</v>
      </c>
      <c r="E71" s="10">
        <f t="shared" ref="E71:E106" si="12">C71*$S$3</f>
        <v>1038.0939999999998</v>
      </c>
      <c r="F71" s="11">
        <f t="shared" ref="F71:F106" si="13">D71*$T$3</f>
        <v>639.28879999999992</v>
      </c>
      <c r="G71" s="10">
        <f t="shared" ref="G71:H106" si="14">E71*0.86</f>
        <v>892.7608399999998</v>
      </c>
      <c r="H71" s="11">
        <f t="shared" si="14"/>
        <v>549.78836799999988</v>
      </c>
      <c r="I71" s="10">
        <f t="shared" ref="I71:J106" si="15">E71*0.1</f>
        <v>103.80939999999998</v>
      </c>
      <c r="J71" s="11">
        <f t="shared" si="15"/>
        <v>63.928879999999992</v>
      </c>
      <c r="K71" s="102" t="s">
        <v>145</v>
      </c>
      <c r="L71" s="103" t="s">
        <v>145</v>
      </c>
      <c r="M71" s="102" t="str">
        <f t="shared" si="4"/>
        <v>n/a</v>
      </c>
      <c r="N71" s="103" t="str">
        <f t="shared" si="5"/>
        <v>n/a</v>
      </c>
      <c r="O71" s="102" t="str">
        <f t="shared" si="6"/>
        <v>n/a</v>
      </c>
      <c r="P71" s="103" t="str">
        <f t="shared" si="7"/>
        <v>n/a</v>
      </c>
      <c r="Q71" s="81"/>
    </row>
    <row r="72" spans="1:17" ht="14.65" customHeight="1" x14ac:dyDescent="0.2">
      <c r="A72" s="19">
        <v>2</v>
      </c>
      <c r="B72" s="15" t="s">
        <v>69</v>
      </c>
      <c r="C72" s="119">
        <f>+ROUND((SUM('corn yields Nonirrigated'!E69:I69)-MAX('corn yields Nonirrigated'!E69:I69)-MIN('corn yields Nonirrigated'!E69:I69))/3,2)</f>
        <v>218.93</v>
      </c>
      <c r="D72" s="122">
        <f>+ROUND((SUM('soybean yields Nonirrigated'!E69:I69)-MAX('soybean yields Nonirrigated'!E69:I69)-MIN('soybean yields Nonirrigated'!E69:I69))/3,2)</f>
        <v>62.8</v>
      </c>
      <c r="E72" s="8">
        <f t="shared" si="12"/>
        <v>1061.8105</v>
      </c>
      <c r="F72" s="9">
        <f t="shared" si="13"/>
        <v>698.3359999999999</v>
      </c>
      <c r="G72" s="8">
        <f t="shared" si="14"/>
        <v>913.15703000000008</v>
      </c>
      <c r="H72" s="9">
        <f t="shared" si="14"/>
        <v>600.56895999999995</v>
      </c>
      <c r="I72" s="8">
        <f t="shared" si="15"/>
        <v>106.18105000000001</v>
      </c>
      <c r="J72" s="9">
        <f t="shared" si="15"/>
        <v>69.83359999999999</v>
      </c>
      <c r="K72" s="100" t="s">
        <v>145</v>
      </c>
      <c r="L72" s="101" t="s">
        <v>145</v>
      </c>
      <c r="M72" s="100" t="str">
        <f t="shared" ref="M72:M106" si="16">IF(K72="n/a","n/a",IFERROR(K72*$S$4,""))</f>
        <v>n/a</v>
      </c>
      <c r="N72" s="101" t="str">
        <f t="shared" ref="N72:N106" si="17">IF(L72="n/a","n/a",IFERROR(L72*$T$4,""))</f>
        <v>n/a</v>
      </c>
      <c r="O72" s="100" t="str">
        <f t="shared" ref="O72:O106" si="18">IF(K72="n/a","n/a",(IF((M72-G72)&lt;0,IF(-(M72-G72)&lt;I72,-(M72-G72)*$S$5,I72*$S$5),0))*$S$6)</f>
        <v>n/a</v>
      </c>
      <c r="P72" s="101" t="str">
        <f t="shared" ref="P72:P106" si="19">IF(L72="n/a","n/a",(IF((N72-H72)&lt;0,IF(-(N72-H72)&lt;J72,-(N72-H72)*$S$5,J72*$S$5),0))*$S$6)</f>
        <v>n/a</v>
      </c>
    </row>
    <row r="73" spans="1:17" ht="14.65" customHeight="1" x14ac:dyDescent="0.2">
      <c r="A73" s="20">
        <v>4</v>
      </c>
      <c r="B73" s="16" t="s">
        <v>70</v>
      </c>
      <c r="C73" s="120">
        <f>+ROUND((SUM('corn yields Nonirrigated'!E70:I70)-MAX('corn yields Nonirrigated'!E70:I70)-MIN('corn yields Nonirrigated'!E70:I70))/3,2)</f>
        <v>216.66</v>
      </c>
      <c r="D73" s="123">
        <f>+ROUND((SUM('soybean yields Nonirrigated'!E70:I70)-MAX('soybean yields Nonirrigated'!E70:I70)-MIN('soybean yields Nonirrigated'!E70:I70))/3,2)</f>
        <v>58.07</v>
      </c>
      <c r="E73" s="10">
        <f t="shared" si="12"/>
        <v>1050.8009999999999</v>
      </c>
      <c r="F73" s="11">
        <f t="shared" si="13"/>
        <v>645.73839999999996</v>
      </c>
      <c r="G73" s="10">
        <f t="shared" si="14"/>
        <v>903.68885999999998</v>
      </c>
      <c r="H73" s="11">
        <f t="shared" si="14"/>
        <v>555.33502399999998</v>
      </c>
      <c r="I73" s="10">
        <f t="shared" si="15"/>
        <v>105.0801</v>
      </c>
      <c r="J73" s="11">
        <f t="shared" si="15"/>
        <v>64.573840000000004</v>
      </c>
      <c r="K73" s="102" t="s">
        <v>145</v>
      </c>
      <c r="L73" s="103" t="s">
        <v>145</v>
      </c>
      <c r="M73" s="102" t="str">
        <f t="shared" si="16"/>
        <v>n/a</v>
      </c>
      <c r="N73" s="103" t="str">
        <f t="shared" si="17"/>
        <v>n/a</v>
      </c>
      <c r="O73" s="102" t="str">
        <f t="shared" si="18"/>
        <v>n/a</v>
      </c>
      <c r="P73" s="103" t="str">
        <f t="shared" si="19"/>
        <v>n/a</v>
      </c>
    </row>
    <row r="74" spans="1:17" ht="14.65" customHeight="1" x14ac:dyDescent="0.2">
      <c r="A74" s="19">
        <v>8</v>
      </c>
      <c r="B74" s="15" t="s">
        <v>71</v>
      </c>
      <c r="C74" s="119">
        <f>+ROUND((SUM('corn yields Nonirrigated'!E71:I71)-MAX('corn yields Nonirrigated'!E71:I71)-MIN('corn yields Nonirrigated'!E71:I71))/3,2)</f>
        <v>159.56</v>
      </c>
      <c r="D74" s="122">
        <f>+ROUND((SUM('soybean yields Nonirrigated'!E71:I71)-MAX('soybean yields Nonirrigated'!E71:I71)-MIN('soybean yields Nonirrigated'!E71:I71))/3,2)</f>
        <v>50.68</v>
      </c>
      <c r="E74" s="8">
        <f t="shared" si="12"/>
        <v>773.86599999999999</v>
      </c>
      <c r="F74" s="9">
        <f t="shared" si="13"/>
        <v>563.5616</v>
      </c>
      <c r="G74" s="8">
        <f t="shared" si="14"/>
        <v>665.52476000000001</v>
      </c>
      <c r="H74" s="9">
        <f t="shared" si="14"/>
        <v>484.66297600000001</v>
      </c>
      <c r="I74" s="8">
        <f t="shared" si="15"/>
        <v>77.386600000000001</v>
      </c>
      <c r="J74" s="9">
        <f t="shared" si="15"/>
        <v>56.356160000000003</v>
      </c>
      <c r="K74" s="100" t="s">
        <v>145</v>
      </c>
      <c r="L74" s="101" t="s">
        <v>145</v>
      </c>
      <c r="M74" s="100" t="str">
        <f t="shared" si="16"/>
        <v>n/a</v>
      </c>
      <c r="N74" s="101" t="str">
        <f t="shared" si="17"/>
        <v>n/a</v>
      </c>
      <c r="O74" s="100" t="str">
        <f t="shared" si="18"/>
        <v>n/a</v>
      </c>
      <c r="P74" s="101" t="str">
        <f t="shared" si="19"/>
        <v>n/a</v>
      </c>
      <c r="Q74" s="42"/>
    </row>
    <row r="75" spans="1:17" ht="14.65" customHeight="1" x14ac:dyDescent="0.2">
      <c r="A75" s="20">
        <v>7</v>
      </c>
      <c r="B75" s="16" t="s">
        <v>72</v>
      </c>
      <c r="C75" s="120">
        <f>+ROUND((SUM('corn yields Nonirrigated'!E72:I72)-MAX('corn yields Nonirrigated'!E72:I72)-MIN('corn yields Nonirrigated'!E72:I72))/3,2)</f>
        <v>212.35</v>
      </c>
      <c r="D75" s="123">
        <f>+ROUND((SUM('soybean yields Nonirrigated'!E72:I72)-MAX('soybean yields Nonirrigated'!E72:I72)-MIN('soybean yields Nonirrigated'!E72:I72))/3,2)</f>
        <v>59.14</v>
      </c>
      <c r="E75" s="10">
        <f t="shared" si="12"/>
        <v>1029.8974999999998</v>
      </c>
      <c r="F75" s="11">
        <f t="shared" si="13"/>
        <v>657.63679999999999</v>
      </c>
      <c r="G75" s="10">
        <f t="shared" si="14"/>
        <v>885.7118499999998</v>
      </c>
      <c r="H75" s="11">
        <f t="shared" si="14"/>
        <v>565.56764799999996</v>
      </c>
      <c r="I75" s="10">
        <f t="shared" si="15"/>
        <v>102.98974999999999</v>
      </c>
      <c r="J75" s="11">
        <f t="shared" si="15"/>
        <v>65.763680000000008</v>
      </c>
      <c r="K75" s="102" t="s">
        <v>145</v>
      </c>
      <c r="L75" s="103" t="s">
        <v>145</v>
      </c>
      <c r="M75" s="102" t="str">
        <f t="shared" si="16"/>
        <v>n/a</v>
      </c>
      <c r="N75" s="103" t="str">
        <f t="shared" si="17"/>
        <v>n/a</v>
      </c>
      <c r="O75" s="102" t="str">
        <f t="shared" si="18"/>
        <v>n/a</v>
      </c>
      <c r="P75" s="103" t="str">
        <f t="shared" si="19"/>
        <v>n/a</v>
      </c>
    </row>
    <row r="76" spans="1:17" ht="14.65" customHeight="1" x14ac:dyDescent="0.2">
      <c r="A76" s="19">
        <v>6</v>
      </c>
      <c r="B76" s="15" t="s">
        <v>73</v>
      </c>
      <c r="C76" s="119">
        <f>+ROUND((SUM('corn yields Nonirrigated'!E73:I73)-MAX('corn yields Nonirrigated'!E73:I73)-MIN('corn yields Nonirrigated'!E73:I73))/3,2)</f>
        <v>213.19</v>
      </c>
      <c r="D76" s="122">
        <f>+ROUND((SUM('soybean yields Nonirrigated'!E73:I73)-MAX('soybean yields Nonirrigated'!E73:I73)-MIN('soybean yields Nonirrigated'!E73:I73))/3,2)</f>
        <v>64.02</v>
      </c>
      <c r="E76" s="8">
        <f t="shared" si="12"/>
        <v>1033.9714999999999</v>
      </c>
      <c r="F76" s="9">
        <f t="shared" si="13"/>
        <v>711.90239999999994</v>
      </c>
      <c r="G76" s="8">
        <f t="shared" si="14"/>
        <v>889.21548999999993</v>
      </c>
      <c r="H76" s="9">
        <f t="shared" si="14"/>
        <v>612.23606399999994</v>
      </c>
      <c r="I76" s="8">
        <f t="shared" si="15"/>
        <v>103.39715</v>
      </c>
      <c r="J76" s="9">
        <f t="shared" si="15"/>
        <v>71.190240000000003</v>
      </c>
      <c r="K76" s="100" t="s">
        <v>145</v>
      </c>
      <c r="L76" s="101" t="s">
        <v>145</v>
      </c>
      <c r="M76" s="100" t="str">
        <f t="shared" si="16"/>
        <v>n/a</v>
      </c>
      <c r="N76" s="101" t="str">
        <f t="shared" si="17"/>
        <v>n/a</v>
      </c>
      <c r="O76" s="100" t="str">
        <f t="shared" si="18"/>
        <v>n/a</v>
      </c>
      <c r="P76" s="101" t="str">
        <f t="shared" si="19"/>
        <v>n/a</v>
      </c>
    </row>
    <row r="77" spans="1:17" ht="14.65" customHeight="1" x14ac:dyDescent="0.2">
      <c r="A77" s="20">
        <v>1</v>
      </c>
      <c r="B77" s="16" t="s">
        <v>74</v>
      </c>
      <c r="C77" s="120">
        <f>+ROUND((SUM('corn yields Nonirrigated'!E74:I74)-MAX('corn yields Nonirrigated'!E74:I74)-MIN('corn yields Nonirrigated'!E74:I74))/3,2)</f>
        <v>214.65</v>
      </c>
      <c r="D77" s="123">
        <f>+ROUND((SUM('soybean yields Nonirrigated'!E74:I74)-MAX('soybean yields Nonirrigated'!E74:I74)-MIN('soybean yields Nonirrigated'!E74:I74))/3,2)</f>
        <v>63.45</v>
      </c>
      <c r="E77" s="10">
        <f t="shared" si="12"/>
        <v>1041.0525</v>
      </c>
      <c r="F77" s="11">
        <f t="shared" si="13"/>
        <v>705.56399999999996</v>
      </c>
      <c r="G77" s="10">
        <f t="shared" si="14"/>
        <v>895.30515000000003</v>
      </c>
      <c r="H77" s="11">
        <f t="shared" si="14"/>
        <v>606.78503999999998</v>
      </c>
      <c r="I77" s="10">
        <f t="shared" si="15"/>
        <v>104.10525000000001</v>
      </c>
      <c r="J77" s="11">
        <f t="shared" si="15"/>
        <v>70.556399999999996</v>
      </c>
      <c r="K77" s="102" t="s">
        <v>145</v>
      </c>
      <c r="L77" s="103" t="s">
        <v>145</v>
      </c>
      <c r="M77" s="102" t="str">
        <f t="shared" si="16"/>
        <v>n/a</v>
      </c>
      <c r="N77" s="103" t="str">
        <f t="shared" si="17"/>
        <v>n/a</v>
      </c>
      <c r="O77" s="102" t="str">
        <f t="shared" si="18"/>
        <v>n/a</v>
      </c>
      <c r="P77" s="103" t="str">
        <f t="shared" si="19"/>
        <v>n/a</v>
      </c>
    </row>
    <row r="78" spans="1:17" ht="14.65" customHeight="1" x14ac:dyDescent="0.2">
      <c r="A78" s="19">
        <v>1</v>
      </c>
      <c r="B78" s="15" t="s">
        <v>75</v>
      </c>
      <c r="C78" s="119">
        <f>+ROUND((SUM('corn yields Nonirrigated'!E75:I75)-MAX('corn yields Nonirrigated'!E75:I75)-MIN('corn yields Nonirrigated'!E75:I75))/3,2)</f>
        <v>207.28</v>
      </c>
      <c r="D78" s="122">
        <f>+ROUND((SUM('soybean yields Nonirrigated'!E75:I75)-MAX('soybean yields Nonirrigated'!E75:I75)-MIN('soybean yields Nonirrigated'!E75:I75))/3,2)</f>
        <v>59.48</v>
      </c>
      <c r="E78" s="8">
        <f t="shared" si="12"/>
        <v>1005.3079999999999</v>
      </c>
      <c r="F78" s="9">
        <f t="shared" si="13"/>
        <v>661.41759999999988</v>
      </c>
      <c r="G78" s="8">
        <f t="shared" si="14"/>
        <v>864.5648799999999</v>
      </c>
      <c r="H78" s="9">
        <f t="shared" si="14"/>
        <v>568.81913599999984</v>
      </c>
      <c r="I78" s="8">
        <f t="shared" si="15"/>
        <v>100.5308</v>
      </c>
      <c r="J78" s="9">
        <f t="shared" si="15"/>
        <v>66.141759999999991</v>
      </c>
      <c r="K78" s="100" t="s">
        <v>145</v>
      </c>
      <c r="L78" s="101" t="s">
        <v>145</v>
      </c>
      <c r="M78" s="100" t="str">
        <f t="shared" si="16"/>
        <v>n/a</v>
      </c>
      <c r="N78" s="101" t="str">
        <f t="shared" si="17"/>
        <v>n/a</v>
      </c>
      <c r="O78" s="100" t="str">
        <f t="shared" si="18"/>
        <v>n/a</v>
      </c>
      <c r="P78" s="101" t="str">
        <f t="shared" si="19"/>
        <v>n/a</v>
      </c>
    </row>
    <row r="79" spans="1:17" ht="14.65" customHeight="1" x14ac:dyDescent="0.2">
      <c r="A79" s="20">
        <v>7</v>
      </c>
      <c r="B79" s="16" t="s">
        <v>76</v>
      </c>
      <c r="C79" s="120">
        <f>+ROUND((SUM('corn yields Nonirrigated'!E76:I76)-MAX('corn yields Nonirrigated'!E76:I76)-MIN('corn yields Nonirrigated'!E76:I76))/3,2)</f>
        <v>203.65</v>
      </c>
      <c r="D79" s="123">
        <f>+ROUND((SUM('soybean yields Nonirrigated'!E76:I76)-MAX('soybean yields Nonirrigated'!E76:I76)-MIN('soybean yields Nonirrigated'!E76:I76))/3,2)</f>
        <v>57.43</v>
      </c>
      <c r="E79" s="10">
        <f t="shared" si="12"/>
        <v>987.70249999999999</v>
      </c>
      <c r="F79" s="11">
        <f t="shared" si="13"/>
        <v>638.62159999999994</v>
      </c>
      <c r="G79" s="10">
        <f t="shared" si="14"/>
        <v>849.42414999999994</v>
      </c>
      <c r="H79" s="11">
        <f t="shared" si="14"/>
        <v>549.21457599999997</v>
      </c>
      <c r="I79" s="10">
        <f t="shared" si="15"/>
        <v>98.770250000000004</v>
      </c>
      <c r="J79" s="11">
        <f t="shared" si="15"/>
        <v>63.862159999999996</v>
      </c>
      <c r="K79" s="102" t="s">
        <v>145</v>
      </c>
      <c r="L79" s="103" t="s">
        <v>145</v>
      </c>
      <c r="M79" s="102" t="str">
        <f t="shared" si="16"/>
        <v>n/a</v>
      </c>
      <c r="N79" s="103" t="str">
        <f t="shared" si="17"/>
        <v>n/a</v>
      </c>
      <c r="O79" s="102" t="str">
        <f t="shared" si="18"/>
        <v>n/a</v>
      </c>
      <c r="P79" s="103" t="str">
        <f t="shared" si="19"/>
        <v>n/a</v>
      </c>
    </row>
    <row r="80" spans="1:17" ht="14.65" customHeight="1" x14ac:dyDescent="0.2">
      <c r="A80" s="19">
        <v>1</v>
      </c>
      <c r="B80" s="15" t="s">
        <v>77</v>
      </c>
      <c r="C80" s="119">
        <f>+ROUND((SUM('corn yields Nonirrigated'!E77:I77)-MAX('corn yields Nonirrigated'!E77:I77)-MIN('corn yields Nonirrigated'!E77:I77))/3,2)</f>
        <v>201.21</v>
      </c>
      <c r="D80" s="122">
        <f>+ROUND((SUM('soybean yields Nonirrigated'!E77:I77)-MAX('soybean yields Nonirrigated'!E77:I77)-MIN('soybean yields Nonirrigated'!E77:I77))/3,2)</f>
        <v>58.06</v>
      </c>
      <c r="E80" s="8">
        <f t="shared" si="12"/>
        <v>975.86849999999993</v>
      </c>
      <c r="F80" s="9">
        <f t="shared" si="13"/>
        <v>645.62720000000002</v>
      </c>
      <c r="G80" s="8">
        <f t="shared" si="14"/>
        <v>839.24690999999996</v>
      </c>
      <c r="H80" s="9">
        <f t="shared" si="14"/>
        <v>555.23939199999995</v>
      </c>
      <c r="I80" s="8">
        <f t="shared" si="15"/>
        <v>97.586849999999998</v>
      </c>
      <c r="J80" s="9">
        <f t="shared" si="15"/>
        <v>64.562719999999999</v>
      </c>
      <c r="K80" s="100" t="s">
        <v>145</v>
      </c>
      <c r="L80" s="101" t="s">
        <v>145</v>
      </c>
      <c r="M80" s="100" t="str">
        <f t="shared" si="16"/>
        <v>n/a</v>
      </c>
      <c r="N80" s="101" t="str">
        <f t="shared" si="17"/>
        <v>n/a</v>
      </c>
      <c r="O80" s="100" t="str">
        <f t="shared" si="18"/>
        <v>n/a</v>
      </c>
      <c r="P80" s="101" t="str">
        <f t="shared" si="19"/>
        <v>n/a</v>
      </c>
    </row>
    <row r="81" spans="1:18" ht="14.65" customHeight="1" x14ac:dyDescent="0.2">
      <c r="A81" s="20">
        <v>1</v>
      </c>
      <c r="B81" s="16" t="s">
        <v>78</v>
      </c>
      <c r="C81" s="120">
        <f>+ROUND((SUM('corn yields Nonirrigated'!E78:I78)-MAX('corn yields Nonirrigated'!E78:I78)-MIN('corn yields Nonirrigated'!E78:I78))/3,2)</f>
        <v>215.69</v>
      </c>
      <c r="D81" s="123">
        <f>+ROUND((SUM('soybean yields Nonirrigated'!E78:I78)-MAX('soybean yields Nonirrigated'!E78:I78)-MIN('soybean yields Nonirrigated'!E78:I78))/3,2)</f>
        <v>62.41</v>
      </c>
      <c r="E81" s="10">
        <f t="shared" si="12"/>
        <v>1046.0964999999999</v>
      </c>
      <c r="F81" s="11">
        <f t="shared" si="13"/>
        <v>693.99919999999986</v>
      </c>
      <c r="G81" s="10">
        <f t="shared" si="14"/>
        <v>899.64298999999983</v>
      </c>
      <c r="H81" s="11">
        <f t="shared" si="14"/>
        <v>596.83931199999984</v>
      </c>
      <c r="I81" s="10">
        <f t="shared" si="15"/>
        <v>104.60964999999999</v>
      </c>
      <c r="J81" s="11">
        <f t="shared" si="15"/>
        <v>69.399919999999995</v>
      </c>
      <c r="K81" s="102" t="s">
        <v>145</v>
      </c>
      <c r="L81" s="103" t="s">
        <v>145</v>
      </c>
      <c r="M81" s="102" t="str">
        <f t="shared" si="16"/>
        <v>n/a</v>
      </c>
      <c r="N81" s="103" t="str">
        <f t="shared" si="17"/>
        <v>n/a</v>
      </c>
      <c r="O81" s="102" t="str">
        <f t="shared" si="18"/>
        <v>n/a</v>
      </c>
      <c r="P81" s="103" t="str">
        <f t="shared" si="19"/>
        <v>n/a</v>
      </c>
    </row>
    <row r="82" spans="1:18" ht="14.65" customHeight="1" x14ac:dyDescent="0.2">
      <c r="A82" s="19">
        <v>1</v>
      </c>
      <c r="B82" s="15" t="s">
        <v>79</v>
      </c>
      <c r="C82" s="119">
        <f>+ROUND((SUM('corn yields Nonirrigated'!E79:I79)-MAX('corn yields Nonirrigated'!E79:I79)-MIN('corn yields Nonirrigated'!E79:I79))/3,2)</f>
        <v>203.37</v>
      </c>
      <c r="D82" s="122">
        <f>+ROUND((SUM('soybean yields Nonirrigated'!E79:I79)-MAX('soybean yields Nonirrigated'!E79:I79)-MIN('soybean yields Nonirrigated'!E79:I79))/3,2)</f>
        <v>58.28</v>
      </c>
      <c r="E82" s="8">
        <f t="shared" si="12"/>
        <v>986.34449999999993</v>
      </c>
      <c r="F82" s="9">
        <f t="shared" si="13"/>
        <v>648.07359999999994</v>
      </c>
      <c r="G82" s="8">
        <f t="shared" si="14"/>
        <v>848.25626999999997</v>
      </c>
      <c r="H82" s="9">
        <f t="shared" si="14"/>
        <v>557.3432959999999</v>
      </c>
      <c r="I82" s="8">
        <f t="shared" si="15"/>
        <v>98.634450000000001</v>
      </c>
      <c r="J82" s="9">
        <f t="shared" si="15"/>
        <v>64.807360000000003</v>
      </c>
      <c r="K82" s="100" t="s">
        <v>145</v>
      </c>
      <c r="L82" s="101" t="s">
        <v>145</v>
      </c>
      <c r="M82" s="100" t="str">
        <f t="shared" si="16"/>
        <v>n/a</v>
      </c>
      <c r="N82" s="101" t="str">
        <f t="shared" si="17"/>
        <v>n/a</v>
      </c>
      <c r="O82" s="100" t="str">
        <f t="shared" si="18"/>
        <v>n/a</v>
      </c>
      <c r="P82" s="101" t="str">
        <f t="shared" si="19"/>
        <v>n/a</v>
      </c>
    </row>
    <row r="83" spans="1:18" ht="14.65" customHeight="1" x14ac:dyDescent="0.2">
      <c r="A83" s="20">
        <v>5</v>
      </c>
      <c r="B83" s="16" t="s">
        <v>80</v>
      </c>
      <c r="C83" s="120">
        <f>+ROUND((SUM('corn yields Nonirrigated'!E80:I80)-MAX('corn yields Nonirrigated'!E80:I80)-MIN('corn yields Nonirrigated'!E80:I80))/3,2)</f>
        <v>202.95</v>
      </c>
      <c r="D83" s="123">
        <f>+ROUND((SUM('soybean yields Nonirrigated'!E80:I80)-MAX('soybean yields Nonirrigated'!E80:I80)-MIN('soybean yields Nonirrigated'!E80:I80))/3,2)</f>
        <v>57.85</v>
      </c>
      <c r="E83" s="10">
        <f t="shared" si="12"/>
        <v>984.30749999999989</v>
      </c>
      <c r="F83" s="11">
        <f t="shared" si="13"/>
        <v>643.29199999999992</v>
      </c>
      <c r="G83" s="10">
        <f t="shared" si="14"/>
        <v>846.50444999999991</v>
      </c>
      <c r="H83" s="11">
        <f t="shared" si="14"/>
        <v>553.23111999999992</v>
      </c>
      <c r="I83" s="10">
        <f t="shared" si="15"/>
        <v>98.430749999999989</v>
      </c>
      <c r="J83" s="11">
        <f t="shared" si="15"/>
        <v>64.3292</v>
      </c>
      <c r="K83" s="102" t="s">
        <v>145</v>
      </c>
      <c r="L83" s="103" t="s">
        <v>145</v>
      </c>
      <c r="M83" s="102" t="str">
        <f t="shared" si="16"/>
        <v>n/a</v>
      </c>
      <c r="N83" s="103" t="str">
        <f t="shared" si="17"/>
        <v>n/a</v>
      </c>
      <c r="O83" s="102" t="str">
        <f t="shared" si="18"/>
        <v>n/a</v>
      </c>
      <c r="P83" s="103" t="str">
        <f t="shared" si="19"/>
        <v>n/a</v>
      </c>
    </row>
    <row r="84" spans="1:18" ht="14.65" customHeight="1" x14ac:dyDescent="0.2">
      <c r="A84" s="19">
        <v>7</v>
      </c>
      <c r="B84" s="15" t="s">
        <v>128</v>
      </c>
      <c r="C84" s="119">
        <f>+ROUND((SUM('corn yields Nonirrigated'!E81:I81)-MAX('corn yields Nonirrigated'!E81:I81)-MIN('corn yields Nonirrigated'!E81:I81))/3,2)</f>
        <v>209.57</v>
      </c>
      <c r="D84" s="122">
        <f>+ROUND((SUM('soybean yields Nonirrigated'!E81:I81)-MAX('soybean yields Nonirrigated'!E81:I81)-MIN('soybean yields Nonirrigated'!E81:I81))/3,2)</f>
        <v>58.25</v>
      </c>
      <c r="E84" s="8">
        <f t="shared" si="12"/>
        <v>1016.4144999999999</v>
      </c>
      <c r="F84" s="9">
        <f t="shared" si="13"/>
        <v>647.74</v>
      </c>
      <c r="G84" s="8">
        <f t="shared" si="14"/>
        <v>874.11646999999982</v>
      </c>
      <c r="H84" s="9">
        <f t="shared" si="14"/>
        <v>557.05640000000005</v>
      </c>
      <c r="I84" s="8">
        <f t="shared" si="15"/>
        <v>101.64144999999999</v>
      </c>
      <c r="J84" s="9">
        <f t="shared" si="15"/>
        <v>64.774000000000001</v>
      </c>
      <c r="K84" s="100" t="s">
        <v>145</v>
      </c>
      <c r="L84" s="101" t="s">
        <v>145</v>
      </c>
      <c r="M84" s="100" t="str">
        <f t="shared" si="16"/>
        <v>n/a</v>
      </c>
      <c r="N84" s="101" t="str">
        <f t="shared" si="17"/>
        <v>n/a</v>
      </c>
      <c r="O84" s="100" t="str">
        <f t="shared" si="18"/>
        <v>n/a</v>
      </c>
      <c r="P84" s="101" t="str">
        <f t="shared" si="19"/>
        <v>n/a</v>
      </c>
    </row>
    <row r="85" spans="1:18" ht="14.65" customHeight="1" x14ac:dyDescent="0.2">
      <c r="A85" s="20">
        <v>7</v>
      </c>
      <c r="B85" s="16" t="s">
        <v>129</v>
      </c>
      <c r="C85" s="120">
        <f>+ROUND((SUM('corn yields Nonirrigated'!E82:I82)-MAX('corn yields Nonirrigated'!E82:I82)-MIN('corn yields Nonirrigated'!E82:I82))/3,2)</f>
        <v>209.57</v>
      </c>
      <c r="D85" s="123">
        <f>+ROUND((SUM('soybean yields Nonirrigated'!E82:I82)-MAX('soybean yields Nonirrigated'!E82:I82)-MIN('soybean yields Nonirrigated'!E82:I82))/3,2)</f>
        <v>58.25</v>
      </c>
      <c r="E85" s="10">
        <f t="shared" si="12"/>
        <v>1016.4144999999999</v>
      </c>
      <c r="F85" s="11">
        <f t="shared" si="13"/>
        <v>647.74</v>
      </c>
      <c r="G85" s="10">
        <f t="shared" si="14"/>
        <v>874.11646999999982</v>
      </c>
      <c r="H85" s="11">
        <f t="shared" si="14"/>
        <v>557.05640000000005</v>
      </c>
      <c r="I85" s="10">
        <f t="shared" si="15"/>
        <v>101.64144999999999</v>
      </c>
      <c r="J85" s="11">
        <f t="shared" si="15"/>
        <v>64.774000000000001</v>
      </c>
      <c r="K85" s="102" t="s">
        <v>145</v>
      </c>
      <c r="L85" s="103" t="s">
        <v>145</v>
      </c>
      <c r="M85" s="102" t="str">
        <f t="shared" si="16"/>
        <v>n/a</v>
      </c>
      <c r="N85" s="103" t="str">
        <f t="shared" si="17"/>
        <v>n/a</v>
      </c>
      <c r="O85" s="102" t="str">
        <f t="shared" si="18"/>
        <v>n/a</v>
      </c>
      <c r="P85" s="103" t="str">
        <f t="shared" si="19"/>
        <v>n/a</v>
      </c>
      <c r="Q85" s="35" t="s">
        <v>140</v>
      </c>
      <c r="R85" s="213" t="s">
        <v>307</v>
      </c>
    </row>
    <row r="86" spans="1:18" ht="14.65" customHeight="1" x14ac:dyDescent="0.2">
      <c r="A86" s="19">
        <v>5</v>
      </c>
      <c r="B86" s="15" t="s">
        <v>81</v>
      </c>
      <c r="C86" s="119">
        <f>+ROUND((SUM('corn yields Nonirrigated'!E83:I83)-MAX('corn yields Nonirrigated'!E83:I83)-MIN('corn yields Nonirrigated'!E83:I83))/3,2)</f>
        <v>210.33</v>
      </c>
      <c r="D86" s="122">
        <f>+ROUND((SUM('soybean yields Nonirrigated'!E83:I83)-MAX('soybean yields Nonirrigated'!E83:I83)-MIN('soybean yields Nonirrigated'!E83:I83))/3,2)</f>
        <v>60.43</v>
      </c>
      <c r="E86" s="8">
        <f t="shared" si="12"/>
        <v>1020.1005</v>
      </c>
      <c r="F86" s="9">
        <f t="shared" si="13"/>
        <v>671.98159999999996</v>
      </c>
      <c r="G86" s="8">
        <f t="shared" si="14"/>
        <v>877.28643</v>
      </c>
      <c r="H86" s="9">
        <f t="shared" si="14"/>
        <v>577.90417600000001</v>
      </c>
      <c r="I86" s="8">
        <f t="shared" si="15"/>
        <v>102.01005000000001</v>
      </c>
      <c r="J86" s="9">
        <f t="shared" si="15"/>
        <v>67.198160000000001</v>
      </c>
      <c r="K86" s="100" t="s">
        <v>145</v>
      </c>
      <c r="L86" s="101" t="s">
        <v>145</v>
      </c>
      <c r="M86" s="100" t="str">
        <f t="shared" si="16"/>
        <v>n/a</v>
      </c>
      <c r="N86" s="101" t="str">
        <f t="shared" si="17"/>
        <v>n/a</v>
      </c>
      <c r="O86" s="100" t="str">
        <f t="shared" si="18"/>
        <v>n/a</v>
      </c>
      <c r="P86" s="101" t="str">
        <f t="shared" si="19"/>
        <v>n/a</v>
      </c>
    </row>
    <row r="87" spans="1:18" ht="14.65" customHeight="1" x14ac:dyDescent="0.2">
      <c r="A87" s="20">
        <v>8</v>
      </c>
      <c r="B87" s="16" t="s">
        <v>82</v>
      </c>
      <c r="C87" s="120">
        <f>+ROUND((SUM('corn yields Nonirrigated'!E84:I84)-MAX('corn yields Nonirrigated'!E84:I84)-MIN('corn yields Nonirrigated'!E84:I84))/3,2)</f>
        <v>162.08000000000001</v>
      </c>
      <c r="D87" s="123">
        <f>+ROUND((SUM('soybean yields Nonirrigated'!E84:I84)-MAX('soybean yields Nonirrigated'!E84:I84)-MIN('soybean yields Nonirrigated'!E84:I84))/3,2)</f>
        <v>49.11</v>
      </c>
      <c r="E87" s="10">
        <f t="shared" si="12"/>
        <v>786.08799999999997</v>
      </c>
      <c r="F87" s="11">
        <f t="shared" si="13"/>
        <v>546.1031999999999</v>
      </c>
      <c r="G87" s="10">
        <f t="shared" si="14"/>
        <v>676.03567999999996</v>
      </c>
      <c r="H87" s="11">
        <f t="shared" si="14"/>
        <v>469.64875199999989</v>
      </c>
      <c r="I87" s="10">
        <f t="shared" si="15"/>
        <v>78.608800000000002</v>
      </c>
      <c r="J87" s="11">
        <f t="shared" si="15"/>
        <v>54.610319999999994</v>
      </c>
      <c r="K87" s="102" t="s">
        <v>145</v>
      </c>
      <c r="L87" s="103" t="s">
        <v>145</v>
      </c>
      <c r="M87" s="102" t="str">
        <f t="shared" si="16"/>
        <v>n/a</v>
      </c>
      <c r="N87" s="103" t="str">
        <f t="shared" si="17"/>
        <v>n/a</v>
      </c>
      <c r="O87" s="102" t="str">
        <f t="shared" si="18"/>
        <v>n/a</v>
      </c>
      <c r="P87" s="103" t="str">
        <f t="shared" si="19"/>
        <v>n/a</v>
      </c>
    </row>
    <row r="88" spans="1:18" ht="14.65" customHeight="1" x14ac:dyDescent="0.2">
      <c r="A88" s="19">
        <v>4</v>
      </c>
      <c r="B88" s="15" t="s">
        <v>83</v>
      </c>
      <c r="C88" s="119">
        <f>+ROUND((SUM('corn yields Nonirrigated'!E85:I85)-MAX('corn yields Nonirrigated'!E85:I85)-MIN('corn yields Nonirrigated'!E85:I85))/3,2)</f>
        <v>237.09</v>
      </c>
      <c r="D88" s="122">
        <f>+ROUND((SUM('soybean yields Nonirrigated'!E85:I85)-MAX('soybean yields Nonirrigated'!E85:I85)-MIN('soybean yields Nonirrigated'!E85:I85))/3,2)</f>
        <v>65.260000000000005</v>
      </c>
      <c r="E88" s="8">
        <f t="shared" si="12"/>
        <v>1149.8864999999998</v>
      </c>
      <c r="F88" s="9">
        <f t="shared" si="13"/>
        <v>725.69119999999998</v>
      </c>
      <c r="G88" s="8">
        <f t="shared" si="14"/>
        <v>988.90238999999985</v>
      </c>
      <c r="H88" s="9">
        <f t="shared" si="14"/>
        <v>624.09443199999998</v>
      </c>
      <c r="I88" s="8">
        <f t="shared" si="15"/>
        <v>114.98864999999999</v>
      </c>
      <c r="J88" s="9">
        <f t="shared" si="15"/>
        <v>72.569119999999998</v>
      </c>
      <c r="K88" s="100" t="s">
        <v>145</v>
      </c>
      <c r="L88" s="101" t="s">
        <v>145</v>
      </c>
      <c r="M88" s="100" t="str">
        <f t="shared" si="16"/>
        <v>n/a</v>
      </c>
      <c r="N88" s="101" t="str">
        <f t="shared" si="17"/>
        <v>n/a</v>
      </c>
      <c r="O88" s="100" t="str">
        <f t="shared" si="18"/>
        <v>n/a</v>
      </c>
      <c r="P88" s="101" t="str">
        <f t="shared" si="19"/>
        <v>n/a</v>
      </c>
    </row>
    <row r="89" spans="1:18" ht="14.65" customHeight="1" x14ac:dyDescent="0.2">
      <c r="A89" s="20">
        <v>6</v>
      </c>
      <c r="B89" s="16" t="s">
        <v>84</v>
      </c>
      <c r="C89" s="120">
        <f>+ROUND((SUM('corn yields Nonirrigated'!E86:I86)-MAX('corn yields Nonirrigated'!E86:I86)-MIN('corn yields Nonirrigated'!E86:I86))/3,2)</f>
        <v>225.41</v>
      </c>
      <c r="D89" s="123">
        <f>+ROUND((SUM('soybean yields Nonirrigated'!E86:I86)-MAX('soybean yields Nonirrigated'!E86:I86)-MIN('soybean yields Nonirrigated'!E86:I86))/3,2)</f>
        <v>69.19</v>
      </c>
      <c r="E89" s="10">
        <f t="shared" si="12"/>
        <v>1093.2384999999999</v>
      </c>
      <c r="F89" s="11">
        <f t="shared" si="13"/>
        <v>769.39279999999997</v>
      </c>
      <c r="G89" s="10">
        <f t="shared" si="14"/>
        <v>940.1851099999999</v>
      </c>
      <c r="H89" s="11">
        <f t="shared" si="14"/>
        <v>661.67780799999991</v>
      </c>
      <c r="I89" s="10">
        <f t="shared" si="15"/>
        <v>109.32384999999999</v>
      </c>
      <c r="J89" s="11">
        <f t="shared" si="15"/>
        <v>76.939279999999997</v>
      </c>
      <c r="K89" s="102" t="s">
        <v>145</v>
      </c>
      <c r="L89" s="103" t="s">
        <v>145</v>
      </c>
      <c r="M89" s="102" t="str">
        <f t="shared" si="16"/>
        <v>n/a</v>
      </c>
      <c r="N89" s="103" t="str">
        <f t="shared" si="17"/>
        <v>n/a</v>
      </c>
      <c r="O89" s="102" t="str">
        <f t="shared" si="18"/>
        <v>n/a</v>
      </c>
      <c r="P89" s="103" t="str">
        <f t="shared" si="19"/>
        <v>n/a</v>
      </c>
    </row>
    <row r="90" spans="1:18" ht="14.65" customHeight="1" x14ac:dyDescent="0.2">
      <c r="A90" s="19">
        <v>4</v>
      </c>
      <c r="B90" s="15" t="s">
        <v>85</v>
      </c>
      <c r="C90" s="119">
        <f>+ROUND((SUM('corn yields Nonirrigated'!E87:I87)-MAX('corn yields Nonirrigated'!E87:I87)-MIN('corn yields Nonirrigated'!E87:I87))/3,2)</f>
        <v>225.77</v>
      </c>
      <c r="D90" s="122">
        <f>+ROUND((SUM('soybean yields Nonirrigated'!E87:I87)-MAX('soybean yields Nonirrigated'!E87:I87)-MIN('soybean yields Nonirrigated'!E87:I87))/3,2)</f>
        <v>64.09</v>
      </c>
      <c r="E90" s="8">
        <f t="shared" si="12"/>
        <v>1094.9845</v>
      </c>
      <c r="F90" s="9">
        <f t="shared" si="13"/>
        <v>712.68079999999998</v>
      </c>
      <c r="G90" s="8">
        <f t="shared" si="14"/>
        <v>941.68667000000005</v>
      </c>
      <c r="H90" s="9">
        <f t="shared" si="14"/>
        <v>612.90548799999999</v>
      </c>
      <c r="I90" s="8">
        <f t="shared" si="15"/>
        <v>109.49845000000001</v>
      </c>
      <c r="J90" s="9">
        <f t="shared" si="15"/>
        <v>71.268079999999998</v>
      </c>
      <c r="K90" s="100" t="s">
        <v>145</v>
      </c>
      <c r="L90" s="101" t="s">
        <v>145</v>
      </c>
      <c r="M90" s="100" t="str">
        <f t="shared" si="16"/>
        <v>n/a</v>
      </c>
      <c r="N90" s="101" t="str">
        <f t="shared" si="17"/>
        <v>n/a</v>
      </c>
      <c r="O90" s="100" t="str">
        <f t="shared" si="18"/>
        <v>n/a</v>
      </c>
      <c r="P90" s="101" t="str">
        <f t="shared" si="19"/>
        <v>n/a</v>
      </c>
    </row>
    <row r="91" spans="1:18" ht="14.65" customHeight="1" x14ac:dyDescent="0.2">
      <c r="A91" s="20">
        <v>1</v>
      </c>
      <c r="B91" s="16" t="s">
        <v>86</v>
      </c>
      <c r="C91" s="120">
        <f>+ROUND((SUM('corn yields Nonirrigated'!E88:I88)-MAX('corn yields Nonirrigated'!E88:I88)-MIN('corn yields Nonirrigated'!E88:I88))/3,2)</f>
        <v>222.81</v>
      </c>
      <c r="D91" s="123">
        <f>+ROUND((SUM('soybean yields Nonirrigated'!E88:I88)-MAX('soybean yields Nonirrigated'!E88:I88)-MIN('soybean yields Nonirrigated'!E88:I88))/3,2)</f>
        <v>68.150000000000006</v>
      </c>
      <c r="E91" s="10">
        <f t="shared" si="12"/>
        <v>1080.6285</v>
      </c>
      <c r="F91" s="11">
        <f t="shared" si="13"/>
        <v>757.82799999999997</v>
      </c>
      <c r="G91" s="10">
        <f t="shared" si="14"/>
        <v>929.34050999999999</v>
      </c>
      <c r="H91" s="11">
        <f t="shared" si="14"/>
        <v>651.73208</v>
      </c>
      <c r="I91" s="10">
        <f t="shared" si="15"/>
        <v>108.06285000000001</v>
      </c>
      <c r="J91" s="11">
        <f t="shared" si="15"/>
        <v>75.782799999999995</v>
      </c>
      <c r="K91" s="102" t="s">
        <v>145</v>
      </c>
      <c r="L91" s="103" t="s">
        <v>145</v>
      </c>
      <c r="M91" s="102" t="str">
        <f t="shared" si="16"/>
        <v>n/a</v>
      </c>
      <c r="N91" s="103" t="str">
        <f t="shared" si="17"/>
        <v>n/a</v>
      </c>
      <c r="O91" s="102" t="str">
        <f t="shared" si="18"/>
        <v>n/a</v>
      </c>
      <c r="P91" s="103" t="str">
        <f t="shared" si="19"/>
        <v>n/a</v>
      </c>
    </row>
    <row r="92" spans="1:18" ht="14.65" customHeight="1" x14ac:dyDescent="0.2">
      <c r="A92" s="19">
        <v>5</v>
      </c>
      <c r="B92" s="15" t="s">
        <v>87</v>
      </c>
      <c r="C92" s="119">
        <f>+ROUND((SUM('corn yields Nonirrigated'!E89:I89)-MAX('corn yields Nonirrigated'!E89:I89)-MIN('corn yields Nonirrigated'!E89:I89))/3,2)</f>
        <v>215.92</v>
      </c>
      <c r="D92" s="122">
        <f>+ROUND((SUM('soybean yields Nonirrigated'!E89:I89)-MAX('soybean yields Nonirrigated'!E89:I89)-MIN('soybean yields Nonirrigated'!E89:I89))/3,2)</f>
        <v>60.04</v>
      </c>
      <c r="E92" s="8">
        <f t="shared" si="12"/>
        <v>1047.2119999999998</v>
      </c>
      <c r="F92" s="9">
        <f t="shared" si="13"/>
        <v>667.64479999999992</v>
      </c>
      <c r="G92" s="8">
        <f t="shared" si="14"/>
        <v>900.60231999999974</v>
      </c>
      <c r="H92" s="9">
        <f t="shared" si="14"/>
        <v>574.1745279999999</v>
      </c>
      <c r="I92" s="8">
        <f t="shared" si="15"/>
        <v>104.72119999999998</v>
      </c>
      <c r="J92" s="9">
        <f t="shared" si="15"/>
        <v>66.764479999999992</v>
      </c>
      <c r="K92" s="100" t="s">
        <v>145</v>
      </c>
      <c r="L92" s="104" t="s">
        <v>145</v>
      </c>
      <c r="M92" s="100" t="str">
        <f t="shared" si="16"/>
        <v>n/a</v>
      </c>
      <c r="N92" s="104" t="str">
        <f t="shared" si="17"/>
        <v>n/a</v>
      </c>
      <c r="O92" s="100" t="str">
        <f t="shared" si="18"/>
        <v>n/a</v>
      </c>
      <c r="P92" s="104" t="str">
        <f t="shared" si="19"/>
        <v>n/a</v>
      </c>
      <c r="R92" s="81"/>
    </row>
    <row r="93" spans="1:18" ht="14.65" customHeight="1" x14ac:dyDescent="0.2">
      <c r="A93" s="20">
        <v>5</v>
      </c>
      <c r="B93" s="16" t="s">
        <v>88</v>
      </c>
      <c r="C93" s="120">
        <f>+ROUND((SUM('corn yields Nonirrigated'!E90:I90)-MAX('corn yields Nonirrigated'!E90:I90)-MIN('corn yields Nonirrigated'!E90:I90))/3,2)</f>
        <v>231.44</v>
      </c>
      <c r="D93" s="123">
        <f>+ROUND((SUM('soybean yields Nonirrigated'!E90:I90)-MAX('soybean yields Nonirrigated'!E90:I90)-MIN('soybean yields Nonirrigated'!E90:I90))/3,2)</f>
        <v>63.08</v>
      </c>
      <c r="E93" s="10">
        <f t="shared" si="12"/>
        <v>1122.4839999999999</v>
      </c>
      <c r="F93" s="11">
        <f t="shared" si="13"/>
        <v>701.44959999999992</v>
      </c>
      <c r="G93" s="10">
        <f t="shared" si="14"/>
        <v>965.33623999999998</v>
      </c>
      <c r="H93" s="11">
        <f t="shared" si="14"/>
        <v>603.24665599999992</v>
      </c>
      <c r="I93" s="10">
        <f t="shared" si="15"/>
        <v>112.2484</v>
      </c>
      <c r="J93" s="11">
        <f t="shared" si="15"/>
        <v>70.144959999999998</v>
      </c>
      <c r="K93" s="102" t="s">
        <v>145</v>
      </c>
      <c r="L93" s="103" t="s">
        <v>145</v>
      </c>
      <c r="M93" s="102" t="str">
        <f t="shared" si="16"/>
        <v>n/a</v>
      </c>
      <c r="N93" s="103" t="str">
        <f t="shared" si="17"/>
        <v>n/a</v>
      </c>
      <c r="O93" s="102" t="str">
        <f t="shared" si="18"/>
        <v>n/a</v>
      </c>
      <c r="P93" s="103" t="str">
        <f t="shared" si="19"/>
        <v>n/a</v>
      </c>
    </row>
    <row r="94" spans="1:18" ht="14.65" customHeight="1" x14ac:dyDescent="0.2">
      <c r="A94" s="19">
        <v>7</v>
      </c>
      <c r="B94" s="15" t="s">
        <v>89</v>
      </c>
      <c r="C94" s="119">
        <f>+ROUND((SUM('corn yields Nonirrigated'!E91:I91)-MAX('corn yields Nonirrigated'!E91:I91)-MIN('corn yields Nonirrigated'!E91:I91))/3,2)</f>
        <v>180.35</v>
      </c>
      <c r="D94" s="122">
        <f>+ROUND((SUM('soybean yields Nonirrigated'!E91:I91)-MAX('soybean yields Nonirrigated'!E91:I91)-MIN('soybean yields Nonirrigated'!E91:I91))/3,2)</f>
        <v>52.32</v>
      </c>
      <c r="E94" s="8">
        <f t="shared" si="12"/>
        <v>874.69749999999988</v>
      </c>
      <c r="F94" s="9">
        <f t="shared" si="13"/>
        <v>581.79840000000002</v>
      </c>
      <c r="G94" s="8">
        <f t="shared" si="14"/>
        <v>752.23984999999993</v>
      </c>
      <c r="H94" s="9">
        <f t="shared" si="14"/>
        <v>500.34662400000002</v>
      </c>
      <c r="I94" s="8">
        <f t="shared" si="15"/>
        <v>87.469749999999991</v>
      </c>
      <c r="J94" s="9">
        <f t="shared" si="15"/>
        <v>58.179840000000006</v>
      </c>
      <c r="K94" s="100" t="s">
        <v>145</v>
      </c>
      <c r="L94" s="101" t="s">
        <v>145</v>
      </c>
      <c r="M94" s="100" t="str">
        <f t="shared" si="16"/>
        <v>n/a</v>
      </c>
      <c r="N94" s="101" t="str">
        <f t="shared" si="17"/>
        <v>n/a</v>
      </c>
      <c r="O94" s="100" t="str">
        <f t="shared" si="18"/>
        <v>n/a</v>
      </c>
      <c r="P94" s="101" t="str">
        <f t="shared" si="19"/>
        <v>n/a</v>
      </c>
    </row>
    <row r="95" spans="1:18" ht="14.65" customHeight="1" x14ac:dyDescent="0.2">
      <c r="A95" s="20">
        <v>8</v>
      </c>
      <c r="B95" s="16" t="s">
        <v>90</v>
      </c>
      <c r="C95" s="120">
        <f>+ROUND((SUM('corn yields Nonirrigated'!E92:I92)-MAX('corn yields Nonirrigated'!E92:I92)-MIN('corn yields Nonirrigated'!E92:I92))/3,2)</f>
        <v>175.49</v>
      </c>
      <c r="D95" s="123">
        <f>+ROUND((SUM('soybean yields Nonirrigated'!E92:I92)-MAX('soybean yields Nonirrigated'!E92:I92)-MIN('soybean yields Nonirrigated'!E92:I92))/3,2)</f>
        <v>55.13</v>
      </c>
      <c r="E95" s="10">
        <f t="shared" si="12"/>
        <v>851.12649999999996</v>
      </c>
      <c r="F95" s="11">
        <f t="shared" si="13"/>
        <v>613.04560000000004</v>
      </c>
      <c r="G95" s="10">
        <f t="shared" si="14"/>
        <v>731.96879000000001</v>
      </c>
      <c r="H95" s="11">
        <f t="shared" si="14"/>
        <v>527.21921600000007</v>
      </c>
      <c r="I95" s="10">
        <f t="shared" si="15"/>
        <v>85.112650000000002</v>
      </c>
      <c r="J95" s="11">
        <f t="shared" si="15"/>
        <v>61.304560000000009</v>
      </c>
      <c r="K95" s="102" t="s">
        <v>145</v>
      </c>
      <c r="L95" s="103" t="s">
        <v>145</v>
      </c>
      <c r="M95" s="102" t="str">
        <f t="shared" si="16"/>
        <v>n/a</v>
      </c>
      <c r="N95" s="103" t="str">
        <f t="shared" si="17"/>
        <v>n/a</v>
      </c>
      <c r="O95" s="102" t="str">
        <f t="shared" si="18"/>
        <v>n/a</v>
      </c>
      <c r="P95" s="103" t="str">
        <f t="shared" si="19"/>
        <v>n/a</v>
      </c>
    </row>
    <row r="96" spans="1:18" ht="14.65" customHeight="1" x14ac:dyDescent="0.2">
      <c r="A96" s="19">
        <v>9</v>
      </c>
      <c r="B96" s="15" t="s">
        <v>91</v>
      </c>
      <c r="C96" s="119">
        <f>+ROUND((SUM('corn yields Nonirrigated'!E93:I93)-MAX('corn yields Nonirrigated'!E93:I93)-MIN('corn yields Nonirrigated'!E93:I93))/3,2)</f>
        <v>163.92</v>
      </c>
      <c r="D96" s="122">
        <f>+ROUND((SUM('soybean yields Nonirrigated'!E93:I93)-MAX('soybean yields Nonirrigated'!E93:I93)-MIN('soybean yields Nonirrigated'!E93:I93))/3,2)</f>
        <v>50.75</v>
      </c>
      <c r="E96" s="8">
        <f t="shared" si="12"/>
        <v>795.01199999999983</v>
      </c>
      <c r="F96" s="9">
        <f t="shared" si="13"/>
        <v>564.33999999999992</v>
      </c>
      <c r="G96" s="8">
        <f t="shared" si="14"/>
        <v>683.7103199999998</v>
      </c>
      <c r="H96" s="9">
        <f t="shared" si="14"/>
        <v>485.33239999999995</v>
      </c>
      <c r="I96" s="8">
        <f t="shared" si="15"/>
        <v>79.501199999999983</v>
      </c>
      <c r="J96" s="9">
        <f t="shared" si="15"/>
        <v>56.433999999999997</v>
      </c>
      <c r="K96" s="100" t="s">
        <v>145</v>
      </c>
      <c r="L96" s="101" t="s">
        <v>145</v>
      </c>
      <c r="M96" s="100" t="str">
        <f t="shared" si="16"/>
        <v>n/a</v>
      </c>
      <c r="N96" s="101" t="str">
        <f t="shared" si="17"/>
        <v>n/a</v>
      </c>
      <c r="O96" s="100" t="str">
        <f t="shared" si="18"/>
        <v>n/a</v>
      </c>
      <c r="P96" s="101" t="str">
        <f t="shared" si="19"/>
        <v>n/a</v>
      </c>
    </row>
    <row r="97" spans="1:18" ht="14.65" customHeight="1" x14ac:dyDescent="0.2">
      <c r="A97" s="20">
        <v>9</v>
      </c>
      <c r="B97" s="16" t="s">
        <v>92</v>
      </c>
      <c r="C97" s="120">
        <f>+ROUND((SUM('corn yields Nonirrigated'!E94:I94)-MAX('corn yields Nonirrigated'!E94:I94)-MIN('corn yields Nonirrigated'!E94:I94))/3,2)</f>
        <v>184.25</v>
      </c>
      <c r="D97" s="123">
        <f>+ROUND((SUM('soybean yields Nonirrigated'!E94:I94)-MAX('soybean yields Nonirrigated'!E94:I94)-MIN('soybean yields Nonirrigated'!E94:I94))/3,2)</f>
        <v>58.12</v>
      </c>
      <c r="E97" s="10">
        <f t="shared" si="12"/>
        <v>893.61249999999995</v>
      </c>
      <c r="F97" s="11">
        <f t="shared" si="13"/>
        <v>646.29439999999988</v>
      </c>
      <c r="G97" s="10">
        <f t="shared" si="14"/>
        <v>768.5067499999999</v>
      </c>
      <c r="H97" s="11">
        <f t="shared" si="14"/>
        <v>555.81318399999986</v>
      </c>
      <c r="I97" s="10">
        <f t="shared" si="15"/>
        <v>89.361249999999998</v>
      </c>
      <c r="J97" s="11">
        <f t="shared" si="15"/>
        <v>64.629439999999988</v>
      </c>
      <c r="K97" s="102" t="s">
        <v>145</v>
      </c>
      <c r="L97" s="103" t="s">
        <v>145</v>
      </c>
      <c r="M97" s="102" t="str">
        <f t="shared" si="16"/>
        <v>n/a</v>
      </c>
      <c r="N97" s="103" t="str">
        <f t="shared" si="17"/>
        <v>n/a</v>
      </c>
      <c r="O97" s="102" t="str">
        <f t="shared" si="18"/>
        <v>n/a</v>
      </c>
      <c r="P97" s="103" t="str">
        <f t="shared" si="19"/>
        <v>n/a</v>
      </c>
      <c r="R97" s="46"/>
    </row>
    <row r="98" spans="1:18" ht="14.65" customHeight="1" x14ac:dyDescent="0.2">
      <c r="A98" s="19">
        <v>8</v>
      </c>
      <c r="B98" s="15" t="s">
        <v>93</v>
      </c>
      <c r="C98" s="119">
        <f>+ROUND((SUM('corn yields Nonirrigated'!E95:I95)-MAX('corn yields Nonirrigated'!E95:I95)-MIN('corn yields Nonirrigated'!E95:I95))/3,2)</f>
        <v>177.95</v>
      </c>
      <c r="D98" s="122">
        <f>+ROUND((SUM('soybean yields Nonirrigated'!E95:I95)-MAX('soybean yields Nonirrigated'!E95:I95)-MIN('soybean yields Nonirrigated'!E95:I95))/3,2)</f>
        <v>54.47</v>
      </c>
      <c r="E98" s="8">
        <f t="shared" si="12"/>
        <v>863.05749999999989</v>
      </c>
      <c r="F98" s="9">
        <f t="shared" si="13"/>
        <v>605.70639999999992</v>
      </c>
      <c r="G98" s="8">
        <f t="shared" si="14"/>
        <v>742.22944999999993</v>
      </c>
      <c r="H98" s="9">
        <f t="shared" si="14"/>
        <v>520.9075039999999</v>
      </c>
      <c r="I98" s="8">
        <f t="shared" si="15"/>
        <v>86.305749999999989</v>
      </c>
      <c r="J98" s="9">
        <f t="shared" si="15"/>
        <v>60.570639999999997</v>
      </c>
      <c r="K98" s="100" t="s">
        <v>145</v>
      </c>
      <c r="L98" s="101" t="s">
        <v>145</v>
      </c>
      <c r="M98" s="100" t="str">
        <f t="shared" si="16"/>
        <v>n/a</v>
      </c>
      <c r="N98" s="101" t="str">
        <f t="shared" si="17"/>
        <v>n/a</v>
      </c>
      <c r="O98" s="100" t="str">
        <f t="shared" si="18"/>
        <v>n/a</v>
      </c>
      <c r="P98" s="101" t="str">
        <f t="shared" si="19"/>
        <v>n/a</v>
      </c>
      <c r="R98" s="46"/>
    </row>
    <row r="99" spans="1:18" ht="14.65" customHeight="1" x14ac:dyDescent="0.2">
      <c r="A99" s="20">
        <v>9</v>
      </c>
      <c r="B99" s="16" t="s">
        <v>94</v>
      </c>
      <c r="C99" s="120">
        <f>+ROUND((SUM('corn yields Nonirrigated'!E96:I96)-MAX('corn yields Nonirrigated'!E96:I96)-MIN('corn yields Nonirrigated'!E96:I96))/3,2)</f>
        <v>203.35</v>
      </c>
      <c r="D99" s="123">
        <f>+ROUND((SUM('soybean yields Nonirrigated'!E96:I96)-MAX('soybean yields Nonirrigated'!E96:I96)-MIN('soybean yields Nonirrigated'!E96:I96))/3,2)</f>
        <v>62.86</v>
      </c>
      <c r="E99" s="10">
        <f t="shared" si="12"/>
        <v>986.24749999999995</v>
      </c>
      <c r="F99" s="11">
        <f t="shared" si="13"/>
        <v>699.00319999999999</v>
      </c>
      <c r="G99" s="10">
        <f t="shared" si="14"/>
        <v>848.17284999999993</v>
      </c>
      <c r="H99" s="11">
        <f t="shared" si="14"/>
        <v>601.14275199999997</v>
      </c>
      <c r="I99" s="10">
        <f t="shared" si="15"/>
        <v>98.624750000000006</v>
      </c>
      <c r="J99" s="11">
        <f t="shared" si="15"/>
        <v>69.900320000000008</v>
      </c>
      <c r="K99" s="102" t="s">
        <v>145</v>
      </c>
      <c r="L99" s="103" t="s">
        <v>145</v>
      </c>
      <c r="M99" s="102" t="str">
        <f t="shared" si="16"/>
        <v>n/a</v>
      </c>
      <c r="N99" s="103" t="str">
        <f t="shared" si="17"/>
        <v>n/a</v>
      </c>
      <c r="O99" s="102" t="str">
        <f t="shared" si="18"/>
        <v>n/a</v>
      </c>
      <c r="P99" s="103" t="str">
        <f t="shared" si="19"/>
        <v>n/a</v>
      </c>
    </row>
    <row r="100" spans="1:18" ht="14.65" customHeight="1" x14ac:dyDescent="0.2">
      <c r="A100" s="19">
        <v>8</v>
      </c>
      <c r="B100" s="15" t="s">
        <v>95</v>
      </c>
      <c r="C100" s="119">
        <f>+ROUND((SUM('corn yields Nonirrigated'!E97:I97)-MAX('corn yields Nonirrigated'!E97:I97)-MIN('corn yields Nonirrigated'!E97:I97))/3,2)</f>
        <v>172.14</v>
      </c>
      <c r="D100" s="122">
        <f>+ROUND((SUM('soybean yields Nonirrigated'!E97:I97)-MAX('soybean yields Nonirrigated'!E97:I97)-MIN('soybean yields Nonirrigated'!E97:I97))/3,2)</f>
        <v>49.25</v>
      </c>
      <c r="E100" s="8">
        <f t="shared" si="12"/>
        <v>834.87899999999991</v>
      </c>
      <c r="F100" s="9">
        <f t="shared" si="13"/>
        <v>547.66</v>
      </c>
      <c r="G100" s="8">
        <f t="shared" si="14"/>
        <v>717.99593999999991</v>
      </c>
      <c r="H100" s="9">
        <f t="shared" si="14"/>
        <v>470.98759999999999</v>
      </c>
      <c r="I100" s="8">
        <f t="shared" si="15"/>
        <v>83.487899999999996</v>
      </c>
      <c r="J100" s="9">
        <f t="shared" si="15"/>
        <v>54.765999999999998</v>
      </c>
      <c r="K100" s="100" t="s">
        <v>145</v>
      </c>
      <c r="L100" s="101" t="s">
        <v>145</v>
      </c>
      <c r="M100" s="100" t="str">
        <f t="shared" si="16"/>
        <v>n/a</v>
      </c>
      <c r="N100" s="101" t="str">
        <f t="shared" si="17"/>
        <v>n/a</v>
      </c>
      <c r="O100" s="100" t="str">
        <f t="shared" si="18"/>
        <v>n/a</v>
      </c>
      <c r="P100" s="101" t="str">
        <f t="shared" si="19"/>
        <v>n/a</v>
      </c>
    </row>
    <row r="101" spans="1:18" ht="14.65" customHeight="1" x14ac:dyDescent="0.2">
      <c r="A101" s="20">
        <v>5</v>
      </c>
      <c r="B101" s="16" t="s">
        <v>96</v>
      </c>
      <c r="C101" s="120">
        <f>+ROUND((SUM('corn yields Nonirrigated'!E98:I98)-MAX('corn yields Nonirrigated'!E98:I98)-MIN('corn yields Nonirrigated'!E98:I98))/3,2)</f>
        <v>207.99</v>
      </c>
      <c r="D101" s="123">
        <f>+ROUND((SUM('soybean yields Nonirrigated'!E98:I98)-MAX('soybean yields Nonirrigated'!E98:I98)-MIN('soybean yields Nonirrigated'!E98:I98))/3,2)</f>
        <v>57.14</v>
      </c>
      <c r="E101" s="10">
        <f t="shared" si="12"/>
        <v>1008.7515</v>
      </c>
      <c r="F101" s="11">
        <f t="shared" si="13"/>
        <v>635.39679999999998</v>
      </c>
      <c r="G101" s="10">
        <f t="shared" si="14"/>
        <v>867.5262899999999</v>
      </c>
      <c r="H101" s="11">
        <f t="shared" si="14"/>
        <v>546.44124799999997</v>
      </c>
      <c r="I101" s="10">
        <f t="shared" si="15"/>
        <v>100.87515</v>
      </c>
      <c r="J101" s="11">
        <f t="shared" si="15"/>
        <v>63.539680000000004</v>
      </c>
      <c r="K101" s="102" t="s">
        <v>145</v>
      </c>
      <c r="L101" s="103" t="s">
        <v>145</v>
      </c>
      <c r="M101" s="102" t="str">
        <f t="shared" si="16"/>
        <v>n/a</v>
      </c>
      <c r="N101" s="103" t="str">
        <f t="shared" si="17"/>
        <v>n/a</v>
      </c>
      <c r="O101" s="102" t="str">
        <f t="shared" si="18"/>
        <v>n/a</v>
      </c>
      <c r="P101" s="103" t="str">
        <f t="shared" si="19"/>
        <v>n/a</v>
      </c>
    </row>
    <row r="102" spans="1:18" ht="14.65" customHeight="1" x14ac:dyDescent="0.2">
      <c r="A102" s="19">
        <v>2</v>
      </c>
      <c r="B102" s="15" t="s">
        <v>97</v>
      </c>
      <c r="C102" s="119">
        <f>+ROUND((SUM('corn yields Nonirrigated'!E99:I99)-MAX('corn yields Nonirrigated'!E99:I99)-MIN('corn yields Nonirrigated'!E99:I99))/3,2)</f>
        <v>216.87</v>
      </c>
      <c r="D102" s="122">
        <f>+ROUND((SUM('soybean yields Nonirrigated'!E99:I99)-MAX('soybean yields Nonirrigated'!E99:I99)-MIN('soybean yields Nonirrigated'!E99:I99))/3,2)</f>
        <v>63.64</v>
      </c>
      <c r="E102" s="8">
        <f t="shared" si="12"/>
        <v>1051.8194999999998</v>
      </c>
      <c r="F102" s="9">
        <f t="shared" si="13"/>
        <v>707.67679999999996</v>
      </c>
      <c r="G102" s="8">
        <f t="shared" si="14"/>
        <v>904.56476999999984</v>
      </c>
      <c r="H102" s="9">
        <f t="shared" si="14"/>
        <v>608.60204799999997</v>
      </c>
      <c r="I102" s="8">
        <f t="shared" si="15"/>
        <v>105.18194999999999</v>
      </c>
      <c r="J102" s="9">
        <f t="shared" si="15"/>
        <v>70.767679999999999</v>
      </c>
      <c r="K102" s="100" t="s">
        <v>145</v>
      </c>
      <c r="L102" s="101" t="s">
        <v>145</v>
      </c>
      <c r="M102" s="100" t="str">
        <f t="shared" si="16"/>
        <v>n/a</v>
      </c>
      <c r="N102" s="101" t="str">
        <f t="shared" si="17"/>
        <v>n/a</v>
      </c>
      <c r="O102" s="100" t="str">
        <f t="shared" si="18"/>
        <v>n/a</v>
      </c>
      <c r="P102" s="101" t="str">
        <f t="shared" si="19"/>
        <v>n/a</v>
      </c>
    </row>
    <row r="103" spans="1:18" ht="14.65" customHeight="1" x14ac:dyDescent="0.2">
      <c r="A103" s="20">
        <v>3</v>
      </c>
      <c r="B103" s="16" t="s">
        <v>98</v>
      </c>
      <c r="C103" s="120">
        <f>+ROUND((SUM('corn yields Nonirrigated'!E100:I100)-MAX('corn yields Nonirrigated'!E100:I100)-MIN('corn yields Nonirrigated'!E100:I100))/3,2)</f>
        <v>211.76</v>
      </c>
      <c r="D103" s="123">
        <f>+ROUND((SUM('soybean yields Nonirrigated'!E100:I100)-MAX('soybean yields Nonirrigated'!E100:I100)-MIN('soybean yields Nonirrigated'!E100:I100))/3,2)</f>
        <v>60.6</v>
      </c>
      <c r="E103" s="10">
        <f t="shared" si="12"/>
        <v>1027.0359999999998</v>
      </c>
      <c r="F103" s="11">
        <f t="shared" si="13"/>
        <v>673.87199999999996</v>
      </c>
      <c r="G103" s="10">
        <f t="shared" si="14"/>
        <v>883.25095999999985</v>
      </c>
      <c r="H103" s="11">
        <f t="shared" si="14"/>
        <v>579.52991999999995</v>
      </c>
      <c r="I103" s="10">
        <f t="shared" si="15"/>
        <v>102.70359999999999</v>
      </c>
      <c r="J103" s="11">
        <f t="shared" si="15"/>
        <v>67.387199999999993</v>
      </c>
      <c r="K103" s="102" t="s">
        <v>145</v>
      </c>
      <c r="L103" s="103" t="s">
        <v>145</v>
      </c>
      <c r="M103" s="102" t="str">
        <f t="shared" si="16"/>
        <v>n/a</v>
      </c>
      <c r="N103" s="103" t="str">
        <f t="shared" si="17"/>
        <v>n/a</v>
      </c>
      <c r="O103" s="102" t="str">
        <f t="shared" si="18"/>
        <v>n/a</v>
      </c>
      <c r="P103" s="103" t="str">
        <f t="shared" si="19"/>
        <v>n/a</v>
      </c>
    </row>
    <row r="104" spans="1:18" ht="14.65" customHeight="1" x14ac:dyDescent="0.2">
      <c r="A104" s="19">
        <v>4</v>
      </c>
      <c r="B104" s="15" t="s">
        <v>99</v>
      </c>
      <c r="C104" s="119">
        <f>+ROUND((SUM('corn yields Nonirrigated'!E101:I101)-MAX('corn yields Nonirrigated'!E101:I101)-MIN('corn yields Nonirrigated'!E101:I101))/3,2)</f>
        <v>218.04</v>
      </c>
      <c r="D104" s="122">
        <f>+ROUND((SUM('soybean yields Nonirrigated'!E101:I101)-MAX('soybean yields Nonirrigated'!E101:I101)-MIN('soybean yields Nonirrigated'!E101:I101))/3,2)</f>
        <v>60.72</v>
      </c>
      <c r="E104" s="8">
        <f t="shared" si="12"/>
        <v>1057.4939999999999</v>
      </c>
      <c r="F104" s="9">
        <f t="shared" si="13"/>
        <v>675.20639999999992</v>
      </c>
      <c r="G104" s="8">
        <f t="shared" si="14"/>
        <v>909.44483999999989</v>
      </c>
      <c r="H104" s="9">
        <f t="shared" si="14"/>
        <v>580.67750399999989</v>
      </c>
      <c r="I104" s="8">
        <f t="shared" si="15"/>
        <v>105.74939999999999</v>
      </c>
      <c r="J104" s="9">
        <f t="shared" si="15"/>
        <v>67.52064</v>
      </c>
      <c r="K104" s="100" t="s">
        <v>145</v>
      </c>
      <c r="L104" s="101" t="s">
        <v>145</v>
      </c>
      <c r="M104" s="100" t="str">
        <f t="shared" si="16"/>
        <v>n/a</v>
      </c>
      <c r="N104" s="101" t="str">
        <f t="shared" si="17"/>
        <v>n/a</v>
      </c>
      <c r="O104" s="100" t="str">
        <f t="shared" si="18"/>
        <v>n/a</v>
      </c>
      <c r="P104" s="101" t="str">
        <f t="shared" si="19"/>
        <v>n/a</v>
      </c>
    </row>
    <row r="105" spans="1:18" ht="14.65" customHeight="1" x14ac:dyDescent="0.2">
      <c r="A105" s="20">
        <v>2</v>
      </c>
      <c r="B105" s="16" t="s">
        <v>100</v>
      </c>
      <c r="C105" s="120">
        <f>+ROUND((SUM('corn yields Nonirrigated'!E102:I102)-MAX('corn yields Nonirrigated'!E102:I102)-MIN('corn yields Nonirrigated'!E102:I102))/3,2)</f>
        <v>216.43</v>
      </c>
      <c r="D105" s="123">
        <f>+ROUND((SUM('soybean yields Nonirrigated'!E102:I102)-MAX('soybean yields Nonirrigated'!E102:I102)-MIN('soybean yields Nonirrigated'!E102:I102))/3,2)</f>
        <v>60.74</v>
      </c>
      <c r="E105" s="10">
        <f t="shared" si="12"/>
        <v>1049.6855</v>
      </c>
      <c r="F105" s="11">
        <f t="shared" si="13"/>
        <v>675.42880000000002</v>
      </c>
      <c r="G105" s="10">
        <f t="shared" si="14"/>
        <v>902.72953000000007</v>
      </c>
      <c r="H105" s="11">
        <f t="shared" si="14"/>
        <v>580.86876800000005</v>
      </c>
      <c r="I105" s="10">
        <f t="shared" si="15"/>
        <v>104.96855000000001</v>
      </c>
      <c r="J105" s="11">
        <f t="shared" si="15"/>
        <v>67.542880000000011</v>
      </c>
      <c r="K105" s="102" t="s">
        <v>145</v>
      </c>
      <c r="L105" s="103" t="s">
        <v>145</v>
      </c>
      <c r="M105" s="102" t="str">
        <f t="shared" si="16"/>
        <v>n/a</v>
      </c>
      <c r="N105" s="103" t="str">
        <f t="shared" si="17"/>
        <v>n/a</v>
      </c>
      <c r="O105" s="102" t="str">
        <f t="shared" si="18"/>
        <v>n/a</v>
      </c>
      <c r="P105" s="103" t="str">
        <f t="shared" si="19"/>
        <v>n/a</v>
      </c>
    </row>
    <row r="106" spans="1:18" ht="14.65" customHeight="1" thickBot="1" x14ac:dyDescent="0.25">
      <c r="A106" s="19">
        <v>2</v>
      </c>
      <c r="B106" s="15" t="s">
        <v>101</v>
      </c>
      <c r="C106" s="119">
        <f>+ROUND((SUM('corn yields Nonirrigated'!E103:I103)-MAX('corn yields Nonirrigated'!E103:I103)-MIN('corn yields Nonirrigated'!E103:I103))/3,2)</f>
        <v>203.32</v>
      </c>
      <c r="D106" s="122">
        <f>+ROUND((SUM('soybean yields Nonirrigated'!E103:I103)-MAX('soybean yields Nonirrigated'!E103:I103)-MIN('soybean yields Nonirrigated'!E103:I103))/3,2)</f>
        <v>58.98</v>
      </c>
      <c r="E106" s="8">
        <f t="shared" si="12"/>
        <v>986.10199999999986</v>
      </c>
      <c r="F106" s="9">
        <f t="shared" si="13"/>
        <v>655.85759999999993</v>
      </c>
      <c r="G106" s="8">
        <f t="shared" si="14"/>
        <v>848.04771999999991</v>
      </c>
      <c r="H106" s="9">
        <f t="shared" si="14"/>
        <v>564.03753599999993</v>
      </c>
      <c r="I106" s="8">
        <f t="shared" si="15"/>
        <v>98.610199999999992</v>
      </c>
      <c r="J106" s="9">
        <f t="shared" si="15"/>
        <v>65.585759999999993</v>
      </c>
      <c r="K106" s="100" t="s">
        <v>145</v>
      </c>
      <c r="L106" s="101" t="s">
        <v>145</v>
      </c>
      <c r="M106" s="100" t="str">
        <f t="shared" si="16"/>
        <v>n/a</v>
      </c>
      <c r="N106" s="101" t="str">
        <f t="shared" si="17"/>
        <v>n/a</v>
      </c>
      <c r="O106" s="100" t="str">
        <f t="shared" si="18"/>
        <v>n/a</v>
      </c>
      <c r="P106" s="101" t="str">
        <f t="shared" si="19"/>
        <v>n/a</v>
      </c>
    </row>
    <row r="107" spans="1:18" x14ac:dyDescent="0.2">
      <c r="A107" s="21"/>
      <c r="B107" s="17" t="s">
        <v>102</v>
      </c>
      <c r="C107" s="124">
        <f>AVERAGE(C7:C106)</f>
        <v>206.82970000000009</v>
      </c>
      <c r="D107" s="125">
        <f t="shared" ref="D107:J107" si="20">AVERAGE(D7:D106)</f>
        <v>59.940300000000008</v>
      </c>
      <c r="E107" s="12">
        <f t="shared" si="20"/>
        <v>1003.1240450000001</v>
      </c>
      <c r="F107" s="13">
        <f t="shared" si="20"/>
        <v>666.53613600000028</v>
      </c>
      <c r="G107" s="12">
        <f t="shared" si="20"/>
        <v>862.68667869999979</v>
      </c>
      <c r="H107" s="13">
        <f t="shared" si="20"/>
        <v>573.22107696</v>
      </c>
      <c r="I107" s="12">
        <f t="shared" si="20"/>
        <v>100.3124045</v>
      </c>
      <c r="J107" s="13">
        <f t="shared" si="20"/>
        <v>66.653613599999971</v>
      </c>
      <c r="K107" s="33" t="str">
        <f t="shared" ref="K107:P107" si="21">IFERROR(AVERAGE(K7:K106),"")</f>
        <v/>
      </c>
      <c r="L107" s="34" t="str">
        <f t="shared" si="21"/>
        <v/>
      </c>
      <c r="M107" s="33" t="str">
        <f t="shared" si="21"/>
        <v/>
      </c>
      <c r="N107" s="34" t="str">
        <f t="shared" si="21"/>
        <v/>
      </c>
      <c r="O107" s="33" t="str">
        <f t="shared" si="21"/>
        <v/>
      </c>
      <c r="P107" s="34" t="str">
        <f t="shared" si="21"/>
        <v/>
      </c>
    </row>
    <row r="108" spans="1:18" x14ac:dyDescent="0.2">
      <c r="A108" s="159" t="s">
        <v>274</v>
      </c>
    </row>
    <row r="109" spans="1:18" s="35" customFormat="1" x14ac:dyDescent="0.2">
      <c r="A109" s="159" t="s">
        <v>348</v>
      </c>
      <c r="Q109" s="3"/>
      <c r="R109" s="3"/>
    </row>
    <row r="110" spans="1:18" x14ac:dyDescent="0.2">
      <c r="R110" s="35"/>
    </row>
    <row r="111" spans="1:18" x14ac:dyDescent="0.2">
      <c r="A111" s="57" t="s">
        <v>144</v>
      </c>
      <c r="Q111" s="35"/>
    </row>
  </sheetData>
  <sheetProtection algorithmName="SHA-512" hashValue="qBGCaCOuej9kbgZFaAQxgiUrffs5Ri1sLx5A+7uHGcrWkRAWYbe0lNdp495cNsNTNUdBj8KlAVpz6noGNRRqbg==" saltValue="eNUkkX55BX5ROBsHRC+WTg==" spinCount="100000" sheet="1" sort="0" autoFilter="0"/>
  <protectedRanges>
    <protectedRange sqref="K6:P6 A6:H106 K7:N106" name="Range1"/>
    <protectedRange sqref="I6:J106" name="Range1_2"/>
    <protectedRange sqref="O7:P106" name="Range1_3"/>
  </protectedRanges>
  <mergeCells count="8">
    <mergeCell ref="O4:P4"/>
    <mergeCell ref="C5:D5"/>
    <mergeCell ref="E5:F5"/>
    <mergeCell ref="G5:H5"/>
    <mergeCell ref="I5:J5"/>
    <mergeCell ref="K5:L5"/>
    <mergeCell ref="M5:N5"/>
    <mergeCell ref="O5:P5"/>
  </mergeCells>
  <hyperlinks>
    <hyperlink ref="A3" r:id="rId1" display="See File A1-33, 2014 Farm Bill Analyzer: Data and Methods, for more information." xr:uid="{00000000-0004-0000-0700-000000000000}"/>
  </hyperlinks>
  <pageMargins left="0.7" right="0.7" top="0.75" bottom="0.75" header="0.3" footer="0.3"/>
  <pageSetup scale="62" orientation="portrait" r:id="rId2"/>
  <colBreaks count="1" manualBreakCount="1">
    <brk id="16" max="1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F6D4-7977-4B41-B95C-2EAAC72438A3}">
  <sheetPr>
    <tabColor rgb="FFFFC000"/>
  </sheetPr>
  <dimension ref="A1:AL92"/>
  <sheetViews>
    <sheetView showGridLines="0" zoomScale="98" zoomScaleNormal="98" zoomScaleSheetLayoutView="70" workbookViewId="0"/>
  </sheetViews>
  <sheetFormatPr defaultColWidth="8.7109375" defaultRowHeight="14.25" x14ac:dyDescent="0.2"/>
  <cols>
    <col min="1" max="1" width="39" style="244" customWidth="1"/>
    <col min="2" max="8" width="11.7109375" style="244" customWidth="1"/>
    <col min="9" max="9" width="4.7109375" style="244" customWidth="1"/>
    <col min="10" max="10" width="38.7109375" style="244" customWidth="1"/>
    <col min="11" max="17" width="12.7109375" style="244" customWidth="1"/>
    <col min="18" max="18" width="10.5703125" style="244" customWidth="1"/>
    <col min="19" max="19" width="10.5703125" style="309" customWidth="1"/>
    <col min="20" max="21" width="10.5703125" style="245" hidden="1" customWidth="1"/>
    <col min="22" max="29" width="10.42578125" style="244" customWidth="1"/>
    <col min="30" max="35" width="9.28515625" style="244" customWidth="1"/>
    <col min="36" max="37" width="10.28515625" style="244" customWidth="1"/>
    <col min="38" max="38" width="9.5703125" style="244" customWidth="1"/>
    <col min="39" max="16384" width="8.7109375" style="244"/>
  </cols>
  <sheetData>
    <row r="1" spans="1:38" s="344" customFormat="1" ht="30" customHeight="1" thickBot="1" x14ac:dyDescent="0.35">
      <c r="A1" s="343" t="s">
        <v>303</v>
      </c>
      <c r="T1" s="345"/>
      <c r="U1" s="345"/>
    </row>
    <row r="2" spans="1:38" s="242" customFormat="1" ht="15.75" thickTop="1" x14ac:dyDescent="0.25">
      <c r="A2" s="133" t="s">
        <v>103</v>
      </c>
      <c r="T2" s="152"/>
      <c r="U2" s="152"/>
    </row>
    <row r="3" spans="1:38" x14ac:dyDescent="0.2">
      <c r="A3" s="243" t="s">
        <v>350</v>
      </c>
      <c r="S3" s="244"/>
    </row>
    <row r="4" spans="1:38" ht="14.25" customHeight="1" x14ac:dyDescent="0.2">
      <c r="A4" s="371" t="s">
        <v>287</v>
      </c>
      <c r="B4" s="175"/>
      <c r="C4" s="175"/>
      <c r="D4" s="175"/>
      <c r="E4" s="175"/>
      <c r="F4" s="175"/>
      <c r="G4" s="175"/>
      <c r="H4" s="175"/>
      <c r="S4" s="244"/>
    </row>
    <row r="5" spans="1:38" ht="15" thickBot="1" x14ac:dyDescent="0.25">
      <c r="A5" s="176"/>
      <c r="B5" s="136"/>
      <c r="C5" s="136"/>
      <c r="D5" s="136"/>
      <c r="E5" s="136"/>
      <c r="F5" s="136"/>
      <c r="G5" s="136"/>
      <c r="H5" s="136"/>
      <c r="S5" s="244"/>
    </row>
    <row r="6" spans="1:38" s="247" customFormat="1" ht="16.5" thickBot="1" x14ac:dyDescent="0.25">
      <c r="A6" s="330" t="s">
        <v>125</v>
      </c>
      <c r="B6" s="335"/>
      <c r="C6" s="335"/>
      <c r="D6" s="335"/>
      <c r="E6" s="335"/>
      <c r="F6" s="335"/>
      <c r="G6" s="335"/>
      <c r="H6" s="338"/>
      <c r="I6" s="246"/>
      <c r="J6" s="245"/>
      <c r="K6" s="245"/>
      <c r="L6" s="245"/>
      <c r="N6" s="245"/>
      <c r="O6" s="51"/>
      <c r="P6" s="245"/>
      <c r="Q6" s="245"/>
      <c r="T6" s="245"/>
      <c r="U6" s="245"/>
      <c r="AB6" s="245"/>
      <c r="AC6" s="245"/>
      <c r="AD6" s="245"/>
      <c r="AE6" s="245"/>
      <c r="AF6" s="245"/>
      <c r="AG6" s="245"/>
      <c r="AH6" s="245"/>
    </row>
    <row r="7" spans="1:38" s="247" customFormat="1" ht="24.4" customHeight="1" thickBot="1" x14ac:dyDescent="0.25">
      <c r="A7" s="375" t="s">
        <v>61</v>
      </c>
      <c r="B7" s="376"/>
      <c r="C7" s="376"/>
      <c r="D7" s="377"/>
      <c r="E7" s="389" t="str">
        <f>+IF(SUM(B34:F34)=0,"   ARC-CO not available for irrigated corn base acres in "&amp;A7&amp;" County", IF(SUM(K34:O34)=0,"   ARC-CO not available for irrigated soybean base acres in "&amp;A7&amp;" County",""))</f>
        <v/>
      </c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249"/>
      <c r="S7" s="141"/>
      <c r="T7" s="249"/>
      <c r="U7" s="249"/>
      <c r="V7" s="250"/>
      <c r="W7" s="250"/>
      <c r="AF7" s="245"/>
      <c r="AG7" s="245"/>
      <c r="AH7" s="245"/>
      <c r="AI7" s="245"/>
      <c r="AJ7" s="245"/>
      <c r="AK7" s="245"/>
      <c r="AL7" s="245"/>
    </row>
    <row r="8" spans="1:38" s="247" customFormat="1" ht="15.75" thickBot="1" x14ac:dyDescent="0.3">
      <c r="A8" s="251"/>
      <c r="B8" s="246"/>
      <c r="C8" s="235"/>
      <c r="D8" s="249"/>
      <c r="F8" s="249"/>
      <c r="G8" s="249"/>
      <c r="H8" s="249"/>
      <c r="I8" s="249"/>
      <c r="J8" s="249"/>
      <c r="K8" s="249"/>
      <c r="L8" s="249"/>
      <c r="M8" s="249"/>
      <c r="N8" s="249"/>
      <c r="O8" s="141"/>
      <c r="P8" s="249"/>
      <c r="Q8" s="249"/>
      <c r="R8" s="235"/>
      <c r="S8" s="235"/>
      <c r="T8" s="249"/>
      <c r="U8" s="245"/>
      <c r="AB8" s="245"/>
      <c r="AC8" s="245"/>
      <c r="AD8" s="245"/>
      <c r="AE8" s="245"/>
      <c r="AF8" s="245"/>
      <c r="AG8" s="245"/>
      <c r="AH8" s="245"/>
    </row>
    <row r="9" spans="1:38" s="247" customFormat="1" ht="16.5" thickBot="1" x14ac:dyDescent="0.25">
      <c r="A9" s="330" t="s">
        <v>342</v>
      </c>
      <c r="B9" s="335"/>
      <c r="C9" s="335"/>
      <c r="D9" s="335"/>
      <c r="E9" s="335"/>
      <c r="F9" s="335"/>
      <c r="G9" s="335"/>
      <c r="H9" s="338"/>
      <c r="I9" s="252"/>
      <c r="J9" s="51"/>
      <c r="K9" s="51"/>
      <c r="L9" s="51"/>
      <c r="M9" s="50"/>
      <c r="N9" s="51"/>
      <c r="O9" s="51"/>
      <c r="P9" s="51"/>
      <c r="Q9" s="51"/>
      <c r="R9" s="50"/>
      <c r="T9" s="245"/>
      <c r="U9" s="245"/>
      <c r="AB9" s="245"/>
      <c r="AC9" s="245"/>
      <c r="AD9" s="245"/>
      <c r="AE9" s="245"/>
      <c r="AF9" s="245"/>
      <c r="AG9" s="245"/>
      <c r="AH9" s="245"/>
    </row>
    <row r="10" spans="1:38" s="247" customFormat="1" x14ac:dyDescent="0.2">
      <c r="A10" s="253"/>
      <c r="B10" s="252"/>
      <c r="C10" s="235"/>
      <c r="D10" s="141"/>
      <c r="E10" s="50"/>
      <c r="F10" s="254" t="s">
        <v>333</v>
      </c>
      <c r="G10" s="235" t="s">
        <v>332</v>
      </c>
      <c r="H10" s="145"/>
      <c r="I10" s="141"/>
      <c r="J10" s="141"/>
      <c r="K10" s="141"/>
      <c r="L10" s="141"/>
      <c r="M10" s="141"/>
      <c r="N10" s="141"/>
      <c r="O10" s="141"/>
      <c r="P10" s="141"/>
      <c r="Q10" s="141"/>
      <c r="R10" s="235"/>
      <c r="S10" s="235"/>
      <c r="T10" s="249"/>
      <c r="U10" s="245"/>
      <c r="AB10" s="245"/>
      <c r="AC10" s="245"/>
      <c r="AD10" s="245"/>
      <c r="AE10" s="245"/>
      <c r="AF10" s="245"/>
      <c r="AG10" s="245"/>
      <c r="AH10" s="245"/>
    </row>
    <row r="11" spans="1:38" s="247" customFormat="1" x14ac:dyDescent="0.2">
      <c r="A11" s="255" t="str">
        <f>+"Projected "&amp;RIGHT($A$1,7)&amp;" Marketing Year Average (MYA) Price"</f>
        <v>Projected 2024-25 Marketing Year Average (MYA) Price</v>
      </c>
      <c r="B11" s="252"/>
      <c r="C11" s="235"/>
      <c r="D11" s="141"/>
      <c r="E11" s="50"/>
      <c r="F11" s="324">
        <v>4.4000000000000004</v>
      </c>
      <c r="G11" s="324">
        <v>11.3</v>
      </c>
      <c r="H11" s="145" t="s">
        <v>329</v>
      </c>
      <c r="I11" s="141"/>
      <c r="J11" s="141"/>
      <c r="K11" s="141"/>
      <c r="L11" s="141"/>
      <c r="M11" s="141"/>
      <c r="N11" s="141"/>
      <c r="O11" s="141"/>
      <c r="P11" s="141"/>
      <c r="Q11" s="141"/>
      <c r="R11" s="235"/>
      <c r="S11" s="235"/>
      <c r="T11" s="249"/>
      <c r="U11" s="245"/>
      <c r="AB11" s="245"/>
      <c r="AC11" s="245"/>
      <c r="AD11" s="245"/>
      <c r="AE11" s="245"/>
      <c r="AF11" s="245"/>
      <c r="AG11" s="245"/>
      <c r="AH11" s="245"/>
    </row>
    <row r="12" spans="1:38" s="247" customFormat="1" x14ac:dyDescent="0.2">
      <c r="A12" s="255" t="str">
        <f>+"Projected Irrigated County Yield in "&amp;LEFT(RIGHT($A$1,7),4)&amp;" *"</f>
        <v>Projected Irrigated County Yield in 2024 *</v>
      </c>
      <c r="B12" s="252"/>
      <c r="C12" s="235"/>
      <c r="D12" s="141"/>
      <c r="E12" s="50"/>
      <c r="F12" s="325"/>
      <c r="G12" s="325"/>
      <c r="H12" s="145" t="s">
        <v>341</v>
      </c>
      <c r="I12" s="141"/>
      <c r="J12" s="141"/>
      <c r="K12" s="141"/>
      <c r="L12" s="141"/>
      <c r="M12" s="141"/>
      <c r="N12" s="141"/>
      <c r="O12" s="141"/>
      <c r="P12" s="141"/>
      <c r="Q12" s="141"/>
      <c r="R12" s="235"/>
      <c r="S12" s="235"/>
      <c r="T12" s="249"/>
      <c r="U12" s="245"/>
      <c r="AB12" s="245"/>
      <c r="AC12" s="245"/>
      <c r="AD12" s="245"/>
      <c r="AE12" s="245"/>
      <c r="AF12" s="245"/>
      <c r="AG12" s="245"/>
      <c r="AH12" s="245"/>
    </row>
    <row r="13" spans="1:38" s="247" customFormat="1" x14ac:dyDescent="0.2">
      <c r="A13" s="256" t="str">
        <f>+"Your Irrigated Base Acres in each Crop in "&amp;$A$7&amp;" County "</f>
        <v xml:space="preserve">Your Irrigated Base Acres in each Crop in Louisa County </v>
      </c>
      <c r="B13" s="252"/>
      <c r="C13" s="235"/>
      <c r="D13" s="141"/>
      <c r="E13" s="50"/>
      <c r="F13" s="325"/>
      <c r="G13" s="325"/>
      <c r="H13" s="145" t="s">
        <v>327</v>
      </c>
      <c r="I13" s="141"/>
      <c r="J13" s="141"/>
      <c r="K13" s="141"/>
      <c r="L13" s="141"/>
      <c r="M13" s="141"/>
      <c r="N13" s="141"/>
      <c r="O13" s="141"/>
      <c r="P13" s="141"/>
      <c r="Q13" s="141"/>
      <c r="R13" s="235"/>
      <c r="S13" s="235"/>
      <c r="T13" s="249"/>
      <c r="U13" s="245"/>
      <c r="AB13" s="245"/>
      <c r="AC13" s="245"/>
      <c r="AD13" s="245"/>
      <c r="AE13" s="245"/>
      <c r="AF13" s="245"/>
      <c r="AG13" s="245"/>
      <c r="AH13" s="245"/>
    </row>
    <row r="14" spans="1:38" s="247" customFormat="1" x14ac:dyDescent="0.2">
      <c r="A14" s="256" t="str">
        <f>+"Your Irrigated farm PLC Yields in "&amp;A7&amp;"**"</f>
        <v>Your Irrigated farm PLC Yields in Louisa**</v>
      </c>
      <c r="B14" s="252"/>
      <c r="C14" s="235"/>
      <c r="D14" s="141"/>
      <c r="E14" s="50"/>
      <c r="F14" s="325"/>
      <c r="G14" s="325"/>
      <c r="H14" s="145" t="s">
        <v>341</v>
      </c>
      <c r="I14" s="141"/>
      <c r="J14" s="141"/>
      <c r="K14" s="141"/>
      <c r="L14" s="141"/>
      <c r="M14" s="141"/>
      <c r="N14" s="141"/>
      <c r="O14" s="141"/>
      <c r="P14" s="141"/>
      <c r="Q14" s="141"/>
      <c r="R14" s="235"/>
      <c r="S14" s="235"/>
      <c r="T14" s="249"/>
      <c r="U14" s="245"/>
      <c r="AB14" s="245"/>
      <c r="AC14" s="245"/>
      <c r="AD14" s="245"/>
      <c r="AE14" s="245"/>
      <c r="AF14" s="245"/>
      <c r="AG14" s="245"/>
      <c r="AH14" s="245"/>
    </row>
    <row r="15" spans="1:38" s="247" customFormat="1" x14ac:dyDescent="0.2">
      <c r="A15" s="256"/>
      <c r="B15" s="252"/>
      <c r="C15" s="235"/>
      <c r="D15" s="141"/>
      <c r="E15" s="50"/>
      <c r="F15" s="141"/>
      <c r="G15" s="141"/>
      <c r="H15" s="145"/>
      <c r="I15" s="141"/>
      <c r="J15" s="141"/>
      <c r="K15" s="141"/>
      <c r="L15" s="141"/>
      <c r="M15" s="141"/>
      <c r="N15" s="141"/>
      <c r="O15" s="141"/>
      <c r="P15" s="141"/>
      <c r="Q15" s="141"/>
      <c r="R15" s="235"/>
      <c r="S15" s="235"/>
      <c r="T15" s="249"/>
      <c r="U15" s="245"/>
      <c r="AB15" s="245"/>
      <c r="AC15" s="245"/>
      <c r="AD15" s="245"/>
      <c r="AE15" s="245"/>
      <c r="AF15" s="245"/>
      <c r="AG15" s="245"/>
      <c r="AH15" s="245"/>
    </row>
    <row r="16" spans="1:38" s="247" customFormat="1" ht="12.75" x14ac:dyDescent="0.2">
      <c r="A16" s="257" t="str">
        <f>+"*USDA-NASS county yields for Irrigated crops in "&amp;A7&amp;" County are not publicly available."</f>
        <v>*USDA-NASS county yields for Irrigated crops in Louisa County are not publicly available.</v>
      </c>
      <c r="B16" s="50"/>
      <c r="C16" s="50"/>
      <c r="D16" s="141"/>
      <c r="E16" s="50"/>
      <c r="F16" s="141"/>
      <c r="G16" s="258"/>
      <c r="H16" s="146"/>
      <c r="I16" s="50"/>
      <c r="J16" s="259"/>
      <c r="K16" s="50"/>
      <c r="L16" s="50"/>
      <c r="M16" s="141"/>
      <c r="N16" s="50"/>
      <c r="O16" s="141"/>
      <c r="P16" s="260"/>
      <c r="Q16" s="261"/>
      <c r="R16" s="50"/>
      <c r="T16" s="262"/>
      <c r="U16" s="245"/>
    </row>
    <row r="17" spans="1:21" s="51" customFormat="1" ht="13.5" thickBot="1" x14ac:dyDescent="0.25">
      <c r="A17" s="257" t="str">
        <f>+"**The average irrigated PLC yields in "&amp;$A$7&amp;" County are not publicly available."</f>
        <v>**The average irrigated PLC yields in Louisa County are not publicly available.</v>
      </c>
      <c r="H17" s="265"/>
      <c r="J17" s="259"/>
      <c r="Q17" s="266"/>
    </row>
    <row r="18" spans="1:21" s="275" customFormat="1" ht="21" thickBot="1" x14ac:dyDescent="0.35">
      <c r="A18" s="330" t="s">
        <v>338</v>
      </c>
      <c r="B18" s="336"/>
      <c r="C18" s="336"/>
      <c r="D18" s="336"/>
      <c r="E18" s="336"/>
      <c r="F18" s="336"/>
      <c r="G18" s="336"/>
      <c r="H18" s="337"/>
      <c r="I18" s="274"/>
      <c r="J18" s="330" t="s">
        <v>339</v>
      </c>
      <c r="K18" s="336"/>
      <c r="L18" s="336"/>
      <c r="M18" s="336"/>
      <c r="N18" s="336"/>
      <c r="O18" s="336"/>
      <c r="P18" s="336"/>
      <c r="Q18" s="337"/>
      <c r="T18" s="245"/>
      <c r="U18" s="245"/>
    </row>
    <row r="19" spans="1:21" s="277" customFormat="1" ht="18" customHeight="1" x14ac:dyDescent="0.3">
      <c r="A19" s="278"/>
      <c r="C19" s="279" t="str">
        <f>+B29</f>
        <v>2018-19</v>
      </c>
      <c r="D19" s="279" t="str">
        <f t="shared" ref="D19:G19" si="0">+C29</f>
        <v>2019-20</v>
      </c>
      <c r="E19" s="279" t="str">
        <f t="shared" si="0"/>
        <v>2020-21</v>
      </c>
      <c r="F19" s="279" t="str">
        <f t="shared" si="0"/>
        <v>2021-22</v>
      </c>
      <c r="G19" s="279" t="str">
        <f t="shared" si="0"/>
        <v>2022-23</v>
      </c>
      <c r="H19" s="280"/>
      <c r="I19" s="274"/>
      <c r="J19" s="278"/>
      <c r="K19" s="281"/>
      <c r="L19" s="279" t="str">
        <f>+C19</f>
        <v>2018-19</v>
      </c>
      <c r="M19" s="279" t="str">
        <f t="shared" ref="M19:P19" si="1">+D19</f>
        <v>2019-20</v>
      </c>
      <c r="N19" s="279" t="str">
        <f t="shared" si="1"/>
        <v>2020-21</v>
      </c>
      <c r="O19" s="279" t="str">
        <f t="shared" si="1"/>
        <v>2021-22</v>
      </c>
      <c r="P19" s="279" t="str">
        <f t="shared" si="1"/>
        <v>2022-23</v>
      </c>
      <c r="Q19" s="280"/>
      <c r="T19" s="51"/>
      <c r="U19" s="51"/>
    </row>
    <row r="20" spans="1:21" s="277" customFormat="1" ht="18" customHeight="1" x14ac:dyDescent="0.3">
      <c r="A20" s="276" t="s">
        <v>309</v>
      </c>
      <c r="C20" s="47">
        <v>3.61</v>
      </c>
      <c r="D20" s="47">
        <v>3.56</v>
      </c>
      <c r="E20" s="47">
        <v>4.53</v>
      </c>
      <c r="F20" s="47">
        <v>6</v>
      </c>
      <c r="G20" s="361">
        <v>6.54</v>
      </c>
      <c r="H20" s="280"/>
      <c r="I20" s="274"/>
      <c r="J20" s="276" t="s">
        <v>309</v>
      </c>
      <c r="K20" s="281"/>
      <c r="L20" s="47">
        <v>8.48</v>
      </c>
      <c r="M20" s="47">
        <v>8.57</v>
      </c>
      <c r="N20" s="47">
        <v>10.8</v>
      </c>
      <c r="O20" s="47">
        <v>13.3</v>
      </c>
      <c r="P20" s="361">
        <v>14.2</v>
      </c>
      <c r="Q20" s="280"/>
      <c r="T20" s="51"/>
      <c r="U20" s="51"/>
    </row>
    <row r="21" spans="1:21" s="277" customFormat="1" ht="18" customHeight="1" x14ac:dyDescent="0.3">
      <c r="A21" s="276" t="s">
        <v>310</v>
      </c>
      <c r="B21" s="282">
        <f>(SUM(C20:G20)-MAX(C20:G20)-MIN(C20:G20))/3</f>
        <v>4.7133333333333329</v>
      </c>
      <c r="C21" s="283"/>
      <c r="D21" s="283"/>
      <c r="E21" s="283"/>
      <c r="F21" s="283"/>
      <c r="G21" s="283"/>
      <c r="H21" s="280"/>
      <c r="I21" s="274"/>
      <c r="J21" s="276" t="s">
        <v>310</v>
      </c>
      <c r="K21" s="282">
        <f>(SUM(L20:P20)-MAX(L20:P20)-MIN(L20:P20))/3</f>
        <v>10.89</v>
      </c>
      <c r="L21" s="283"/>
      <c r="M21" s="283"/>
      <c r="N21" s="283"/>
      <c r="O21" s="283"/>
      <c r="P21" s="283"/>
      <c r="Q21" s="280"/>
      <c r="T21" s="51"/>
      <c r="U21" s="51"/>
    </row>
    <row r="22" spans="1:21" s="277" customFormat="1" ht="18" customHeight="1" x14ac:dyDescent="0.3">
      <c r="A22" s="276" t="str">
        <f>+T22&amp;"% of Olympic Average"</f>
        <v>85% of Olympic Average</v>
      </c>
      <c r="B22" s="282">
        <f>+ROUND(B21*$T$22/100,2)</f>
        <v>4.01</v>
      </c>
      <c r="C22" s="326" t="str">
        <f>+IF(B22&gt;B23,"Note: Price Escalator triggered in "&amp;RIGHT($A$1,7)&amp;", since $"&amp;B22&amp;IF(RIGHT(B22*100,1)*1=0,"0","")&amp;" &gt; "&amp;"$"&amp;B23&amp;IF(RIGHT(B23*100,1)*1=0,"0","")&amp;" (SRP)","")</f>
        <v>Note: Price Escalator triggered in 2024-25, since $4.01 &gt; $3.70 (SRP)</v>
      </c>
      <c r="D22" s="283"/>
      <c r="E22" s="283"/>
      <c r="F22" s="283"/>
      <c r="G22" s="283"/>
      <c r="H22" s="280"/>
      <c r="I22" s="274"/>
      <c r="J22" s="276" t="str">
        <f>+A22</f>
        <v>85% of Olympic Average</v>
      </c>
      <c r="K22" s="282">
        <f>+ROUND(K21*$T$22/100,2)</f>
        <v>9.26</v>
      </c>
      <c r="L22" s="326" t="str">
        <f>+IF(K22&gt;K23,"Note: Price Escalator triggered in "&amp;RIGHT($A$1,7)&amp;", since $"&amp;K22&amp;IF(RIGHT(K22*100,1)*1=0,"0","")&amp;" &gt; "&amp;"$"&amp;K23&amp;IF(RIGHT(K23*100,1)*1=0,"0","")&amp;" (SRP)","")</f>
        <v>Note: Price Escalator triggered in 2024-25, since $9.26 &gt; $8.40 (SRP)</v>
      </c>
      <c r="M22" s="283"/>
      <c r="N22" s="283"/>
      <c r="O22" s="283"/>
      <c r="P22" s="283"/>
      <c r="Q22" s="280"/>
      <c r="T22" s="262">
        <v>85</v>
      </c>
      <c r="U22" s="51"/>
    </row>
    <row r="23" spans="1:21" s="277" customFormat="1" ht="18" customHeight="1" x14ac:dyDescent="0.3">
      <c r="A23" s="276" t="s">
        <v>308</v>
      </c>
      <c r="B23" s="282">
        <v>3.7</v>
      </c>
      <c r="C23" s="283"/>
      <c r="D23" s="283"/>
      <c r="E23" s="283"/>
      <c r="F23" s="283"/>
      <c r="G23" s="283"/>
      <c r="H23" s="280"/>
      <c r="I23" s="274"/>
      <c r="J23" s="276" t="s">
        <v>308</v>
      </c>
      <c r="K23" s="282">
        <v>8.4</v>
      </c>
      <c r="L23" s="283"/>
      <c r="M23" s="283"/>
      <c r="N23" s="283"/>
      <c r="O23" s="283"/>
      <c r="P23" s="283"/>
      <c r="Q23" s="280"/>
      <c r="T23" s="51"/>
      <c r="U23" s="51"/>
    </row>
    <row r="24" spans="1:21" s="277" customFormat="1" ht="18" customHeight="1" x14ac:dyDescent="0.3">
      <c r="A24" s="276" t="str">
        <f>+"Cap: "&amp;T24&amp;"% of SRP"</f>
        <v>Cap: 115% of SRP</v>
      </c>
      <c r="B24" s="282">
        <f>ROUND(+B23*$T$24/100,2)</f>
        <v>4.26</v>
      </c>
      <c r="D24" s="283"/>
      <c r="E24" s="283"/>
      <c r="F24" s="283"/>
      <c r="G24" s="283"/>
      <c r="H24" s="280"/>
      <c r="I24" s="274"/>
      <c r="J24" s="276" t="str">
        <f>+A24</f>
        <v>Cap: 115% of SRP</v>
      </c>
      <c r="K24" s="282">
        <f>ROUND(+K23*$T$24/100,2)</f>
        <v>9.66</v>
      </c>
      <c r="M24" s="283"/>
      <c r="N24" s="283"/>
      <c r="O24" s="283"/>
      <c r="P24" s="283"/>
      <c r="Q24" s="280"/>
      <c r="T24" s="262">
        <v>115</v>
      </c>
      <c r="U24" s="51"/>
    </row>
    <row r="25" spans="1:21" s="277" customFormat="1" ht="18" customHeight="1" x14ac:dyDescent="0.3">
      <c r="A25" s="276" t="s">
        <v>311</v>
      </c>
      <c r="B25" s="358">
        <f>+MIN(MAX(B22,B23),B24)</f>
        <v>4.01</v>
      </c>
      <c r="C25" s="326" t="str">
        <f>+IF(B22&gt;B24,"Note: Price Escalator capped in "&amp;RIGHT($A$1,7)&amp;", since $"&amp;B22&amp;IF(RIGHT(B22*100,1)*1=0,"0","")&amp;" &gt; $"&amp;B24&amp;IF(RIGHT(B24*100,1)*1=0,"0","")&amp;" (Cap)","")</f>
        <v/>
      </c>
      <c r="D25" s="283"/>
      <c r="E25" s="283"/>
      <c r="F25" s="283"/>
      <c r="G25" s="283"/>
      <c r="H25" s="280"/>
      <c r="I25" s="274"/>
      <c r="J25" s="276" t="s">
        <v>311</v>
      </c>
      <c r="K25" s="358">
        <f>+MIN(MAX(K22,K23),K24)</f>
        <v>9.26</v>
      </c>
      <c r="L25" s="326" t="str">
        <f>+IF(K22&gt;K24,"Note: Price Escalator capped in "&amp;RIGHT($A$1,7)&amp;", since $"&amp;K22&amp;IF(RIGHT(K22*100,1)*1=0,"0","")&amp;" &gt; $"&amp;K24&amp;IF(RIGHT(K24*100,1)*1=0,"0","")&amp;" (Cap)","")</f>
        <v/>
      </c>
      <c r="M25" s="283"/>
      <c r="N25" s="283"/>
      <c r="O25" s="283"/>
      <c r="P25" s="283"/>
      <c r="Q25" s="280"/>
      <c r="T25" s="51"/>
      <c r="U25" s="51"/>
    </row>
    <row r="26" spans="1:21" s="245" customFormat="1" ht="18" customHeight="1" thickBot="1" x14ac:dyDescent="0.25">
      <c r="A26" s="284"/>
      <c r="B26" s="285"/>
      <c r="C26" s="285"/>
      <c r="D26" s="285"/>
      <c r="E26" s="285"/>
      <c r="F26" s="285"/>
      <c r="G26" s="285"/>
      <c r="H26" s="286"/>
      <c r="I26" s="287"/>
      <c r="J26" s="284"/>
      <c r="K26" s="285"/>
      <c r="L26" s="285"/>
      <c r="M26" s="285"/>
      <c r="N26" s="285"/>
      <c r="O26" s="285"/>
      <c r="P26" s="285"/>
      <c r="Q26" s="286"/>
    </row>
    <row r="27" spans="1:21" s="247" customFormat="1" ht="23.85" customHeight="1" thickBot="1" x14ac:dyDescent="0.25">
      <c r="A27" s="330" t="str">
        <f>+"4a. Agricultural Risk Coverage, County Option (ARC-CO), in "&amp;A7&amp;" County for Irrigated Corn "</f>
        <v xml:space="preserve">4a. Agricultural Risk Coverage, County Option (ARC-CO), in Louisa County for Irrigated Corn </v>
      </c>
      <c r="B27" s="331"/>
      <c r="C27" s="332"/>
      <c r="D27" s="333"/>
      <c r="E27" s="333"/>
      <c r="F27" s="333"/>
      <c r="G27" s="333"/>
      <c r="H27" s="334"/>
      <c r="I27" s="141"/>
      <c r="J27" s="330" t="str">
        <f>+"4b. Agricultural Risk Coverage, County Option (ARC-CO), in "&amp;A7&amp;" County for Irrigated Soybeans"</f>
        <v>4b. Agricultural Risk Coverage, County Option (ARC-CO), in Louisa County for Irrigated Soybeans</v>
      </c>
      <c r="K27" s="332"/>
      <c r="L27" s="332"/>
      <c r="M27" s="333"/>
      <c r="N27" s="335"/>
      <c r="O27" s="335"/>
      <c r="P27" s="335"/>
      <c r="Q27" s="334"/>
      <c r="T27" s="245"/>
      <c r="U27" s="245"/>
    </row>
    <row r="28" spans="1:21" s="247" customFormat="1" ht="5.25" customHeight="1" x14ac:dyDescent="0.2">
      <c r="A28" s="288"/>
      <c r="B28" s="236"/>
      <c r="C28" s="289"/>
      <c r="D28" s="289"/>
      <c r="E28" s="289"/>
      <c r="F28" s="289"/>
      <c r="G28" s="236"/>
      <c r="H28" s="149"/>
      <c r="I28" s="50"/>
      <c r="J28" s="288"/>
      <c r="K28" s="236"/>
      <c r="L28" s="289"/>
      <c r="M28" s="289"/>
      <c r="N28" s="289"/>
      <c r="O28" s="289"/>
      <c r="P28" s="236"/>
      <c r="Q28" s="149"/>
      <c r="T28" s="245"/>
      <c r="U28" s="245"/>
    </row>
    <row r="29" spans="1:21" s="249" customFormat="1" ht="12.75" x14ac:dyDescent="0.2">
      <c r="A29" s="253" t="s">
        <v>320</v>
      </c>
      <c r="B29" s="279" t="s">
        <v>119</v>
      </c>
      <c r="C29" s="279" t="s">
        <v>124</v>
      </c>
      <c r="D29" s="279" t="s">
        <v>141</v>
      </c>
      <c r="E29" s="279" t="s">
        <v>282</v>
      </c>
      <c r="F29" s="279" t="s">
        <v>292</v>
      </c>
      <c r="G29" s="279" t="s">
        <v>285</v>
      </c>
      <c r="H29" s="290" t="s">
        <v>295</v>
      </c>
      <c r="I29" s="141"/>
      <c r="J29" s="253" t="str">
        <f>+A29</f>
        <v>Program Prices ($/bushel)</v>
      </c>
      <c r="K29" s="279" t="str">
        <f>+B29</f>
        <v>2018-19</v>
      </c>
      <c r="L29" s="279" t="str">
        <f t="shared" ref="L29:Q29" si="2">+C29</f>
        <v>2019-20</v>
      </c>
      <c r="M29" s="279" t="str">
        <f t="shared" si="2"/>
        <v>2020-21</v>
      </c>
      <c r="N29" s="279" t="str">
        <f t="shared" si="2"/>
        <v>2021-22</v>
      </c>
      <c r="O29" s="279" t="str">
        <f t="shared" si="2"/>
        <v>2022-23</v>
      </c>
      <c r="P29" s="279" t="str">
        <f t="shared" si="2"/>
        <v>2023-24p</v>
      </c>
      <c r="Q29" s="290" t="str">
        <f t="shared" si="2"/>
        <v>2024-25p</v>
      </c>
    </row>
    <row r="30" spans="1:21" s="249" customFormat="1" ht="12.75" x14ac:dyDescent="0.2">
      <c r="A30" s="291" t="s">
        <v>313</v>
      </c>
      <c r="B30" s="177">
        <f>+MAX(C20,$B$25)</f>
        <v>4.01</v>
      </c>
      <c r="C30" s="177">
        <f>+MAX(D20,$B$25)</f>
        <v>4.01</v>
      </c>
      <c r="D30" s="177">
        <f>+MAX(E20,$B$25)</f>
        <v>4.53</v>
      </c>
      <c r="E30" s="177">
        <f>+MAX(F20,$B$25)</f>
        <v>6</v>
      </c>
      <c r="F30" s="177">
        <f>+MAX(G20,$B$25)</f>
        <v>6.54</v>
      </c>
      <c r="G30" s="138" t="s">
        <v>260</v>
      </c>
      <c r="H30" s="66" t="s">
        <v>260</v>
      </c>
      <c r="I30" s="141"/>
      <c r="J30" s="291" t="s">
        <v>313</v>
      </c>
      <c r="K30" s="177">
        <f>+MAX(L20,$K$25)</f>
        <v>9.26</v>
      </c>
      <c r="L30" s="177">
        <f>+MAX(M20,$K$25)</f>
        <v>9.26</v>
      </c>
      <c r="M30" s="177">
        <f>+MAX(N20,$K$25)</f>
        <v>10.8</v>
      </c>
      <c r="N30" s="177">
        <f>+MAX(O20,$K$25)</f>
        <v>13.3</v>
      </c>
      <c r="O30" s="177">
        <f>+MAX(P20,$K$25)</f>
        <v>14.2</v>
      </c>
      <c r="P30" s="138" t="s">
        <v>260</v>
      </c>
      <c r="Q30" s="66" t="s">
        <v>260</v>
      </c>
    </row>
    <row r="31" spans="1:21" s="249" customFormat="1" ht="12.75" x14ac:dyDescent="0.2">
      <c r="A31" s="292"/>
      <c r="B31" s="293"/>
      <c r="C31" s="141"/>
      <c r="D31" s="294"/>
      <c r="E31" s="294"/>
      <c r="F31" s="294"/>
      <c r="G31" s="295" t="s">
        <v>312</v>
      </c>
      <c r="H31" s="339">
        <f>ROUND((SUM(B30:F30)-MAX(B30:F30)-MIN(B30:F30))/3,2)</f>
        <v>4.8499999999999996</v>
      </c>
      <c r="I31" s="141"/>
      <c r="J31" s="292"/>
      <c r="K31" s="293"/>
      <c r="L31" s="141"/>
      <c r="M31" s="294"/>
      <c r="N31" s="294"/>
      <c r="O31" s="294"/>
      <c r="P31" s="295" t="s">
        <v>312</v>
      </c>
      <c r="Q31" s="339">
        <f>ROUND((SUM(K30:O30)-MAX(K30:O30)-MIN(K30:O30))/3,2)</f>
        <v>11.12</v>
      </c>
    </row>
    <row r="32" spans="1:21" s="249" customFormat="1" ht="12.75" x14ac:dyDescent="0.2">
      <c r="A32" s="253"/>
      <c r="B32" s="141"/>
      <c r="C32" s="141"/>
      <c r="D32" s="279"/>
      <c r="E32" s="279"/>
      <c r="F32" s="141"/>
      <c r="G32" s="141"/>
      <c r="H32" s="290"/>
      <c r="I32" s="141"/>
      <c r="J32" s="253"/>
      <c r="K32" s="141"/>
      <c r="L32" s="141"/>
      <c r="M32" s="279"/>
      <c r="N32" s="279"/>
      <c r="O32" s="141"/>
      <c r="P32" s="141"/>
      <c r="Q32" s="290"/>
    </row>
    <row r="33" spans="1:21" s="249" customFormat="1" ht="12.75" x14ac:dyDescent="0.2">
      <c r="A33" s="253" t="s">
        <v>321</v>
      </c>
      <c r="B33" s="279" t="str">
        <f>+B29</f>
        <v>2018-19</v>
      </c>
      <c r="C33" s="279" t="str">
        <f t="shared" ref="C33:H33" si="3">+C29</f>
        <v>2019-20</v>
      </c>
      <c r="D33" s="279" t="str">
        <f t="shared" si="3"/>
        <v>2020-21</v>
      </c>
      <c r="E33" s="279" t="str">
        <f t="shared" si="3"/>
        <v>2021-22</v>
      </c>
      <c r="F33" s="279" t="str">
        <f t="shared" si="3"/>
        <v>2022-23</v>
      </c>
      <c r="G33" s="279" t="str">
        <f t="shared" si="3"/>
        <v>2023-24p</v>
      </c>
      <c r="H33" s="290" t="str">
        <f t="shared" si="3"/>
        <v>2024-25p</v>
      </c>
      <c r="I33" s="141"/>
      <c r="J33" s="253" t="str">
        <f>+A33</f>
        <v>Program Yields (bushels/acre)</v>
      </c>
      <c r="K33" s="279" t="str">
        <f>+B33</f>
        <v>2018-19</v>
      </c>
      <c r="L33" s="279" t="str">
        <f t="shared" ref="L33:Q33" si="4">+C33</f>
        <v>2019-20</v>
      </c>
      <c r="M33" s="279" t="str">
        <f t="shared" si="4"/>
        <v>2020-21</v>
      </c>
      <c r="N33" s="279" t="str">
        <f t="shared" si="4"/>
        <v>2021-22</v>
      </c>
      <c r="O33" s="279" t="str">
        <f t="shared" si="4"/>
        <v>2022-23</v>
      </c>
      <c r="P33" s="279" t="str">
        <f t="shared" si="4"/>
        <v>2023-24p</v>
      </c>
      <c r="Q33" s="290" t="str">
        <f t="shared" si="4"/>
        <v>2024-25p</v>
      </c>
    </row>
    <row r="34" spans="1:21" s="247" customFormat="1" ht="15" customHeight="1" x14ac:dyDescent="0.2">
      <c r="A34" s="291" t="s">
        <v>263</v>
      </c>
      <c r="B34" s="370">
        <f>IFERROR(VLOOKUP($A$7,'corn yields Irrigated'!$A$4:$I$26,5,0),"n/a")</f>
        <v>218.66</v>
      </c>
      <c r="C34" s="370">
        <f>IFERROR(VLOOKUP($A$7,'corn yields Irrigated'!$A$4:$I$26,6,0),"n/a")</f>
        <v>178.92000000000002</v>
      </c>
      <c r="D34" s="370">
        <f>IFERROR(VLOOKUP($A$7,'corn yields Irrigated'!$A$4:$I$26,7,0),"n/a")</f>
        <v>209.17999999999998</v>
      </c>
      <c r="E34" s="370">
        <f>IFERROR(VLOOKUP($A$7,'corn yields Irrigated'!$A$4:$I$26,8,0),"n/a")</f>
        <v>207.60999999999999</v>
      </c>
      <c r="F34" s="370">
        <f>IFERROR(VLOOKUP($A$7,'corn yields Irrigated'!$A$4:$I$26,9,0),"n/a")</f>
        <v>228.46</v>
      </c>
      <c r="G34" s="138" t="s">
        <v>260</v>
      </c>
      <c r="H34" s="66" t="s">
        <v>260</v>
      </c>
      <c r="I34" s="50"/>
      <c r="J34" s="291" t="s">
        <v>263</v>
      </c>
      <c r="K34" s="370">
        <f>IFERROR(VLOOKUP($A$7,'soybean yields Irrigated'!$A$4:$I$19,5,0),"n/a")</f>
        <v>58.08</v>
      </c>
      <c r="L34" s="370">
        <f>IFERROR(VLOOKUP($A$7,'soybean yields Irrigated'!$A$4:$I$19,6,0),"n/a")</f>
        <v>57.480000000000004</v>
      </c>
      <c r="M34" s="370">
        <f>IFERROR(VLOOKUP($A$7,'soybean yields Irrigated'!$A$4:$I$19,7,0),"n/a")</f>
        <v>56.43</v>
      </c>
      <c r="N34" s="370">
        <f>IFERROR(VLOOKUP($A$7,'soybean yields Irrigated'!$A$4:$I$19,8,0),"n/a")</f>
        <v>67.47999999999999</v>
      </c>
      <c r="O34" s="370">
        <f>IFERROR(VLOOKUP($A$7,'soybean yields Irrigated'!$A$4:$I$19,9,0),"n/a")</f>
        <v>62.699999999999996</v>
      </c>
      <c r="P34" s="138" t="s">
        <v>260</v>
      </c>
      <c r="Q34" s="66" t="s">
        <v>260</v>
      </c>
      <c r="T34" s="245"/>
      <c r="U34" s="245"/>
    </row>
    <row r="35" spans="1:21" s="247" customFormat="1" ht="12.75" x14ac:dyDescent="0.2">
      <c r="A35" s="292"/>
      <c r="B35" s="141"/>
      <c r="C35" s="50"/>
      <c r="D35" s="50"/>
      <c r="E35" s="50"/>
      <c r="F35" s="141"/>
      <c r="G35" s="295" t="s">
        <v>314</v>
      </c>
      <c r="H35" s="340">
        <f>IF(SUM(B34:F34)=0,"n/a",ROUND((SUM(B34:F34)-MAX(B34:F34)-MIN(B34:F34))/3,2))</f>
        <v>211.82</v>
      </c>
      <c r="I35" s="50"/>
      <c r="J35" s="292"/>
      <c r="K35" s="50"/>
      <c r="L35" s="50"/>
      <c r="M35" s="141" t="s">
        <v>262</v>
      </c>
      <c r="N35" s="50"/>
      <c r="O35" s="141"/>
      <c r="P35" s="260"/>
      <c r="Q35" s="340">
        <f>IF(SUM(K34:O34)=0,"n/a",ROUND((SUM(K34:O34)-MAX(K34:O34)-MIN(K34:O34))/3,2))</f>
        <v>59.42</v>
      </c>
      <c r="T35" s="245"/>
      <c r="U35" s="245"/>
    </row>
    <row r="36" spans="1:21" s="247" customFormat="1" ht="5.25" customHeight="1" x14ac:dyDescent="0.2">
      <c r="A36" s="178"/>
      <c r="B36" s="50"/>
      <c r="C36" s="50"/>
      <c r="D36" s="141"/>
      <c r="E36" s="50"/>
      <c r="F36" s="141"/>
      <c r="G36" s="260"/>
      <c r="H36" s="296"/>
      <c r="I36" s="50"/>
      <c r="J36" s="178"/>
      <c r="K36" s="50"/>
      <c r="L36" s="50"/>
      <c r="M36" s="141"/>
      <c r="N36" s="50"/>
      <c r="O36" s="141"/>
      <c r="P36" s="260"/>
      <c r="Q36" s="296"/>
      <c r="T36" s="245"/>
      <c r="U36" s="245"/>
    </row>
    <row r="37" spans="1:21" s="247" customFormat="1" ht="12.75" x14ac:dyDescent="0.2">
      <c r="A37" s="253" t="s">
        <v>322</v>
      </c>
      <c r="B37" s="50"/>
      <c r="C37" s="50"/>
      <c r="D37" s="141"/>
      <c r="E37" s="50"/>
      <c r="F37" s="141"/>
      <c r="G37" s="260"/>
      <c r="H37" s="296"/>
      <c r="I37" s="50"/>
      <c r="J37" s="253" t="str">
        <f>+A37</f>
        <v>ARC-CO Revenue Guarantee ($/acre)</v>
      </c>
      <c r="K37" s="50"/>
      <c r="L37" s="50"/>
      <c r="M37" s="141"/>
      <c r="N37" s="50"/>
      <c r="O37" s="141"/>
      <c r="P37" s="260"/>
      <c r="Q37" s="296"/>
      <c r="T37" s="245"/>
      <c r="U37" s="245"/>
    </row>
    <row r="38" spans="1:21" s="247" customFormat="1" ht="12.75" x14ac:dyDescent="0.2">
      <c r="A38" s="291" t="s">
        <v>344</v>
      </c>
      <c r="B38" s="50"/>
      <c r="C38" s="50"/>
      <c r="D38" s="141"/>
      <c r="E38" s="50"/>
      <c r="F38" s="50"/>
      <c r="G38" s="50"/>
      <c r="H38" s="297">
        <f>IFERROR(H35*H31,"")</f>
        <v>1027.327</v>
      </c>
      <c r="I38" s="50"/>
      <c r="J38" s="291" t="s">
        <v>344</v>
      </c>
      <c r="K38" s="50"/>
      <c r="L38" s="50"/>
      <c r="M38" s="141"/>
      <c r="N38" s="50"/>
      <c r="O38" s="141"/>
      <c r="P38" s="260"/>
      <c r="Q38" s="297">
        <f>IFERROR(Q35*Q31,"")</f>
        <v>660.75040000000001</v>
      </c>
      <c r="T38" s="245"/>
      <c r="U38" s="245"/>
    </row>
    <row r="39" spans="1:21" s="247" customFormat="1" ht="12.75" x14ac:dyDescent="0.2">
      <c r="A39" s="255" t="str">
        <f>+"ARC-CO Net Revenue Guarantee ("&amp;T39&amp;"% of Benchmark Revenue)"</f>
        <v>ARC-CO Net Revenue Guarantee (86% of Benchmark Revenue)</v>
      </c>
      <c r="B39" s="50"/>
      <c r="C39" s="50"/>
      <c r="D39" s="141"/>
      <c r="E39" s="50"/>
      <c r="F39" s="50"/>
      <c r="G39" s="50"/>
      <c r="H39" s="339">
        <f>IFERROR(ROUND(H38*T39/100,2),"")</f>
        <v>883.5</v>
      </c>
      <c r="I39" s="50"/>
      <c r="J39" s="255" t="str">
        <f>+A39</f>
        <v>ARC-CO Net Revenue Guarantee (86% of Benchmark Revenue)</v>
      </c>
      <c r="K39" s="50"/>
      <c r="L39" s="50"/>
      <c r="M39" s="141"/>
      <c r="N39" s="50"/>
      <c r="O39" s="141"/>
      <c r="P39" s="260"/>
      <c r="Q39" s="339">
        <f>IFERROR(ROUND(Q38*T39/100,2),"")</f>
        <v>568.25</v>
      </c>
      <c r="T39" s="262">
        <v>86</v>
      </c>
      <c r="U39" s="245"/>
    </row>
    <row r="40" spans="1:21" s="247" customFormat="1" ht="12.75" x14ac:dyDescent="0.2">
      <c r="A40" s="291" t="str">
        <f>+"Payment Cap ("&amp;T40&amp;"% of Benchmark Revenue)"</f>
        <v>Payment Cap (10% of Benchmark Revenue)</v>
      </c>
      <c r="B40" s="50"/>
      <c r="C40" s="50"/>
      <c r="D40" s="141"/>
      <c r="E40" s="50"/>
      <c r="F40" s="142"/>
      <c r="G40" s="50"/>
      <c r="H40" s="297">
        <f>IFERROR(T40*H38/100,"")</f>
        <v>102.73270000000001</v>
      </c>
      <c r="I40" s="50"/>
      <c r="J40" s="291" t="str">
        <f>+A40</f>
        <v>Payment Cap (10% of Benchmark Revenue)</v>
      </c>
      <c r="K40" s="50"/>
      <c r="L40" s="50"/>
      <c r="M40" s="141"/>
      <c r="N40" s="50"/>
      <c r="O40" s="141"/>
      <c r="P40" s="260"/>
      <c r="Q40" s="297">
        <f>IFERROR(T40*Q38/100,"")</f>
        <v>66.075040000000001</v>
      </c>
      <c r="T40" s="262">
        <v>10</v>
      </c>
      <c r="U40" s="245"/>
    </row>
    <row r="41" spans="1:21" s="247" customFormat="1" ht="8.25" customHeight="1" x14ac:dyDescent="0.2">
      <c r="A41" s="292"/>
      <c r="B41" s="50"/>
      <c r="C41" s="50"/>
      <c r="D41" s="141"/>
      <c r="E41" s="50"/>
      <c r="F41" s="141"/>
      <c r="G41" s="260"/>
      <c r="H41" s="296"/>
      <c r="I41" s="50"/>
      <c r="J41" s="292"/>
      <c r="K41" s="50"/>
      <c r="L41" s="50"/>
      <c r="M41" s="141"/>
      <c r="N41" s="50"/>
      <c r="O41" s="141"/>
      <c r="P41" s="260"/>
      <c r="Q41" s="296"/>
      <c r="T41" s="245"/>
      <c r="U41" s="245"/>
    </row>
    <row r="42" spans="1:21" s="247" customFormat="1" ht="12.75" x14ac:dyDescent="0.2">
      <c r="A42" s="253" t="str">
        <f>+RIGHT($A$1,7)&amp;" Projected 'Actual' County Revenue (Please fill out the yellow-shaded cells)"</f>
        <v>2024-25 Projected 'Actual' County Revenue (Please fill out the yellow-shaded cells)</v>
      </c>
      <c r="B42" s="50"/>
      <c r="C42" s="50"/>
      <c r="D42" s="141"/>
      <c r="E42" s="50"/>
      <c r="F42" s="141"/>
      <c r="G42" s="260"/>
      <c r="H42" s="296"/>
      <c r="I42" s="50"/>
      <c r="J42" s="253" t="str">
        <f>+A42</f>
        <v>2024-25 Projected 'Actual' County Revenue (Please fill out the yellow-shaded cells)</v>
      </c>
      <c r="K42" s="50"/>
      <c r="L42" s="50"/>
      <c r="M42" s="141"/>
      <c r="N42" s="50"/>
      <c r="O42" s="141"/>
      <c r="P42" s="260"/>
      <c r="Q42" s="296"/>
      <c r="T42" s="262"/>
      <c r="U42" s="245"/>
    </row>
    <row r="43" spans="1:21" s="247" customFormat="1" ht="12.75" x14ac:dyDescent="0.2">
      <c r="A43" s="291" t="str">
        <f>+"Projected "&amp;RIGHT($A$1,7)&amp;" MYA Price (as entered above), $/bushel"</f>
        <v>Projected 2024-25 MYA Price (as entered above), $/bushel</v>
      </c>
      <c r="B43" s="50"/>
      <c r="C43" s="50"/>
      <c r="D43" s="141"/>
      <c r="E43" s="50"/>
      <c r="F43" s="141"/>
      <c r="G43" s="355" t="str">
        <f>+IF(F11&gt;0,"","Please fill in yellow-shaded cells")</f>
        <v/>
      </c>
      <c r="H43" s="362">
        <f>IF(F11&gt;0,F11,"n/a")</f>
        <v>4.4000000000000004</v>
      </c>
      <c r="I43" s="50"/>
      <c r="J43" s="291" t="str">
        <f>+A43</f>
        <v>Projected 2024-25 MYA Price (as entered above), $/bushel</v>
      </c>
      <c r="K43" s="50"/>
      <c r="L43" s="50"/>
      <c r="M43" s="141"/>
      <c r="N43" s="50"/>
      <c r="O43" s="141"/>
      <c r="P43" s="355" t="str">
        <f>+IF(G11&gt;0,"","Please fill in yellow-shaded cells")</f>
        <v/>
      </c>
      <c r="Q43" s="362">
        <f>IF(G11&gt;0,G11,"n/a")</f>
        <v>11.3</v>
      </c>
      <c r="T43" s="262"/>
      <c r="U43" s="245"/>
    </row>
    <row r="44" spans="1:21" s="247" customFormat="1" ht="12.75" x14ac:dyDescent="0.2">
      <c r="A44" s="291" t="str">
        <f>+"Projected County Yield in "&amp;LEFT(RIGHT($A$1,7),4)&amp;" (as entered above), bu./acre"</f>
        <v>Projected County Yield in 2024 (as entered above), bu./acre</v>
      </c>
      <c r="B44" s="50"/>
      <c r="C44" s="50"/>
      <c r="D44" s="141"/>
      <c r="E44" s="50"/>
      <c r="F44" s="141"/>
      <c r="G44" s="355" t="str">
        <f>+IF(F12&gt;0,"","Please fill in yellow-shaded cells")</f>
        <v>Please fill in yellow-shaded cells</v>
      </c>
      <c r="H44" s="363" t="str">
        <f>IF(F12&gt;0,F12,"n/a")</f>
        <v>n/a</v>
      </c>
      <c r="I44" s="50"/>
      <c r="J44" s="291" t="str">
        <f>+A44</f>
        <v>Projected County Yield in 2024 (as entered above), bu./acre</v>
      </c>
      <c r="K44" s="50"/>
      <c r="L44" s="50"/>
      <c r="M44" s="141"/>
      <c r="N44" s="50"/>
      <c r="O44" s="141"/>
      <c r="P44" s="355" t="str">
        <f>+IF(G12&gt;0,"","Please fill in yellow-shaded cells")</f>
        <v>Please fill in yellow-shaded cells</v>
      </c>
      <c r="Q44" s="363" t="str">
        <f>IF(G12&gt;0,G12,"n/a")</f>
        <v>n/a</v>
      </c>
      <c r="T44" s="262"/>
      <c r="U44" s="245"/>
    </row>
    <row r="45" spans="1:21" s="247" customFormat="1" ht="12.75" x14ac:dyDescent="0.2">
      <c r="A45" s="255" t="str">
        <f>+"Projected 'Actual' County Revenue ($/acre)"</f>
        <v>Projected 'Actual' County Revenue ($/acre)</v>
      </c>
      <c r="B45" s="50"/>
      <c r="C45" s="50"/>
      <c r="D45" s="141"/>
      <c r="E45" s="50"/>
      <c r="F45" s="141"/>
      <c r="G45" s="355"/>
      <c r="H45" s="339" t="str">
        <f>IF(F11*F12=0,"n/a",H43*H44)</f>
        <v>n/a</v>
      </c>
      <c r="I45" s="50"/>
      <c r="J45" s="255" t="str">
        <f>+A45</f>
        <v>Projected 'Actual' County Revenue ($/acre)</v>
      </c>
      <c r="K45" s="50"/>
      <c r="L45" s="50"/>
      <c r="M45" s="141"/>
      <c r="N45" s="50"/>
      <c r="O45" s="141"/>
      <c r="P45" s="355"/>
      <c r="Q45" s="339" t="str">
        <f>IF(G11*G12=0,"n/a",Q43*Q44)</f>
        <v>n/a</v>
      </c>
      <c r="T45" s="262"/>
      <c r="U45" s="245"/>
    </row>
    <row r="46" spans="1:21" s="249" customFormat="1" ht="12.75" x14ac:dyDescent="0.2">
      <c r="A46" s="209" t="s">
        <v>351</v>
      </c>
      <c r="B46" s="210"/>
      <c r="C46" s="210"/>
      <c r="D46" s="210"/>
      <c r="E46" s="210"/>
      <c r="F46" s="141"/>
      <c r="G46" s="141"/>
      <c r="H46" s="359">
        <f>IF(H35="n/a",H35,IF(F11&gt;0,MAX(0,ROUND(H39/H43,1)),"n/a"))</f>
        <v>200.8</v>
      </c>
      <c r="I46" s="141"/>
      <c r="J46" s="209" t="s">
        <v>351</v>
      </c>
      <c r="K46" s="210"/>
      <c r="L46" s="210"/>
      <c r="M46" s="210"/>
      <c r="N46" s="210"/>
      <c r="O46" s="141"/>
      <c r="P46" s="141"/>
      <c r="Q46" s="359">
        <f>IF(Q35="n/a",Q35,IF(G11&gt;0,MAX(0,ROUND(Q39/Q43,1)),"n/a"))</f>
        <v>50.3</v>
      </c>
    </row>
    <row r="47" spans="1:21" s="247" customFormat="1" ht="9.75" customHeight="1" x14ac:dyDescent="0.2">
      <c r="A47" s="291"/>
      <c r="B47" s="231"/>
      <c r="C47" s="231"/>
      <c r="D47" s="231"/>
      <c r="E47" s="231"/>
      <c r="F47" s="231"/>
      <c r="G47" s="231"/>
      <c r="H47" s="150"/>
      <c r="I47" s="50"/>
      <c r="J47" s="291"/>
      <c r="K47" s="231"/>
      <c r="L47" s="231"/>
      <c r="M47" s="231"/>
      <c r="N47" s="231"/>
      <c r="O47" s="231"/>
      <c r="P47" s="231"/>
      <c r="Q47" s="150"/>
      <c r="T47" s="245"/>
      <c r="U47" s="245"/>
    </row>
    <row r="48" spans="1:21" s="247" customFormat="1" ht="15" customHeight="1" x14ac:dyDescent="0.25">
      <c r="A48" s="351" t="str">
        <f>+RIGHT($A$1,7)&amp;" ARC-CO Payment"</f>
        <v>2024-25 ARC-CO Payment</v>
      </c>
      <c r="B48" s="50"/>
      <c r="C48" s="50"/>
      <c r="D48" s="50"/>
      <c r="E48" s="50"/>
      <c r="F48" s="50"/>
      <c r="G48" s="50"/>
      <c r="H48" s="150"/>
      <c r="I48" s="50"/>
      <c r="J48" s="351" t="str">
        <f>+RIGHT($A$1,7)&amp;" ARC-CO Payment"</f>
        <v>2024-25 ARC-CO Payment</v>
      </c>
      <c r="K48" s="50"/>
      <c r="L48" s="50"/>
      <c r="M48" s="50"/>
      <c r="N48" s="50"/>
      <c r="O48" s="50"/>
      <c r="P48" s="50"/>
      <c r="Q48" s="150"/>
      <c r="T48" s="245"/>
      <c r="U48" s="245"/>
    </row>
    <row r="49" spans="1:21" s="247" customFormat="1" ht="26.25" customHeight="1" x14ac:dyDescent="0.2">
      <c r="A49" s="298" t="str">
        <f>+"'Actual' County Revenue - ARC-CO Revenue Guarantee, $/acre"</f>
        <v>'Actual' County Revenue - ARC-CO Revenue Guarantee, $/acre</v>
      </c>
      <c r="B49" s="50"/>
      <c r="C49" s="50"/>
      <c r="D49" s="50"/>
      <c r="E49" s="141"/>
      <c r="F49" s="141"/>
      <c r="G49" s="329" t="str">
        <f>+IFERROR(IF(-H49&gt;H40,"(Payment cap reached with entered projections)",""),"")</f>
        <v/>
      </c>
      <c r="H49" s="341" t="str">
        <f>IFERROR(H45-H39,"n/a")</f>
        <v>n/a</v>
      </c>
      <c r="I49" s="51"/>
      <c r="J49" s="298" t="str">
        <f>+A49</f>
        <v>'Actual' County Revenue - ARC-CO Revenue Guarantee, $/acre</v>
      </c>
      <c r="K49" s="50"/>
      <c r="L49" s="50"/>
      <c r="M49" s="50"/>
      <c r="N49" s="141"/>
      <c r="O49" s="141"/>
      <c r="P49" s="329" t="str">
        <f>+IFERROR(IF(-Q49&gt;Q40,"(Payment cap reached with entered projections)",""),"")</f>
        <v/>
      </c>
      <c r="Q49" s="341" t="str">
        <f>IFERROR(Q45-Q39,"n/a")</f>
        <v>n/a</v>
      </c>
      <c r="T49" s="245"/>
      <c r="U49" s="245"/>
    </row>
    <row r="50" spans="1:21" s="247" customFormat="1" ht="26.25" customHeight="1" x14ac:dyDescent="0.2">
      <c r="A50" s="299" t="str">
        <f>+"ARC-CO Payment, in $/base acre (adjusted for payments on "&amp;$T$50&amp;"% of base acres and "&amp;$U$50&amp;"% sequestration)"</f>
        <v>ARC-CO Payment, in $/base acre (adjusted for payments on 85% of base acres and 5.7% sequestration)</v>
      </c>
      <c r="B50" s="50"/>
      <c r="C50" s="50"/>
      <c r="D50" s="50"/>
      <c r="E50" s="50"/>
      <c r="F50" s="50"/>
      <c r="G50" s="142"/>
      <c r="H50" s="300" t="str">
        <f>IF(H49="n/a",H49,IF(H49&lt;0,IF(-H49&lt;H40,-H49*T50/100,H40*T50/100)*(1-U50/100),"No ARC payment"))</f>
        <v>n/a</v>
      </c>
      <c r="I50" s="301"/>
      <c r="J50" s="299" t="str">
        <f>+A50</f>
        <v>ARC-CO Payment, in $/base acre (adjusted for payments on 85% of base acres and 5.7% sequestration)</v>
      </c>
      <c r="K50" s="50"/>
      <c r="L50" s="50"/>
      <c r="M50" s="50"/>
      <c r="N50" s="50"/>
      <c r="O50" s="50"/>
      <c r="P50" s="142"/>
      <c r="Q50" s="300" t="str">
        <f>IF(Q49="n/a",Q49,IF(Q49&lt;0,IF(-Q49&lt;Q40,-Q49*T50/100,Q40*T50/100)*(1-U50/100),"No ARC payment"))</f>
        <v>n/a</v>
      </c>
      <c r="T50" s="262">
        <v>85</v>
      </c>
      <c r="U50" s="302">
        <v>5.7</v>
      </c>
    </row>
    <row r="51" spans="1:21" s="247" customFormat="1" ht="26.25" customHeight="1" x14ac:dyDescent="0.2">
      <c r="A51" s="298" t="str">
        <f>+"Your Corn Base Acres in "&amp;$A$7&amp;" County"</f>
        <v>Your Corn Base Acres in Louisa County</v>
      </c>
      <c r="B51" s="50"/>
      <c r="C51" s="50"/>
      <c r="D51" s="50"/>
      <c r="E51" s="50"/>
      <c r="F51" s="50"/>
      <c r="G51" s="328" t="str">
        <f>+IF(F13&gt;0,"","Please fill in yellow-shaded cells")</f>
        <v>Please fill in yellow-shaded cells</v>
      </c>
      <c r="H51" s="364" t="str">
        <f>IF(F13&gt;0,F13,"n/a")</f>
        <v>n/a</v>
      </c>
      <c r="I51" s="301"/>
      <c r="J51" s="298" t="str">
        <f>+"Your Soybean Base Acres in "&amp;$A$7&amp;" County"</f>
        <v>Your Soybean Base Acres in Louisa County</v>
      </c>
      <c r="K51" s="50"/>
      <c r="L51" s="50"/>
      <c r="M51" s="50"/>
      <c r="N51" s="50"/>
      <c r="O51" s="50"/>
      <c r="P51" s="328" t="str">
        <f>+IF(G13&gt;0,"","Please fill in yellow-shaded cells")</f>
        <v>Please fill in yellow-shaded cells</v>
      </c>
      <c r="Q51" s="364" t="str">
        <f>IF(G13&gt;0,G13,"n/a")</f>
        <v>n/a</v>
      </c>
      <c r="T51" s="245"/>
      <c r="U51" s="245"/>
    </row>
    <row r="52" spans="1:21" s="247" customFormat="1" ht="26.25" customHeight="1" x14ac:dyDescent="0.2">
      <c r="A52" s="299" t="str">
        <f>+"Total projected ARC-CO Payments (adjusted for base acres and sequestration)^^"</f>
        <v>Total projected ARC-CO Payments (adjusted for base acres and sequestration)^^</v>
      </c>
      <c r="B52" s="50"/>
      <c r="C52" s="50"/>
      <c r="D52" s="50"/>
      <c r="E52" s="50"/>
      <c r="F52" s="50"/>
      <c r="G52" s="142"/>
      <c r="H52" s="303" t="str">
        <f>IFERROR(IF(H50="No ARC payment",H50,IF(H51=0,"n/a",(H51*H50))),"n/a")</f>
        <v>n/a</v>
      </c>
      <c r="I52" s="301"/>
      <c r="J52" s="299" t="str">
        <f>+A52</f>
        <v>Total projected ARC-CO Payments (adjusted for base acres and sequestration)^^</v>
      </c>
      <c r="K52" s="50"/>
      <c r="L52" s="50"/>
      <c r="M52" s="50"/>
      <c r="N52" s="50"/>
      <c r="O52" s="50"/>
      <c r="P52" s="142"/>
      <c r="Q52" s="303" t="str">
        <f>IFERROR(IF(Q50="No ARC payment",Q50,IF(Q51=0,"n/a",(Q51*Q50))),"n/a")</f>
        <v>n/a</v>
      </c>
      <c r="T52" s="245"/>
      <c r="U52" s="245"/>
    </row>
    <row r="53" spans="1:21" s="141" customFormat="1" ht="6.75" customHeight="1" thickBot="1" x14ac:dyDescent="0.3">
      <c r="A53" s="257"/>
      <c r="B53" s="143"/>
      <c r="C53" s="143"/>
      <c r="D53" s="143"/>
      <c r="E53" s="143"/>
      <c r="F53" s="143"/>
      <c r="G53" s="144"/>
      <c r="H53" s="265"/>
      <c r="I53" s="214"/>
      <c r="J53" s="257"/>
      <c r="K53" s="143"/>
      <c r="L53" s="143"/>
      <c r="M53" s="143"/>
      <c r="N53" s="143"/>
      <c r="O53" s="143"/>
      <c r="P53" s="144"/>
      <c r="Q53" s="265"/>
      <c r="R53" s="304"/>
    </row>
    <row r="54" spans="1:21" s="247" customFormat="1" ht="23.85" customHeight="1" thickBot="1" x14ac:dyDescent="0.25">
      <c r="A54" s="330" t="str">
        <f>+"5a. Price Loss Coverage (PLC) in "&amp;A7&amp;" County for Corn"</f>
        <v>5a. Price Loss Coverage (PLC) in Louisa County for Corn</v>
      </c>
      <c r="B54" s="333"/>
      <c r="C54" s="333"/>
      <c r="D54" s="333"/>
      <c r="E54" s="333"/>
      <c r="F54" s="333"/>
      <c r="G54" s="333"/>
      <c r="H54" s="334"/>
      <c r="I54" s="141"/>
      <c r="J54" s="330" t="str">
        <f>+"5b. Price Loss Coverage (PLC) in "&amp;A7&amp;" County for Soybeans"</f>
        <v>5b. Price Loss Coverage (PLC) in Louisa County for Soybeans</v>
      </c>
      <c r="K54" s="333"/>
      <c r="L54" s="332"/>
      <c r="M54" s="333"/>
      <c r="N54" s="335"/>
      <c r="O54" s="335"/>
      <c r="P54" s="335"/>
      <c r="Q54" s="334"/>
      <c r="T54" s="245"/>
      <c r="U54" s="245"/>
    </row>
    <row r="55" spans="1:21" s="50" customFormat="1" ht="12.75" x14ac:dyDescent="0.2">
      <c r="A55" s="305" t="s">
        <v>323</v>
      </c>
      <c r="B55" s="306"/>
      <c r="C55" s="306"/>
      <c r="D55" s="306"/>
      <c r="E55" s="306"/>
      <c r="F55" s="306"/>
      <c r="G55" s="306"/>
      <c r="H55" s="237"/>
      <c r="I55" s="141"/>
      <c r="J55" s="305" t="s">
        <v>323</v>
      </c>
      <c r="K55" s="141"/>
      <c r="L55" s="235"/>
      <c r="M55" s="141"/>
      <c r="P55" s="236"/>
      <c r="Q55" s="237"/>
      <c r="T55" s="51"/>
      <c r="U55" s="51"/>
    </row>
    <row r="56" spans="1:21" s="50" customFormat="1" ht="12.75" x14ac:dyDescent="0.2">
      <c r="A56" s="298" t="str">
        <f>+A25</f>
        <v>Effective Reference Price (ERP)</v>
      </c>
      <c r="C56" s="141"/>
      <c r="D56" s="141"/>
      <c r="E56" s="141"/>
      <c r="F56" s="141"/>
      <c r="G56" s="141"/>
      <c r="H56" s="342">
        <f>+B25</f>
        <v>4.01</v>
      </c>
      <c r="I56" s="141"/>
      <c r="J56" s="298" t="str">
        <f>+J25</f>
        <v>Effective Reference Price (ERP)</v>
      </c>
      <c r="K56" s="141"/>
      <c r="L56" s="235"/>
      <c r="M56" s="141"/>
      <c r="Q56" s="339">
        <f>+K25</f>
        <v>9.26</v>
      </c>
      <c r="T56" s="51"/>
      <c r="U56" s="51"/>
    </row>
    <row r="57" spans="1:21" s="50" customFormat="1" ht="12.75" x14ac:dyDescent="0.2">
      <c r="A57" s="298" t="s">
        <v>127</v>
      </c>
      <c r="C57" s="141"/>
      <c r="D57" s="141"/>
      <c r="E57" s="141"/>
      <c r="F57" s="141"/>
      <c r="G57" s="141"/>
      <c r="H57" s="307">
        <v>2.2000000000000002</v>
      </c>
      <c r="I57" s="141"/>
      <c r="J57" s="298" t="s">
        <v>127</v>
      </c>
      <c r="K57" s="141"/>
      <c r="L57" s="235"/>
      <c r="M57" s="141"/>
      <c r="Q57" s="307">
        <v>6.2</v>
      </c>
      <c r="T57" s="51"/>
      <c r="U57" s="51"/>
    </row>
    <row r="58" spans="1:21" s="50" customFormat="1" ht="12.75" x14ac:dyDescent="0.2">
      <c r="A58" s="298" t="s">
        <v>318</v>
      </c>
      <c r="C58" s="141"/>
      <c r="D58" s="141"/>
      <c r="E58" s="141"/>
      <c r="F58" s="141"/>
      <c r="G58" s="141"/>
      <c r="H58" s="307">
        <f>MAX(0,+H56-H57)</f>
        <v>1.8099999999999996</v>
      </c>
      <c r="I58" s="141"/>
      <c r="J58" s="298" t="s">
        <v>318</v>
      </c>
      <c r="K58" s="141"/>
      <c r="L58" s="235"/>
      <c r="M58" s="141"/>
      <c r="Q58" s="307">
        <f>MAX(0,+Q56-Q57)</f>
        <v>3.0599999999999996</v>
      </c>
      <c r="T58" s="51"/>
      <c r="U58" s="51"/>
    </row>
    <row r="59" spans="1:21" s="50" customFormat="1" ht="15.75" x14ac:dyDescent="0.2">
      <c r="A59" s="308"/>
      <c r="B59" s="141"/>
      <c r="C59" s="141"/>
      <c r="D59" s="141"/>
      <c r="E59" s="141"/>
      <c r="F59" s="141"/>
      <c r="G59" s="141"/>
      <c r="H59" s="145"/>
      <c r="I59" s="141"/>
      <c r="J59" s="308"/>
      <c r="K59" s="141"/>
      <c r="L59" s="235"/>
      <c r="M59" s="141"/>
      <c r="Q59" s="145"/>
      <c r="T59" s="51"/>
      <c r="U59" s="51"/>
    </row>
    <row r="60" spans="1:21" s="50" customFormat="1" ht="12.75" x14ac:dyDescent="0.2">
      <c r="A60" s="253" t="s">
        <v>324</v>
      </c>
      <c r="B60" s="141"/>
      <c r="C60" s="141"/>
      <c r="D60" s="141"/>
      <c r="E60" s="141"/>
      <c r="F60" s="141"/>
      <c r="G60" s="141"/>
      <c r="H60" s="145"/>
      <c r="I60" s="141"/>
      <c r="J60" s="253" t="s">
        <v>324</v>
      </c>
      <c r="K60" s="141"/>
      <c r="L60" s="235"/>
      <c r="M60" s="141"/>
      <c r="Q60" s="145"/>
      <c r="T60" s="51"/>
      <c r="U60" s="51"/>
    </row>
    <row r="61" spans="1:21" s="247" customFormat="1" ht="12.75" x14ac:dyDescent="0.2">
      <c r="A61" s="298" t="s">
        <v>319</v>
      </c>
      <c r="B61" s="50"/>
      <c r="C61" s="51"/>
      <c r="D61" s="50"/>
      <c r="E61" s="50"/>
      <c r="F61" s="50"/>
      <c r="G61" s="328" t="str">
        <f>+IF(F14&gt;0,"","Please fill in yellow-shaded cells")</f>
        <v>Please fill in yellow-shaded cells</v>
      </c>
      <c r="H61" s="372" t="str">
        <f>IF(F14&gt;0,F14,"n/a")</f>
        <v>n/a</v>
      </c>
      <c r="I61" s="51"/>
      <c r="J61" s="298" t="s">
        <v>319</v>
      </c>
      <c r="K61" s="50"/>
      <c r="L61" s="51"/>
      <c r="M61" s="50"/>
      <c r="N61" s="50"/>
      <c r="O61" s="50"/>
      <c r="P61" s="328" t="str">
        <f>+IF(G14&gt;0,"","Please fill in yellow-shaded cells")</f>
        <v>Please fill in yellow-shaded cells</v>
      </c>
      <c r="Q61" s="372" t="str">
        <f>IF(G14&gt;0,G14,"n/a")</f>
        <v>n/a</v>
      </c>
      <c r="T61" s="245"/>
      <c r="U61" s="245"/>
    </row>
    <row r="62" spans="1:21" s="247" customFormat="1" ht="12.75" x14ac:dyDescent="0.2">
      <c r="A62" s="256"/>
      <c r="B62" s="50"/>
      <c r="C62" s="51"/>
      <c r="D62" s="50"/>
      <c r="E62" s="50"/>
      <c r="F62" s="50"/>
      <c r="G62" s="148"/>
      <c r="H62" s="150"/>
      <c r="I62" s="51"/>
      <c r="J62" s="256"/>
      <c r="K62" s="50"/>
      <c r="L62" s="51"/>
      <c r="M62" s="50"/>
      <c r="N62" s="50"/>
      <c r="O62" s="50"/>
      <c r="P62" s="148"/>
      <c r="Q62" s="150"/>
      <c r="T62" s="245"/>
      <c r="U62" s="245"/>
    </row>
    <row r="63" spans="1:21" s="247" customFormat="1" ht="15" x14ac:dyDescent="0.25">
      <c r="A63" s="351" t="str">
        <f>+RIGHT($A$1,7)&amp;" PLC Payment"</f>
        <v>2024-25 PLC Payment</v>
      </c>
      <c r="B63" s="50"/>
      <c r="C63" s="51"/>
      <c r="D63" s="50"/>
      <c r="E63" s="50"/>
      <c r="F63" s="50"/>
      <c r="G63" s="148"/>
      <c r="H63" s="150"/>
      <c r="I63" s="51"/>
      <c r="J63" s="351" t="str">
        <f>+RIGHT($A$1,7)&amp;" PLC Payment"</f>
        <v>2024-25 PLC Payment</v>
      </c>
      <c r="K63" s="50"/>
      <c r="L63" s="51"/>
      <c r="M63" s="50"/>
      <c r="N63" s="50"/>
      <c r="O63" s="50"/>
      <c r="P63" s="148"/>
      <c r="Q63" s="150"/>
      <c r="T63" s="245"/>
      <c r="U63" s="245"/>
    </row>
    <row r="64" spans="1:21" s="247" customFormat="1" ht="25.5" customHeight="1" x14ac:dyDescent="0.2">
      <c r="A64" s="357" t="str">
        <f>+A43</f>
        <v>Projected 2024-25 MYA Price (as entered above), $/bushel</v>
      </c>
      <c r="B64" s="50"/>
      <c r="C64" s="51"/>
      <c r="D64" s="50"/>
      <c r="E64" s="50"/>
      <c r="F64" s="50"/>
      <c r="G64" s="328" t="str">
        <f>+IF(F11&gt;0,IF(-H64+H56&gt;=H58,"(Payment cap reached at this price)",""),"Please fill in yellow-shaded cells")</f>
        <v/>
      </c>
      <c r="H64" s="366">
        <f>IF(F11&gt;0,F11,"n/a")</f>
        <v>4.4000000000000004</v>
      </c>
      <c r="I64" s="51"/>
      <c r="J64" s="357" t="str">
        <f>+J43</f>
        <v>Projected 2024-25 MYA Price (as entered above), $/bushel</v>
      </c>
      <c r="K64" s="50"/>
      <c r="L64" s="51"/>
      <c r="M64" s="50"/>
      <c r="N64" s="50"/>
      <c r="O64" s="50"/>
      <c r="P64" s="328" t="str">
        <f>+IF(G11&gt;0,IF(-Q64+Q56&gt;=Q58,"(Payment cap reached at this price)",""),"Please fill in yellow-shaded cells")</f>
        <v/>
      </c>
      <c r="Q64" s="366">
        <f>IF(G11&gt;0,G11,"n/a")</f>
        <v>11.3</v>
      </c>
      <c r="T64" s="245"/>
      <c r="U64" s="245"/>
    </row>
    <row r="65" spans="1:32" ht="29.25" customHeight="1" x14ac:dyDescent="0.2">
      <c r="A65" s="299" t="str">
        <f>+"PLC Payment per base acre (adjusted for payments on "&amp;$T$50&amp;"% of base acres and "&amp;$U$50&amp;"% sequestration)"</f>
        <v>PLC Payment per base acre (adjusted for payments on 85% of base acres and 5.7% sequestration)</v>
      </c>
      <c r="B65" s="309"/>
      <c r="C65" s="309"/>
      <c r="D65" s="309"/>
      <c r="E65" s="309"/>
      <c r="F65" s="309"/>
      <c r="G65" s="309"/>
      <c r="H65" s="353" t="str">
        <f>IF(AND(F11&gt;0,F14&gt;0),IF(AND(F11&lt;H56),MIN(H58,H$56-H64)*H61*$T$50/100*(1-$U$50/100),"No PLC payment"),"n/a")</f>
        <v>n/a</v>
      </c>
      <c r="J65" s="299" t="str">
        <f>+"PLC Payment per base acre (adjusted for payments on "&amp;$T$50&amp;"% of base acres and "&amp;$U$50&amp;"% sequestration)"</f>
        <v>PLC Payment per base acre (adjusted for payments on 85% of base acres and 5.7% sequestration)</v>
      </c>
      <c r="K65" s="309"/>
      <c r="L65" s="309"/>
      <c r="M65" s="309"/>
      <c r="N65" s="309"/>
      <c r="O65" s="309"/>
      <c r="P65" s="309"/>
      <c r="Q65" s="353" t="str">
        <f>IF(AND(G11&gt;0,G14&gt;0),IF(AND(G11&lt;Q56),MIN(Q58,Q$56-Q64)*Q61*$T$50/100*(1-$U$50/100),"No PLC payment"),"n/a")</f>
        <v>n/a</v>
      </c>
    </row>
    <row r="66" spans="1:32" ht="25.5" customHeight="1" x14ac:dyDescent="0.2">
      <c r="A66" s="298" t="str">
        <f>+"Your Corn Base Acres in "&amp;$A$7&amp;" County"</f>
        <v>Your Corn Base Acres in Louisa County</v>
      </c>
      <c r="B66" s="50"/>
      <c r="C66" s="50"/>
      <c r="D66" s="50"/>
      <c r="E66" s="50"/>
      <c r="F66" s="50"/>
      <c r="G66" s="328" t="str">
        <f>+IF(F13&gt;0,"","Please fill in yellow-shaded cells")</f>
        <v>Please fill in yellow-shaded cells</v>
      </c>
      <c r="H66" s="367" t="str">
        <f>IF(F13&gt;0,F13,"n/a")</f>
        <v>n/a</v>
      </c>
      <c r="J66" s="298" t="str">
        <f>+"Your Soybean Base Acres in "&amp;$A$7&amp;" County"</f>
        <v>Your Soybean Base Acres in Louisa County</v>
      </c>
      <c r="K66" s="309"/>
      <c r="L66" s="309"/>
      <c r="M66" s="309"/>
      <c r="N66" s="309"/>
      <c r="O66" s="309"/>
      <c r="P66" s="328" t="str">
        <f>+IF(G13&gt;0,"","Please fill in yellow-shaded cells")</f>
        <v>Please fill in yellow-shaded cells</v>
      </c>
      <c r="Q66" s="368" t="str">
        <f>IF(G13&gt;0,G13,"n/a")</f>
        <v>n/a</v>
      </c>
    </row>
    <row r="67" spans="1:32" ht="31.5" customHeight="1" thickBot="1" x14ac:dyDescent="0.25">
      <c r="A67" s="310" t="str">
        <f>+"Total projected PLC Payments (adjusted for base acres and sequestration)^^^"</f>
        <v>Total projected PLC Payments (adjusted for base acres and sequestration)^^^</v>
      </c>
      <c r="B67" s="234"/>
      <c r="C67" s="234"/>
      <c r="D67" s="234"/>
      <c r="E67" s="234"/>
      <c r="F67" s="234"/>
      <c r="G67" s="311"/>
      <c r="H67" s="312" t="str">
        <f>IFERROR(IF(H65="No PLC payment",H65,IF(H66=0,"n/a",(H66*H65))),"n/a")</f>
        <v>n/a</v>
      </c>
      <c r="J67" s="310" t="str">
        <f>+"Total projected PLC Payments (adjusted for base acres and sequestration)^^^"</f>
        <v>Total projected PLC Payments (adjusted for base acres and sequestration)^^^</v>
      </c>
      <c r="K67" s="313"/>
      <c r="L67" s="313"/>
      <c r="M67" s="313"/>
      <c r="N67" s="313"/>
      <c r="O67" s="313"/>
      <c r="P67" s="313"/>
      <c r="Q67" s="312" t="str">
        <f>IFERROR(IF(Q65="No PLC payment",Q65,IF(Q66=0,"n/a",(Q66*Q65))),"n/a")</f>
        <v>n/a</v>
      </c>
    </row>
    <row r="68" spans="1:32" x14ac:dyDescent="0.2">
      <c r="A68" s="373" t="s">
        <v>317</v>
      </c>
      <c r="J68" s="309"/>
      <c r="K68" s="309"/>
      <c r="L68" s="309"/>
      <c r="M68" s="309"/>
      <c r="N68" s="309"/>
      <c r="O68" s="309"/>
      <c r="P68" s="309"/>
      <c r="Q68" s="309"/>
    </row>
    <row r="69" spans="1:32" s="141" customFormat="1" ht="15" x14ac:dyDescent="0.25">
      <c r="A69" s="259" t="s">
        <v>284</v>
      </c>
      <c r="B69" s="143"/>
      <c r="C69" s="143"/>
      <c r="D69" s="143"/>
      <c r="E69" s="143"/>
      <c r="F69" s="143"/>
      <c r="G69" s="144"/>
      <c r="H69" s="266"/>
      <c r="I69" s="214"/>
      <c r="J69" s="259"/>
      <c r="K69" s="143"/>
      <c r="L69" s="143"/>
      <c r="M69" s="143"/>
      <c r="N69" s="143"/>
      <c r="O69" s="143"/>
      <c r="P69" s="144"/>
      <c r="Q69" s="266"/>
      <c r="R69" s="304"/>
    </row>
    <row r="70" spans="1:32" s="50" customFormat="1" ht="12.75" x14ac:dyDescent="0.2">
      <c r="A70" s="259" t="s">
        <v>352</v>
      </c>
      <c r="I70" s="51"/>
      <c r="J70" s="259"/>
      <c r="K70" s="51"/>
      <c r="P70" s="147"/>
      <c r="R70" s="147"/>
      <c r="T70" s="51"/>
      <c r="U70" s="51"/>
    </row>
    <row r="71" spans="1:32" s="247" customFormat="1" ht="12.75" x14ac:dyDescent="0.2">
      <c r="A71" s="259" t="str">
        <f>+"^^ARC-CO Payments (if any) will be issued in October 202"&amp;RIGHT($A$1,1)</f>
        <v>^^ARC-CO Payments (if any) will be issued in October 2025</v>
      </c>
      <c r="B71" s="50"/>
      <c r="C71" s="50"/>
      <c r="D71" s="50"/>
      <c r="E71" s="50"/>
      <c r="F71" s="50"/>
      <c r="G71" s="50"/>
      <c r="H71" s="50"/>
      <c r="I71" s="51"/>
      <c r="J71" s="259"/>
      <c r="K71" s="51"/>
      <c r="L71" s="50"/>
      <c r="M71" s="50"/>
      <c r="N71" s="50"/>
      <c r="O71" s="50"/>
      <c r="P71" s="147"/>
      <c r="Q71" s="50"/>
      <c r="R71" s="147"/>
      <c r="T71" s="245"/>
      <c r="U71" s="245"/>
    </row>
    <row r="72" spans="1:32" x14ac:dyDescent="0.2">
      <c r="A72" s="259" t="str">
        <f>+"^^^ PLC Payments (if any) will be issued in October 202"&amp;RIGHT($A$1,1)</f>
        <v>^^^ PLC Payments (if any) will be issued in October 2025</v>
      </c>
      <c r="B72" s="309"/>
      <c r="C72" s="309"/>
      <c r="D72" s="309"/>
      <c r="E72" s="309"/>
      <c r="F72" s="309"/>
      <c r="G72" s="309"/>
      <c r="H72" s="309"/>
      <c r="J72" s="309"/>
      <c r="K72" s="309"/>
      <c r="L72" s="309"/>
      <c r="M72" s="309"/>
      <c r="N72" s="309"/>
      <c r="O72" s="309"/>
      <c r="P72" s="309"/>
      <c r="Q72" s="309"/>
    </row>
    <row r="73" spans="1:32" s="247" customFormat="1" ht="12.75" x14ac:dyDescent="0.2">
      <c r="K73" s="245"/>
      <c r="L73" s="51"/>
      <c r="M73" s="245"/>
      <c r="N73" s="245"/>
      <c r="T73" s="245"/>
      <c r="U73" s="245"/>
      <c r="X73" s="245"/>
      <c r="Y73" s="245"/>
    </row>
    <row r="74" spans="1:32" s="247" customFormat="1" ht="15" x14ac:dyDescent="0.2">
      <c r="A74" s="314" t="s">
        <v>117</v>
      </c>
      <c r="B74" s="315"/>
      <c r="C74" s="315"/>
      <c r="D74" s="315"/>
      <c r="E74" s="315"/>
      <c r="F74" s="315"/>
      <c r="G74" s="315"/>
      <c r="H74" s="315"/>
      <c r="I74" s="315"/>
      <c r="J74" s="316" t="s">
        <v>123</v>
      </c>
      <c r="K74" s="315"/>
      <c r="L74" s="317"/>
      <c r="M74" s="245"/>
      <c r="N74" s="245"/>
      <c r="O74" s="245"/>
      <c r="Q74" s="245"/>
      <c r="T74" s="245"/>
      <c r="U74" s="245"/>
      <c r="Z74" s="245"/>
      <c r="AA74" s="245"/>
      <c r="AB74" s="245"/>
      <c r="AC74" s="245"/>
      <c r="AD74" s="245"/>
      <c r="AE74" s="245"/>
    </row>
    <row r="75" spans="1:32" s="247" customFormat="1" ht="15" x14ac:dyDescent="0.2">
      <c r="A75" s="369">
        <f>'Payment by County - Non Irr.'!A81</f>
        <v>45341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7"/>
      <c r="L75" s="317"/>
      <c r="M75" s="245"/>
      <c r="N75" s="245"/>
      <c r="O75" s="245"/>
      <c r="Q75" s="245"/>
      <c r="T75" s="245"/>
      <c r="U75" s="245"/>
      <c r="Y75" s="245"/>
      <c r="Z75" s="245"/>
      <c r="AA75" s="245"/>
      <c r="AB75" s="245"/>
      <c r="AC75" s="245"/>
      <c r="AD75" s="245"/>
      <c r="AE75" s="245"/>
    </row>
    <row r="76" spans="1:32" s="247" customFormat="1" ht="12.75" x14ac:dyDescent="0.2">
      <c r="A76" s="315"/>
      <c r="B76" s="315"/>
      <c r="C76" s="315"/>
      <c r="D76" s="315"/>
      <c r="E76" s="315"/>
      <c r="F76" s="315"/>
      <c r="G76" s="315"/>
      <c r="H76" s="315"/>
      <c r="I76" s="315"/>
      <c r="J76" s="318" t="s">
        <v>336</v>
      </c>
      <c r="K76" s="315"/>
      <c r="L76" s="317"/>
      <c r="M76" s="245"/>
      <c r="N76" s="245"/>
      <c r="O76" s="245"/>
      <c r="T76" s="245"/>
      <c r="U76" s="245"/>
      <c r="Z76" s="245"/>
      <c r="AA76" s="245"/>
      <c r="AB76" s="245"/>
      <c r="AC76" s="245"/>
      <c r="AD76" s="245"/>
      <c r="AE76" s="245"/>
      <c r="AF76" s="245"/>
    </row>
    <row r="77" spans="1:32" s="247" customFormat="1" ht="12.75" x14ac:dyDescent="0.2">
      <c r="A77" s="151" t="s">
        <v>290</v>
      </c>
      <c r="B77" s="153"/>
      <c r="C77" s="179"/>
      <c r="D77" s="151"/>
      <c r="E77" s="151"/>
      <c r="F77" s="151"/>
      <c r="G77" s="151"/>
      <c r="H77" s="180"/>
      <c r="I77" s="180"/>
      <c r="K77" s="317" t="s">
        <v>337</v>
      </c>
      <c r="L77" s="315"/>
      <c r="N77" s="245"/>
      <c r="O77" s="245"/>
      <c r="T77" s="245"/>
      <c r="U77" s="245"/>
      <c r="Z77" s="245"/>
      <c r="AA77" s="245"/>
      <c r="AB77" s="245"/>
      <c r="AC77" s="245"/>
      <c r="AD77" s="245"/>
      <c r="AE77" s="245"/>
      <c r="AF77" s="245"/>
    </row>
    <row r="78" spans="1:32" s="247" customFormat="1" ht="12.75" x14ac:dyDescent="0.2">
      <c r="A78" s="378" t="s">
        <v>118</v>
      </c>
      <c r="B78" s="378"/>
      <c r="C78" s="378"/>
      <c r="D78" s="180"/>
      <c r="E78" s="180"/>
      <c r="F78" s="180"/>
      <c r="G78" s="180"/>
      <c r="H78" s="180"/>
      <c r="I78" s="180"/>
      <c r="J78" s="318" t="s">
        <v>300</v>
      </c>
      <c r="K78" s="315"/>
      <c r="L78" s="315"/>
      <c r="N78" s="245"/>
      <c r="O78" s="245"/>
      <c r="T78" s="245"/>
      <c r="U78" s="245"/>
      <c r="Z78" s="245"/>
      <c r="AA78" s="245"/>
      <c r="AB78" s="245"/>
      <c r="AC78" s="245"/>
      <c r="AD78" s="245"/>
      <c r="AE78" s="245"/>
      <c r="AF78" s="245"/>
    </row>
    <row r="79" spans="1:32" s="247" customFormat="1" x14ac:dyDescent="0.2">
      <c r="A79" s="371" t="s">
        <v>115</v>
      </c>
      <c r="B79" s="371"/>
      <c r="C79" s="371"/>
      <c r="D79" s="180"/>
      <c r="E79" s="180"/>
      <c r="F79" s="180"/>
      <c r="G79" s="180"/>
      <c r="H79" s="180"/>
      <c r="I79" s="180"/>
      <c r="J79" s="319" t="s">
        <v>122</v>
      </c>
      <c r="K79" s="315"/>
      <c r="L79" s="315"/>
      <c r="N79" s="245"/>
      <c r="O79" s="245"/>
      <c r="Q79" s="244"/>
      <c r="R79" s="244"/>
      <c r="S79" s="244"/>
      <c r="T79" s="245"/>
      <c r="U79" s="245"/>
      <c r="Z79" s="245"/>
      <c r="AA79" s="245"/>
      <c r="AB79" s="245"/>
      <c r="AC79" s="245"/>
      <c r="AD79" s="245"/>
      <c r="AE79" s="245"/>
      <c r="AF79" s="245"/>
    </row>
    <row r="80" spans="1:32" s="247" customFormat="1" ht="12.75" x14ac:dyDescent="0.2">
      <c r="A80" s="135" t="s">
        <v>104</v>
      </c>
      <c r="B80" s="180"/>
      <c r="C80" s="180"/>
      <c r="D80" s="180"/>
      <c r="E80" s="180"/>
      <c r="F80" s="180"/>
      <c r="G80" s="180"/>
      <c r="H80" s="180"/>
      <c r="I80" s="180"/>
      <c r="J80" s="319" t="s">
        <v>121</v>
      </c>
      <c r="K80" s="315"/>
      <c r="L80" s="315"/>
      <c r="N80" s="245"/>
      <c r="O80" s="245"/>
      <c r="T80" s="245"/>
      <c r="U80" s="245"/>
      <c r="Z80" s="245"/>
      <c r="AA80" s="245"/>
      <c r="AB80" s="245"/>
      <c r="AC80" s="245"/>
      <c r="AD80" s="245"/>
      <c r="AE80" s="245"/>
      <c r="AF80" s="245"/>
    </row>
    <row r="81" spans="1:38" s="247" customFormat="1" ht="12.75" x14ac:dyDescent="0.2">
      <c r="A81" s="153">
        <f ca="1">TODAY()</f>
        <v>45341</v>
      </c>
      <c r="B81" s="180"/>
      <c r="C81" s="180"/>
      <c r="D81" s="180"/>
      <c r="E81" s="180"/>
      <c r="F81" s="320"/>
      <c r="G81" s="180"/>
      <c r="H81" s="180"/>
      <c r="I81" s="180"/>
      <c r="J81" s="317" t="s">
        <v>131</v>
      </c>
      <c r="K81" s="315"/>
      <c r="L81" s="315"/>
      <c r="N81" s="245"/>
      <c r="O81" s="245"/>
      <c r="T81" s="245"/>
      <c r="U81" s="245"/>
      <c r="Z81" s="245"/>
      <c r="AA81" s="245"/>
      <c r="AB81" s="245"/>
      <c r="AC81" s="245"/>
      <c r="AD81" s="245"/>
      <c r="AE81" s="245"/>
      <c r="AF81" s="245"/>
    </row>
    <row r="82" spans="1:38" s="247" customFormat="1" ht="12.75" x14ac:dyDescent="0.2">
      <c r="A82" s="153"/>
      <c r="B82" s="180"/>
      <c r="C82" s="180"/>
      <c r="D82" s="180"/>
      <c r="E82" s="180"/>
      <c r="F82" s="320"/>
      <c r="G82" s="180"/>
      <c r="H82" s="180"/>
      <c r="I82" s="180"/>
      <c r="J82" s="317" t="s">
        <v>291</v>
      </c>
      <c r="K82" s="315"/>
      <c r="L82" s="315"/>
      <c r="N82" s="245"/>
      <c r="O82" s="245"/>
      <c r="T82" s="245"/>
      <c r="U82" s="245"/>
      <c r="Z82" s="245"/>
      <c r="AA82" s="245"/>
      <c r="AB82" s="245"/>
      <c r="AC82" s="245"/>
      <c r="AD82" s="245"/>
      <c r="AE82" s="245"/>
      <c r="AF82" s="245"/>
    </row>
    <row r="83" spans="1:38" s="247" customFormat="1" ht="12.75" x14ac:dyDescent="0.2">
      <c r="A83" s="180" t="s">
        <v>105</v>
      </c>
      <c r="B83" s="180"/>
      <c r="C83" s="180"/>
      <c r="D83" s="180"/>
      <c r="E83" s="180"/>
      <c r="F83" s="180"/>
      <c r="G83" s="180"/>
      <c r="H83" s="180"/>
      <c r="I83" s="180"/>
      <c r="J83" s="180"/>
      <c r="K83" s="315"/>
      <c r="L83" s="315"/>
      <c r="N83" s="245"/>
      <c r="O83" s="245"/>
      <c r="T83" s="245"/>
      <c r="U83" s="245"/>
      <c r="Z83" s="245"/>
      <c r="AA83" s="245"/>
      <c r="AB83" s="245"/>
      <c r="AC83" s="245"/>
      <c r="AD83" s="245"/>
      <c r="AE83" s="245"/>
      <c r="AF83" s="245"/>
    </row>
    <row r="84" spans="1:38" s="247" customFormat="1" ht="12.75" customHeight="1" x14ac:dyDescent="0.2">
      <c r="A84" s="135" t="s">
        <v>134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2" t="s">
        <v>106</v>
      </c>
      <c r="N84" s="245"/>
      <c r="O84" s="245"/>
      <c r="T84" s="245"/>
      <c r="U84" s="245"/>
      <c r="Z84" s="245"/>
      <c r="AA84" s="245"/>
      <c r="AB84" s="245"/>
      <c r="AC84" s="245"/>
      <c r="AD84" s="245"/>
      <c r="AE84" s="245"/>
      <c r="AF84" s="245"/>
    </row>
    <row r="85" spans="1:38" s="247" customFormat="1" ht="27" customHeight="1" x14ac:dyDescent="0.2">
      <c r="A85" s="374" t="s">
        <v>135</v>
      </c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137" t="s">
        <v>116</v>
      </c>
      <c r="N85" s="245"/>
      <c r="O85" s="245"/>
      <c r="T85" s="245"/>
      <c r="U85" s="245"/>
      <c r="Z85" s="245"/>
      <c r="AA85" s="245"/>
      <c r="AB85" s="245"/>
      <c r="AC85" s="245"/>
      <c r="AD85" s="245"/>
      <c r="AE85" s="245"/>
      <c r="AF85" s="245"/>
    </row>
    <row r="86" spans="1:38" s="247" customFormat="1" ht="12.75" x14ac:dyDescent="0.2">
      <c r="L86" s="245"/>
      <c r="M86" s="137" t="s">
        <v>289</v>
      </c>
      <c r="N86" s="245"/>
      <c r="O86" s="245"/>
      <c r="T86" s="245"/>
      <c r="U86" s="245"/>
      <c r="Z86" s="245"/>
      <c r="AA86" s="245"/>
      <c r="AB86" s="245"/>
      <c r="AC86" s="245"/>
      <c r="AD86" s="245"/>
      <c r="AE86" s="245"/>
      <c r="AF86" s="245"/>
    </row>
    <row r="87" spans="1:38" s="247" customFormat="1" ht="14.25" customHeight="1" x14ac:dyDescent="0.2">
      <c r="L87" s="245"/>
      <c r="M87" s="137" t="s">
        <v>288</v>
      </c>
      <c r="N87" s="245"/>
      <c r="O87" s="245"/>
      <c r="T87" s="245"/>
      <c r="U87" s="245"/>
      <c r="Z87" s="245"/>
      <c r="AA87" s="245"/>
      <c r="AB87" s="245"/>
      <c r="AC87" s="245"/>
      <c r="AD87" s="245"/>
      <c r="AE87" s="245"/>
      <c r="AF87" s="245"/>
    </row>
    <row r="88" spans="1:38" s="247" customFormat="1" ht="14.25" customHeight="1" x14ac:dyDescent="0.2">
      <c r="L88" s="245"/>
      <c r="M88" s="137" t="s">
        <v>301</v>
      </c>
      <c r="N88" s="245"/>
      <c r="O88" s="245"/>
      <c r="T88" s="245"/>
      <c r="U88" s="245"/>
      <c r="Z88" s="245"/>
      <c r="AA88" s="245"/>
      <c r="AB88" s="245"/>
      <c r="AC88" s="245"/>
      <c r="AD88" s="245"/>
      <c r="AE88" s="245"/>
      <c r="AF88" s="245"/>
    </row>
    <row r="89" spans="1:38" s="247" customFormat="1" x14ac:dyDescent="0.2">
      <c r="L89" s="245"/>
      <c r="M89" s="137" t="s">
        <v>302</v>
      </c>
      <c r="N89" s="245"/>
      <c r="O89" s="245"/>
      <c r="P89" s="244"/>
      <c r="T89" s="245"/>
      <c r="U89" s="245"/>
      <c r="Z89" s="245"/>
      <c r="AA89" s="245"/>
      <c r="AB89" s="245"/>
      <c r="AC89" s="245"/>
      <c r="AD89" s="245"/>
      <c r="AE89" s="245"/>
      <c r="AF89" s="245"/>
    </row>
    <row r="90" spans="1:38" s="247" customFormat="1" ht="12.75" x14ac:dyDescent="0.2">
      <c r="L90" s="245"/>
      <c r="M90" s="245"/>
      <c r="N90" s="245"/>
      <c r="O90" s="245"/>
      <c r="P90" s="245"/>
      <c r="R90" s="245"/>
      <c r="S90" s="51"/>
      <c r="T90" s="245"/>
      <c r="U90" s="245"/>
      <c r="AF90" s="245"/>
      <c r="AG90" s="245"/>
      <c r="AH90" s="245"/>
      <c r="AI90" s="245"/>
      <c r="AJ90" s="245"/>
      <c r="AK90" s="245"/>
      <c r="AL90" s="245"/>
    </row>
    <row r="91" spans="1:38" s="247" customFormat="1" ht="12.75" x14ac:dyDescent="0.2">
      <c r="L91" s="245"/>
      <c r="M91" s="245"/>
      <c r="N91" s="245"/>
      <c r="O91" s="245"/>
      <c r="P91" s="245"/>
      <c r="R91" s="245"/>
      <c r="S91" s="51"/>
      <c r="T91" s="245"/>
      <c r="U91" s="245"/>
      <c r="AF91" s="245"/>
      <c r="AG91" s="245"/>
      <c r="AH91" s="245"/>
      <c r="AI91" s="245"/>
      <c r="AJ91" s="245"/>
      <c r="AK91" s="245"/>
      <c r="AL91" s="245"/>
    </row>
    <row r="92" spans="1:38" s="247" customFormat="1" ht="12.75" x14ac:dyDescent="0.2"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Q92" s="323"/>
      <c r="R92" s="245"/>
      <c r="S92" s="51"/>
      <c r="T92" s="245"/>
      <c r="U92" s="245"/>
      <c r="AF92" s="245"/>
      <c r="AG92" s="245"/>
      <c r="AH92" s="245"/>
      <c r="AI92" s="245"/>
      <c r="AJ92" s="245"/>
      <c r="AK92" s="245"/>
      <c r="AL92" s="245"/>
    </row>
  </sheetData>
  <sheetProtection algorithmName="SHA-512" hashValue="qbCTJKt52fBHztKU2g9op42X6VRJyI/D/GZ/peNvoag+9kMteNFU4uR37tLhBzyZ8h0QnPlDvVhfp2r+BGSWUg==" saltValue="GT7pCL9bollu2oMOkv/tiw==" spinCount="100000" sheet="1" objects="1" scenarios="1"/>
  <mergeCells count="4">
    <mergeCell ref="A7:D7"/>
    <mergeCell ref="A78:C78"/>
    <mergeCell ref="A85:L85"/>
    <mergeCell ref="E7:Q7"/>
  </mergeCells>
  <conditionalFormatting sqref="E7:Q7">
    <cfRule type="cellIs" dxfId="0" priority="1" operator="notEqual">
      <formula>""</formula>
    </cfRule>
  </conditionalFormatting>
  <hyperlinks>
    <hyperlink ref="M85" r:id="rId1" display="FSA ARC/PLC Data" xr:uid="{0A5D28C2-9EFB-415B-B85A-11109A56DD88}"/>
    <hyperlink ref="A78" r:id="rId2" display="Author: William Edwards" xr:uid="{1AFF25C3-2E08-460E-B443-F96B287E757F}"/>
    <hyperlink ref="A78:B78" r:id="rId3" display="Author: Alejandro Plastina" xr:uid="{B5A16781-87A6-4E39-AF35-AD39CE42EE5D}"/>
    <hyperlink ref="A79" r:id="rId4" xr:uid="{E2824F50-1E23-4990-A4A6-661A33A49378}"/>
    <hyperlink ref="A78:C78" r:id="rId5" display="Authors: Alejandro Plastina" xr:uid="{EB890367-2FD8-46BA-BA01-BDB306B73FDE}"/>
    <hyperlink ref="A84:A85" r:id="rId6" display="This institution is an equal opportunity provider. For the full non-discrimination statement or accommodation inquiries, go to www.extension.iastate.edu/diversity/ext." xr:uid="{B27AFDE5-7BEE-453E-AD45-072B86B97944}"/>
    <hyperlink ref="A46" location="'Sensitivity Analysis'!A1" display="Trigger Yield^ under Your Price Assumptions (See Sensitivity Analysis tab)" xr:uid="{29EF0C34-51DE-4536-B22A-ED32C9B0CD54}"/>
    <hyperlink ref="M86" r:id="rId7" display="FSA Projected MYA Price" xr:uid="{6A62D855-2C5C-4837-870D-6303893C71F3}"/>
    <hyperlink ref="A4" r:id="rId8" display="See File A1-33, 2014 Farm Bill Analyzer: Data and Methods, for more information." xr:uid="{106D9844-38A8-4C4F-B19F-2B28F5A4C579}"/>
    <hyperlink ref="M89" r:id="rId9" display="2022-23 USDA Projected MYA Price" xr:uid="{4564EE99-FB0B-4C88-9817-FA2989D7AC8B}"/>
    <hyperlink ref="M87" r:id="rId10" xr:uid="{C5414CF3-42A9-48A5-993D-DF42DFB7B207}"/>
    <hyperlink ref="M88" r:id="rId11" xr:uid="{4A9E5B9F-ADC3-432C-B724-42A6436EB89D}"/>
    <hyperlink ref="J46" location="'Sensitivity Analysis'!A1" display="Trigger Yield^ under Your Price Assumptions (See Sensitivity Analysis tab)" xr:uid="{C0DB01B1-4B6F-425B-BF96-E6DDE72C212D}"/>
  </hyperlinks>
  <printOptions horizontalCentered="1"/>
  <pageMargins left="0.25" right="0.25" top="0.5" bottom="0.5" header="0.05" footer="0.05"/>
  <pageSetup scale="53" fitToHeight="2" orientation="landscape" horizontalDpi="1200" verticalDpi="1200" r:id="rId12"/>
  <rowBreaks count="1" manualBreakCount="1">
    <brk id="53" max="16" man="1"/>
  </rowBreaks>
  <drawing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D31808-E99D-41C7-9CB0-B1EE389F5B75}">
          <x14:formula1>
            <xm:f>'ARC-CO All Counties - Irrigated'!$B$8:$B$31</xm:f>
          </x14:formula1>
          <xm:sqref>A7:D7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42d14e-e0e3-4e03-963e-e300b0406d7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8" ma:contentTypeDescription="Create a new document." ma:contentTypeScope="" ma:versionID="21e5195518077d98825e9b5fe76be9b9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ec64e047704586d89e8ed69b5488e9c0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6729F4-EC50-47F8-9A27-2E34E5D6C7C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49d55b3f-74f5-466c-aa91-a45c39d97f01"/>
    <ds:schemaRef ds:uri="http://schemas.openxmlformats.org/package/2006/metadata/core-properties"/>
    <ds:schemaRef ds:uri="9242d14e-e0e3-4e03-963e-e300b0406d72"/>
  </ds:schemaRefs>
</ds:datastoreItem>
</file>

<file path=customXml/itemProps2.xml><?xml version="1.0" encoding="utf-8"?>
<ds:datastoreItem xmlns:ds="http://schemas.openxmlformats.org/officeDocument/2006/customXml" ds:itemID="{E1E20D20-0EB5-425B-8B06-8F33125234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EDFB07-3641-4AFC-B63E-ECA9B8461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Read Me</vt:lpstr>
      <vt:lpstr>Payment by County - Non Irr.</vt:lpstr>
      <vt:lpstr>Sensitivity Analysis</vt:lpstr>
      <vt:lpstr>Historic Yields C</vt:lpstr>
      <vt:lpstr>Historic Yields S</vt:lpstr>
      <vt:lpstr>corn yields Nonirrigated</vt:lpstr>
      <vt:lpstr>soybean yields Nonirrigated</vt:lpstr>
      <vt:lpstr>ARC-CO All Counties - Non-irr.</vt:lpstr>
      <vt:lpstr>Payment by County - Irr</vt:lpstr>
      <vt:lpstr>corn yields Irrigated</vt:lpstr>
      <vt:lpstr>soybean yields Irrigated</vt:lpstr>
      <vt:lpstr>ARC-CO All Counties - Irrigated</vt:lpstr>
      <vt:lpstr>Avg. PLC Yields by County</vt:lpstr>
      <vt:lpstr>'corn yields Irrigated'!ARC_CO.2014_1031</vt:lpstr>
      <vt:lpstr>ARC_CO.2014_1031</vt:lpstr>
      <vt:lpstr>'ARC-CO All Counties - Irrigated'!Print_Area</vt:lpstr>
      <vt:lpstr>'ARC-CO All Counties - Non-irr.'!Print_Area</vt:lpstr>
      <vt:lpstr>'Avg. PLC Yields by County'!Print_Area</vt:lpstr>
      <vt:lpstr>'Payment by County - Irr'!Print_Area</vt:lpstr>
      <vt:lpstr>'Payment by County - Non Irr.'!Print_Area</vt:lpstr>
      <vt:lpstr>'Read Me'!Print_Area</vt:lpstr>
      <vt:lpstr>'Payment by County - Irr'!Print_Titles</vt:lpstr>
      <vt:lpstr>'Payment by County - Non Irr.'!Print_Titles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ARC-CO and PLC Payment Estimator for Iowa, 2024-25</dc:title>
  <dc:creator>ISU Extension &amp; Outreach</dc:creator>
  <cp:lastModifiedBy>Johanns, Ann M [ECONA]</cp:lastModifiedBy>
  <cp:lastPrinted>2024-01-16T17:24:50Z</cp:lastPrinted>
  <dcterms:created xsi:type="dcterms:W3CDTF">2016-03-08T03:50:07Z</dcterms:created>
  <dcterms:modified xsi:type="dcterms:W3CDTF">2024-02-19T17:36:29Z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