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isaJ/iCloud Drive (Archive)/Desktop/Websites/agdm2020/livestock/xls/"/>
    </mc:Choice>
  </mc:AlternateContent>
  <xr:revisionPtr revIDLastSave="0" documentId="8_{758DFD95-3EA4-7148-851C-0BF6C2ACC06A}" xr6:coauthVersionLast="45" xr6:coauthVersionMax="45" xr10:uidLastSave="{00000000-0000-0000-0000-000000000000}"/>
  <bookViews>
    <workbookView xWindow="28680" yWindow="460" windowWidth="29040" windowHeight="15840" activeTab="2" xr2:uid="{00000000-000D-0000-FFFF-FFFF00000000}"/>
  </bookViews>
  <sheets>
    <sheet name="Corn-Corn Example" sheetId="6" r:id="rId1"/>
    <sheet name="Corn-Soybean Example" sheetId="10" r:id="rId2"/>
    <sheet name="Dry Example" sheetId="12" r:id="rId3"/>
    <sheet name="Blank" sheetId="11" r:id="rId4"/>
  </sheets>
  <externalReferences>
    <externalReference r:id="rId5"/>
  </externalReferences>
  <definedNames>
    <definedName name="_xlnm.Print_Area" localSheetId="3">Blank!$A$1:$K$53</definedName>
    <definedName name="_xlnm.Print_Area" localSheetId="0">'Corn-Corn Example'!$A$1:$K$53</definedName>
    <definedName name="_xlnm.Print_Area" localSheetId="1">'Corn-Soybean Example'!$A$1:$K$53</definedName>
    <definedName name="_xlnm.Print_Area" localSheetId="2">'Dry Example'!$A$1:$K$53</definedName>
    <definedName name="size">[1]Finisher!$D$4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Q17" i="12" l="1"/>
  <c r="Q14" i="12"/>
  <c r="P14" i="12"/>
  <c r="O14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O17" i="12" s="1"/>
  <c r="P17" i="12" s="1"/>
  <c r="B50" i="12"/>
  <c r="B34" i="12"/>
  <c r="I26" i="12"/>
  <c r="H26" i="12"/>
  <c r="G26" i="12"/>
  <c r="F26" i="12"/>
  <c r="B24" i="12"/>
  <c r="B26" i="12" s="1"/>
  <c r="B28" i="12" s="1"/>
  <c r="I19" i="12"/>
  <c r="H19" i="12"/>
  <c r="G19" i="12"/>
  <c r="D18" i="12"/>
  <c r="I18" i="12" s="1"/>
  <c r="C18" i="12"/>
  <c r="C19" i="12" s="1"/>
  <c r="B18" i="12"/>
  <c r="B19" i="12" s="1"/>
  <c r="G27" i="12" s="1"/>
  <c r="I12" i="12"/>
  <c r="H12" i="12"/>
  <c r="G12" i="12"/>
  <c r="B11" i="12"/>
  <c r="B12" i="12" s="1"/>
  <c r="B50" i="11"/>
  <c r="B34" i="11"/>
  <c r="I26" i="11"/>
  <c r="H26" i="11"/>
  <c r="G26" i="11"/>
  <c r="F26" i="11"/>
  <c r="B24" i="11"/>
  <c r="B26" i="11" s="1"/>
  <c r="B28" i="11" s="1"/>
  <c r="I19" i="11"/>
  <c r="H19" i="11"/>
  <c r="G19" i="11"/>
  <c r="D18" i="11"/>
  <c r="I18" i="11" s="1"/>
  <c r="C18" i="11"/>
  <c r="C19" i="11" s="1"/>
  <c r="H27" i="11" s="1"/>
  <c r="B18" i="11"/>
  <c r="I12" i="11"/>
  <c r="H12" i="11"/>
  <c r="G12" i="11"/>
  <c r="J12" i="11" s="1"/>
  <c r="J13" i="11" s="1"/>
  <c r="B11" i="11"/>
  <c r="B12" i="11" s="1"/>
  <c r="B37" i="11" s="1"/>
  <c r="B50" i="10"/>
  <c r="B34" i="10"/>
  <c r="I26" i="10"/>
  <c r="H26" i="10"/>
  <c r="G26" i="10"/>
  <c r="F26" i="10"/>
  <c r="B24" i="10"/>
  <c r="B26" i="10" s="1"/>
  <c r="B28" i="10" s="1"/>
  <c r="I19" i="10"/>
  <c r="H19" i="10"/>
  <c r="G19" i="10"/>
  <c r="D18" i="10"/>
  <c r="C18" i="10"/>
  <c r="C19" i="10" s="1"/>
  <c r="H27" i="10" s="1"/>
  <c r="B18" i="10"/>
  <c r="B19" i="10" s="1"/>
  <c r="G27" i="10" s="1"/>
  <c r="I12" i="10"/>
  <c r="H12" i="10"/>
  <c r="G12" i="10"/>
  <c r="B11" i="10"/>
  <c r="B12" i="10" s="1"/>
  <c r="B37" i="12" l="1"/>
  <c r="B36" i="12"/>
  <c r="D19" i="12"/>
  <c r="H20" i="10"/>
  <c r="I20" i="10"/>
  <c r="D19" i="10"/>
  <c r="I27" i="10" s="1"/>
  <c r="I28" i="10" s="1"/>
  <c r="I29" i="10" s="1"/>
  <c r="G20" i="11"/>
  <c r="H20" i="12"/>
  <c r="H21" i="12" s="1"/>
  <c r="G18" i="12"/>
  <c r="B29" i="12"/>
  <c r="J12" i="12"/>
  <c r="J13" i="12" s="1"/>
  <c r="H27" i="12"/>
  <c r="H28" i="12" s="1"/>
  <c r="H29" i="12" s="1"/>
  <c r="I20" i="12"/>
  <c r="I21" i="12" s="1"/>
  <c r="I27" i="12"/>
  <c r="I28" i="12" s="1"/>
  <c r="D12" i="12"/>
  <c r="G28" i="12"/>
  <c r="F28" i="12"/>
  <c r="H18" i="12"/>
  <c r="G20" i="12"/>
  <c r="H18" i="11"/>
  <c r="G18" i="11"/>
  <c r="H20" i="11"/>
  <c r="H28" i="11"/>
  <c r="H29" i="11" s="1"/>
  <c r="I20" i="11"/>
  <c r="B19" i="11"/>
  <c r="G27" i="11" s="1"/>
  <c r="G28" i="11" s="1"/>
  <c r="G29" i="11" s="1"/>
  <c r="D19" i="11"/>
  <c r="I27" i="11" s="1"/>
  <c r="I28" i="11" s="1"/>
  <c r="I29" i="11" s="1"/>
  <c r="B36" i="11"/>
  <c r="B38" i="11" s="1"/>
  <c r="G38" i="11"/>
  <c r="G39" i="11"/>
  <c r="B29" i="11"/>
  <c r="B30" i="11" s="1"/>
  <c r="D35" i="11" s="1"/>
  <c r="H28" i="10"/>
  <c r="H29" i="10" s="1"/>
  <c r="J12" i="10"/>
  <c r="J13" i="10" s="1"/>
  <c r="G38" i="10" s="1"/>
  <c r="G28" i="10"/>
  <c r="G29" i="10" s="1"/>
  <c r="F28" i="10"/>
  <c r="B37" i="10"/>
  <c r="B36" i="10"/>
  <c r="B29" i="10"/>
  <c r="B30" i="10" s="1"/>
  <c r="D35" i="10" s="1"/>
  <c r="G18" i="10"/>
  <c r="H18" i="10"/>
  <c r="G20" i="10"/>
  <c r="J20" i="10" s="1"/>
  <c r="J21" i="10" s="1"/>
  <c r="G37" i="10" s="1"/>
  <c r="I18" i="10"/>
  <c r="H19" i="6"/>
  <c r="I19" i="6"/>
  <c r="G19" i="6"/>
  <c r="F26" i="6"/>
  <c r="G26" i="6"/>
  <c r="G39" i="12" l="1"/>
  <c r="G38" i="12"/>
  <c r="J30" i="10"/>
  <c r="B38" i="12"/>
  <c r="G21" i="12"/>
  <c r="J20" i="12"/>
  <c r="J21" i="12" s="1"/>
  <c r="G37" i="12" s="1"/>
  <c r="B30" i="12"/>
  <c r="D35" i="12" s="1"/>
  <c r="I29" i="12"/>
  <c r="G29" i="12"/>
  <c r="G39" i="10"/>
  <c r="J30" i="11"/>
  <c r="H39" i="11" s="1"/>
  <c r="I39" i="11" s="1"/>
  <c r="J39" i="11" s="1"/>
  <c r="J20" i="11"/>
  <c r="J21" i="11" s="1"/>
  <c r="G37" i="11" s="1"/>
  <c r="F28" i="11"/>
  <c r="H37" i="11"/>
  <c r="H38" i="11"/>
  <c r="I38" i="11" s="1"/>
  <c r="J38" i="11" s="1"/>
  <c r="B38" i="10"/>
  <c r="H38" i="10" s="1"/>
  <c r="I38" i="10" s="1"/>
  <c r="J38" i="10" s="1"/>
  <c r="B24" i="6"/>
  <c r="B26" i="6" s="1"/>
  <c r="B28" i="6" s="1"/>
  <c r="H38" i="12" l="1"/>
  <c r="H37" i="12"/>
  <c r="H37" i="10"/>
  <c r="I37" i="10" s="1"/>
  <c r="J37" i="10" s="1"/>
  <c r="J30" i="12"/>
  <c r="I38" i="12"/>
  <c r="J38" i="12" s="1"/>
  <c r="I37" i="12"/>
  <c r="J37" i="12" s="1"/>
  <c r="I37" i="11"/>
  <c r="J37" i="11" s="1"/>
  <c r="H39" i="10"/>
  <c r="I39" i="10" s="1"/>
  <c r="J39" i="10" s="1"/>
  <c r="C18" i="6"/>
  <c r="B18" i="6"/>
  <c r="G18" i="6" s="1"/>
  <c r="D18" i="6"/>
  <c r="I20" i="6" s="1"/>
  <c r="B11" i="6"/>
  <c r="B12" i="6" s="1"/>
  <c r="B36" i="6" s="1"/>
  <c r="H12" i="6"/>
  <c r="I12" i="6"/>
  <c r="H26" i="6"/>
  <c r="I26" i="6"/>
  <c r="B34" i="6"/>
  <c r="B50" i="6"/>
  <c r="H39" i="12" l="1"/>
  <c r="I39" i="12" s="1"/>
  <c r="J39" i="12" s="1"/>
  <c r="C19" i="6"/>
  <c r="H27" i="6" s="1"/>
  <c r="H28" i="6" s="1"/>
  <c r="H29" i="6" s="1"/>
  <c r="H20" i="6"/>
  <c r="B29" i="6"/>
  <c r="B30" i="6" s="1"/>
  <c r="D35" i="6" s="1"/>
  <c r="G20" i="6"/>
  <c r="B19" i="6"/>
  <c r="G27" i="6" s="1"/>
  <c r="F28" i="6" s="1"/>
  <c r="J12" i="6"/>
  <c r="J13" i="6" s="1"/>
  <c r="B37" i="6"/>
  <c r="B38" i="6" s="1"/>
  <c r="I18" i="6"/>
  <c r="D19" i="6"/>
  <c r="I27" i="6" s="1"/>
  <c r="I28" i="6" s="1"/>
  <c r="I29" i="6" s="1"/>
  <c r="H18" i="6"/>
  <c r="J20" i="6" l="1"/>
  <c r="J21" i="6" s="1"/>
  <c r="G37" i="6" s="1"/>
  <c r="G28" i="6"/>
  <c r="G29" i="6" s="1"/>
  <c r="J30" i="6" s="1"/>
  <c r="G39" i="6"/>
  <c r="G38" i="6"/>
  <c r="H38" i="6" l="1"/>
  <c r="I38" i="6" s="1"/>
  <c r="J38" i="6" s="1"/>
  <c r="H37" i="6"/>
  <c r="I37" i="6" s="1"/>
  <c r="J37" i="6" s="1"/>
  <c r="H39" i="6"/>
  <c r="I39" i="6" s="1"/>
  <c r="J39" i="6" s="1"/>
</calcChain>
</file>

<file path=xl/sharedStrings.xml><?xml version="1.0" encoding="utf-8"?>
<sst xmlns="http://schemas.openxmlformats.org/spreadsheetml/2006/main" count="445" uniqueCount="131">
  <si>
    <t>N</t>
  </si>
  <si>
    <t>P</t>
  </si>
  <si>
    <t>K</t>
  </si>
  <si>
    <t>plus 10%</t>
  </si>
  <si>
    <t>N multiplier for area</t>
  </si>
  <si>
    <t>Corn nitrogen need</t>
  </si>
  <si>
    <t>less legume credit</t>
  </si>
  <si>
    <t>Maximum acceptable N rate</t>
  </si>
  <si>
    <t>Total</t>
  </si>
  <si>
    <t>Manure</t>
  </si>
  <si>
    <t>Per Acre</t>
  </si>
  <si>
    <t>Date Printed:</t>
  </si>
  <si>
    <t>hogs</t>
  </si>
  <si>
    <t>Total / Acre</t>
  </si>
  <si>
    <t>Use this decision tool to investigate the value of manure as fertilizer, based on component pricing and a comparable commercial fertilizer budget.</t>
  </si>
  <si>
    <t>Manure produced</t>
  </si>
  <si>
    <t>Planned application rate</t>
  </si>
  <si>
    <t>Acres required</t>
  </si>
  <si>
    <t>Manure Test</t>
  </si>
  <si>
    <t>Manure Advantage</t>
  </si>
  <si>
    <t>Swine Manure Calculator - Corn-Corn Rotation</t>
  </si>
  <si>
    <t>Swine Manure Calculator - Corn-Soybean Rotation</t>
  </si>
  <si>
    <t>Dry Manure Calculator - Corn-Corn Rotation</t>
  </si>
  <si>
    <t>head</t>
  </si>
  <si>
    <t>$/ton</t>
  </si>
  <si>
    <t>$/lb</t>
  </si>
  <si>
    <t>Fertilizer</t>
  </si>
  <si>
    <t>purchase</t>
  </si>
  <si>
    <t>NH3</t>
  </si>
  <si>
    <t>82-0-0</t>
  </si>
  <si>
    <t>UAN</t>
  </si>
  <si>
    <t>28-0-0</t>
  </si>
  <si>
    <t>32-0-0</t>
  </si>
  <si>
    <t>Dry Urea</t>
  </si>
  <si>
    <t>46-0-0</t>
  </si>
  <si>
    <t>Potash</t>
  </si>
  <si>
    <t>0-0-60</t>
  </si>
  <si>
    <t>10-34-0</t>
  </si>
  <si>
    <t>DAP</t>
  </si>
  <si>
    <t>11-52-0</t>
  </si>
  <si>
    <t xml:space="preserve">http://www.agry.purdue.edu/ext/corn/news/articles.02/Fert_Math-0326.html </t>
  </si>
  <si>
    <t>Ag Decision Maker -- Iowa State University Extension and Outreach</t>
  </si>
  <si>
    <t>Version 1.1_62022</t>
  </si>
  <si>
    <t>This institution is an equal opportunity provider. For the full non-discrimination statement or 
accommodation inquiries, go to www.extension.iastate.edu/diversity/ext.</t>
  </si>
  <si>
    <r>
      <t>Total Manure Production</t>
    </r>
    <r>
      <rPr>
        <sz val="11"/>
        <rFont val="Arial"/>
        <family val="2"/>
      </rPr>
      <t xml:space="preserve"> </t>
    </r>
  </si>
  <si>
    <t>Five-year county average corn yield</t>
  </si>
  <si>
    <r>
      <t>Finisher size</t>
    </r>
    <r>
      <rPr>
        <sz val="8"/>
        <rFont val="Arial"/>
        <family val="2"/>
      </rPr>
      <t xml:space="preserve"> (one-time capacity (pig-spaces))</t>
    </r>
  </si>
  <si>
    <t>Resources and notes</t>
  </si>
  <si>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Take into consideration the number of empty days between groups.</t>
    </r>
  </si>
  <si>
    <r>
      <t xml:space="preserve">Percent available </t>
    </r>
    <r>
      <rPr>
        <vertAlign val="superscript"/>
        <sz val="9"/>
        <rFont val="Arial"/>
        <family val="2"/>
      </rPr>
      <t>3/</t>
    </r>
  </si>
  <si>
    <r>
      <t xml:space="preserve">Operating days </t>
    </r>
    <r>
      <rPr>
        <vertAlign val="superscript"/>
        <sz val="9"/>
        <rFont val="Arial"/>
        <family val="2"/>
      </rPr>
      <t>2/</t>
    </r>
  </si>
  <si>
    <r>
      <t>Manure cost</t>
    </r>
    <r>
      <rPr>
        <sz val="8"/>
        <rFont val="Arial"/>
        <family val="2"/>
      </rPr>
      <t xml:space="preserve"> (in addition to application cost)</t>
    </r>
  </si>
  <si>
    <r>
      <t>Application cost</t>
    </r>
    <r>
      <rPr>
        <sz val="8"/>
        <rFont val="Arial"/>
        <family val="2"/>
      </rPr>
      <t xml:space="preserve"> (account for distance hauled)  </t>
    </r>
  </si>
  <si>
    <t>gallons / day</t>
  </si>
  <si>
    <t>days / year</t>
  </si>
  <si>
    <t>gallons / hog / year</t>
  </si>
  <si>
    <t>gallons / year</t>
  </si>
  <si>
    <t>Nitrogen availability / 1000 gallons</t>
  </si>
  <si>
    <t>bushels / acre</t>
  </si>
  <si>
    <t>lbs / acre</t>
  </si>
  <si>
    <t>gallons / acre</t>
  </si>
  <si>
    <t>$ / gallon</t>
  </si>
  <si>
    <t xml:space="preserve"> gallons / acre</t>
  </si>
  <si>
    <t xml:space="preserve"> acres</t>
  </si>
  <si>
    <t>lbs / bushels</t>
  </si>
  <si>
    <t>lbs</t>
  </si>
  <si>
    <r>
      <t xml:space="preserve">Component Value of Manure </t>
    </r>
    <r>
      <rPr>
        <b/>
        <vertAlign val="superscript"/>
        <sz val="10"/>
        <rFont val="Arial"/>
        <family val="2"/>
      </rPr>
      <t>4/</t>
    </r>
  </si>
  <si>
    <r>
      <rPr>
        <vertAlign val="superscript"/>
        <sz val="9"/>
        <rFont val="Arial"/>
        <family val="2"/>
      </rPr>
      <t>4/</t>
    </r>
    <r>
      <rPr>
        <sz val="9"/>
        <rFont val="Arial"/>
        <family val="2"/>
      </rPr>
      <t xml:space="preserve"> Manure is a "pre-packaged" fertilizer and will not match commercial alternatives. The component value gives credit to all available N-P-K, whether needed or not.</t>
    </r>
  </si>
  <si>
    <t>Manure availability, lbs / 1000 gallons</t>
  </si>
  <si>
    <t>Commercial fertilzer cost, $ / lb</t>
  </si>
  <si>
    <t>Value, $ / 1000 gallons</t>
  </si>
  <si>
    <t>Fertilizer recommendation, lbs / acre</t>
  </si>
  <si>
    <t>Commercial fertilizer cost, $ / lb</t>
  </si>
  <si>
    <t>Cost / acre to supplement manure</t>
  </si>
  <si>
    <t>/ year</t>
  </si>
  <si>
    <t>/ acre</t>
  </si>
  <si>
    <t>Total application cost / year</t>
  </si>
  <si>
    <t>Manure Application Cost</t>
  </si>
  <si>
    <t>Lbs available / acre</t>
  </si>
  <si>
    <t>Lbs available / 1000 gallons</t>
  </si>
  <si>
    <t>Gallons / hog / year</t>
  </si>
  <si>
    <r>
      <t xml:space="preserve">Manure production / hog </t>
    </r>
    <r>
      <rPr>
        <vertAlign val="superscript"/>
        <sz val="9"/>
        <rFont val="Arial"/>
        <family val="2"/>
      </rPr>
      <t>1/</t>
    </r>
  </si>
  <si>
    <r>
      <t>DNR Manure Plan Maximum Application Rates</t>
    </r>
    <r>
      <rPr>
        <vertAlign val="superscript"/>
        <sz val="10"/>
        <rFont val="Arial"/>
        <family val="2"/>
      </rPr>
      <t>1/</t>
    </r>
  </si>
  <si>
    <t xml:space="preserve">Maximum manure plan application rate </t>
  </si>
  <si>
    <t>Fertilizer for Comparable Period</t>
  </si>
  <si>
    <t>Custom fertilizer application cost / acre</t>
  </si>
  <si>
    <t>Total cost for commercial fertilizer, $ / acre</t>
  </si>
  <si>
    <t>Commercial fertilizer cost $ / acre</t>
  </si>
  <si>
    <t>Total represents the balanced crop fertility needs at commercial prices for a non-manure program.</t>
  </si>
  <si>
    <t>Supplemental fertilizer cost, total $ / acre</t>
  </si>
  <si>
    <t>Manure nutrients, lbs / acre</t>
  </si>
  <si>
    <t>Supplemental fertilizer cost does not consider application cost or the actual mix of nutrients applied to match commercial products.</t>
  </si>
  <si>
    <t>If there is a shortfall in manure nutrients from the commercial recommendations, this section supplements the nutrients needed at commercial prices.</t>
  </si>
  <si>
    <t>Supplemental fertilizer needs</t>
  </si>
  <si>
    <t xml:space="preserve">This considers only 1st year availability without value given to carry-over nutrients. Adjust the % available section to consider multi-year component value. </t>
  </si>
  <si>
    <t>Total fertilizer value, $ / acre</t>
  </si>
  <si>
    <t>Component Value</t>
  </si>
  <si>
    <t>Commercial Fertilizer vs. Manure</t>
  </si>
  <si>
    <t>Commercial Fertilizer vs. Supplemented Manure</t>
  </si>
  <si>
    <t>Commercial</t>
  </si>
  <si>
    <t>Total considers the acres required to consume all the manure produced.</t>
  </si>
  <si>
    <t>Manure versus commercial fertilizer cost analysis</t>
  </si>
  <si>
    <t>Enter input values in unprotected, shaded cells.</t>
  </si>
  <si>
    <t>Total cost / gallon</t>
  </si>
  <si>
    <t>Total application cost / acre</t>
  </si>
  <si>
    <t>Average test, lbs / 1000 gallons</t>
  </si>
  <si>
    <t>Swine Manure Calculator</t>
  </si>
  <si>
    <t>Average lot capacity</t>
  </si>
  <si>
    <r>
      <t xml:space="preserve">Manure production / head </t>
    </r>
    <r>
      <rPr>
        <vertAlign val="superscript"/>
        <sz val="9"/>
        <rFont val="Arial"/>
        <family val="2"/>
      </rPr>
      <t>1/</t>
    </r>
  </si>
  <si>
    <t>lbs / day</t>
  </si>
  <si>
    <t>Lbs / head / year</t>
  </si>
  <si>
    <t>lbs / head / year</t>
  </si>
  <si>
    <t>lbs / year</t>
  </si>
  <si>
    <t>Average test, lbs / ton</t>
  </si>
  <si>
    <t>Lbs available / ton</t>
  </si>
  <si>
    <t>Nitrogen availability / ton</t>
  </si>
  <si>
    <t>lbs / ton</t>
  </si>
  <si>
    <t>ton / acre</t>
  </si>
  <si>
    <t>$ / ton</t>
  </si>
  <si>
    <t xml:space="preserve"> ton / acre</t>
  </si>
  <si>
    <t>Manure availability, lbs / ton</t>
  </si>
  <si>
    <t>Value, $ / ton</t>
  </si>
  <si>
    <t>Liquid AP</t>
  </si>
  <si>
    <t>Liquid Urea</t>
  </si>
  <si>
    <t>Commercial fertilizer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</si>
  <si>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Manure production and maximum applications rates: DNR Appendix A: </t>
    </r>
    <r>
      <rPr>
        <u/>
        <sz val="10"/>
        <color indexed="12"/>
        <rFont val="Arial"/>
        <family val="2"/>
      </rPr>
      <t>http://www.iowadnr.gov/Portals/idnr/uploads/forms/5424000a.pdf</t>
    </r>
  </si>
  <si>
    <r>
      <rPr>
        <vertAlign val="superscript"/>
        <sz val="10"/>
        <rFont val="Arial"/>
        <family val="2"/>
      </rPr>
      <t>3/</t>
    </r>
    <r>
      <rPr>
        <sz val="10"/>
        <rFont val="Arial"/>
        <family val="2"/>
      </rPr>
      <t xml:space="preserve"> Nutrient availability: PM 1811, Managing Manure Nutrients for Crop Production, </t>
    </r>
    <r>
      <rPr>
        <u/>
        <sz val="10"/>
        <color indexed="12"/>
        <rFont val="Arial"/>
        <family val="2"/>
      </rPr>
      <t>https://store.extension.iastate.edu/product/12874</t>
    </r>
  </si>
  <si>
    <t>Supplemental fertilizer cost does not consider the actual mix of nutrients applied to match commercial products.</t>
  </si>
  <si>
    <t>Supplemental fertilizer and application cost, total $ / acre</t>
  </si>
  <si>
    <t>component pricing</t>
  </si>
  <si>
    <t>Authors: Kelvin Leibold, Tom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</si>
</sst>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0.0"/>
    <numFmt numFmtId="169" formatCode="0_);[Red]\(0\)"/>
    <numFmt numFmtId="170" formatCode="#,##0\ &quot;tons / year&quot;"/>
    <numFmt numFmtId="171" formatCode="_(* #,##0.0_);_(* \(#,##0.0\);_(* &quot;-&quot;??_);_(@_)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u/>
      <sz val="10"/>
      <color rgb="FFC00000"/>
      <name val="Arial"/>
      <family val="2"/>
    </font>
    <font>
      <sz val="10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color indexed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2" borderId="1" applyNumberFormat="0" applyAlignment="0" applyProtection="0"/>
    <xf numFmtId="0" fontId="15" fillId="12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1" fillId="5" borderId="1" applyNumberFormat="0" applyAlignment="0" applyProtection="0"/>
    <xf numFmtId="0" fontId="22" fillId="0" borderId="6" applyNumberFormat="0" applyFill="0" applyAlignment="0" applyProtection="0"/>
    <xf numFmtId="0" fontId="23" fillId="5" borderId="0" applyNumberFormat="0" applyBorder="0" applyAlignment="0" applyProtection="0"/>
    <xf numFmtId="0" fontId="1" fillId="14" borderId="7" applyNumberFormat="0" applyFont="0" applyAlignment="0" applyProtection="0"/>
    <xf numFmtId="0" fontId="24" fillId="2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0" fillId="0" borderId="0" xfId="0" applyFill="1" applyBorder="1"/>
    <xf numFmtId="44" fontId="0" fillId="0" borderId="0" xfId="0" applyNumberFormat="1" applyBorder="1"/>
    <xf numFmtId="168" fontId="0" fillId="0" borderId="0" xfId="0" applyNumberForma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5" fillId="0" borderId="0" xfId="0" applyFont="1" applyProtection="1"/>
    <xf numFmtId="0" fontId="4" fillId="0" borderId="0" xfId="0" applyFont="1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18" xfId="0" applyBorder="1"/>
    <xf numFmtId="0" fontId="5" fillId="0" borderId="0" xfId="0" applyFont="1" applyBorder="1"/>
    <xf numFmtId="1" fontId="4" fillId="0" borderId="0" xfId="0" applyNumberFormat="1" applyFont="1" applyBorder="1"/>
    <xf numFmtId="165" fontId="1" fillId="0" borderId="0" xfId="29" applyNumberFormat="1" applyBorder="1"/>
    <xf numFmtId="44" fontId="1" fillId="0" borderId="0" xfId="29" applyBorder="1"/>
    <xf numFmtId="1" fontId="0" fillId="0" borderId="0" xfId="0" applyNumberFormat="1" applyBorder="1"/>
    <xf numFmtId="169" fontId="4" fillId="0" borderId="0" xfId="0" applyNumberFormat="1" applyFont="1" applyBorder="1"/>
    <xf numFmtId="1" fontId="10" fillId="0" borderId="0" xfId="0" applyNumberFormat="1" applyFont="1" applyBorder="1"/>
    <xf numFmtId="0" fontId="0" fillId="0" borderId="0" xfId="0" applyBorder="1" applyAlignment="1">
      <alignment horizontal="left" indent="1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167" fontId="1" fillId="15" borderId="22" xfId="29" applyNumberFormat="1" applyFill="1" applyBorder="1" applyProtection="1">
      <protection locked="0"/>
    </xf>
    <xf numFmtId="0" fontId="0" fillId="15" borderId="22" xfId="0" applyFill="1" applyBorder="1" applyProtection="1">
      <protection locked="0"/>
    </xf>
    <xf numFmtId="9" fontId="1" fillId="15" borderId="22" xfId="42" applyFill="1" applyBorder="1" applyProtection="1">
      <protection locked="0"/>
    </xf>
    <xf numFmtId="0" fontId="5" fillId="0" borderId="10" xfId="0" applyFont="1" applyFill="1" applyBorder="1"/>
    <xf numFmtId="0" fontId="4" fillId="0" borderId="0" xfId="0" applyFont="1" applyBorder="1" applyAlignment="1">
      <alignment horizontal="center"/>
    </xf>
    <xf numFmtId="0" fontId="5" fillId="0" borderId="14" xfId="0" applyFont="1" applyFill="1" applyBorder="1"/>
    <xf numFmtId="165" fontId="5" fillId="0" borderId="0" xfId="29" applyNumberFormat="1" applyFont="1" applyBorder="1"/>
    <xf numFmtId="44" fontId="5" fillId="0" borderId="0" xfId="29" applyFont="1" applyBorder="1"/>
    <xf numFmtId="0" fontId="5" fillId="0" borderId="11" xfId="0" applyFont="1" applyBorder="1"/>
    <xf numFmtId="0" fontId="0" fillId="0" borderId="0" xfId="0"/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0" fillId="18" borderId="15" xfId="0" applyFill="1" applyBorder="1"/>
    <xf numFmtId="0" fontId="0" fillId="18" borderId="16" xfId="0" applyFill="1" applyBorder="1"/>
    <xf numFmtId="0" fontId="4" fillId="18" borderId="15" xfId="0" applyFont="1" applyFill="1" applyBorder="1"/>
    <xf numFmtId="0" fontId="4" fillId="18" borderId="15" xfId="0" applyFont="1" applyFill="1" applyBorder="1" applyAlignment="1">
      <alignment horizontal="left" indent="1"/>
    </xf>
    <xf numFmtId="0" fontId="5" fillId="0" borderId="1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1" fillId="18" borderId="17" xfId="0" applyFont="1" applyFill="1" applyBorder="1" applyAlignment="1">
      <alignment horizontal="left" indent="1"/>
    </xf>
    <xf numFmtId="0" fontId="6" fillId="17" borderId="23" xfId="0" applyFont="1" applyFill="1" applyBorder="1" applyAlignment="1">
      <alignment horizontal="left" indent="1"/>
    </xf>
    <xf numFmtId="0" fontId="6" fillId="17" borderId="23" xfId="0" applyFont="1" applyFill="1" applyBorder="1" applyAlignment="1"/>
    <xf numFmtId="164" fontId="0" fillId="15" borderId="22" xfId="28" applyNumberFormat="1" applyFont="1" applyFill="1" applyBorder="1" applyProtection="1">
      <protection locked="0"/>
    </xf>
    <xf numFmtId="14" fontId="1" fillId="0" borderId="0" xfId="0" applyNumberFormat="1" applyFont="1" applyAlignment="1" applyProtection="1">
      <alignment horizontal="left"/>
    </xf>
    <xf numFmtId="14" fontId="1" fillId="0" borderId="0" xfId="0" applyNumberFormat="1" applyFont="1" applyAlignment="1" applyProtection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3"/>
    </xf>
    <xf numFmtId="0" fontId="0" fillId="0" borderId="0" xfId="0" applyFont="1" applyBorder="1" applyAlignment="1" applyProtection="1">
      <alignment horizontal="left" indent="1"/>
    </xf>
    <xf numFmtId="0" fontId="1" fillId="0" borderId="0" xfId="36" applyFont="1" applyAlignment="1" applyProtection="1">
      <alignment horizontal="left" indent="1"/>
    </xf>
    <xf numFmtId="0" fontId="4" fillId="0" borderId="11" xfId="0" applyFont="1" applyBorder="1"/>
    <xf numFmtId="1" fontId="5" fillId="0" borderId="0" xfId="0" applyNumberFormat="1" applyFont="1" applyBorder="1"/>
    <xf numFmtId="167" fontId="5" fillId="0" borderId="0" xfId="29" applyNumberFormat="1" applyFont="1" applyBorder="1"/>
    <xf numFmtId="44" fontId="2" fillId="0" borderId="0" xfId="29" applyFont="1" applyBorder="1"/>
    <xf numFmtId="0" fontId="0" fillId="18" borderId="15" xfId="0" applyFill="1" applyBorder="1" applyAlignment="1">
      <alignment horizontal="right"/>
    </xf>
    <xf numFmtId="0" fontId="38" fillId="19" borderId="17" xfId="0" applyFont="1" applyFill="1" applyBorder="1"/>
    <xf numFmtId="0" fontId="0" fillId="0" borderId="18" xfId="0" applyFill="1" applyBorder="1"/>
    <xf numFmtId="164" fontId="4" fillId="0" borderId="0" xfId="28" applyNumberFormat="1" applyFont="1" applyFill="1" applyBorder="1"/>
    <xf numFmtId="0" fontId="5" fillId="0" borderId="18" xfId="0" applyFont="1" applyFill="1" applyBorder="1" applyAlignment="1">
      <alignment horizontal="left" indent="1"/>
    </xf>
    <xf numFmtId="0" fontId="5" fillId="0" borderId="18" xfId="0" applyFont="1" applyBorder="1"/>
    <xf numFmtId="0" fontId="5" fillId="0" borderId="0" xfId="0" applyFont="1" applyBorder="1" applyAlignment="1">
      <alignment horizontal="left" indent="1"/>
    </xf>
    <xf numFmtId="164" fontId="2" fillId="0" borderId="0" xfId="28" applyNumberFormat="1" applyFont="1" applyBorder="1" applyAlignment="1">
      <alignment shrinkToFit="1"/>
    </xf>
    <xf numFmtId="0" fontId="0" fillId="0" borderId="18" xfId="0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1" fillId="0" borderId="0" xfId="0" applyFont="1" applyBorder="1"/>
    <xf numFmtId="0" fontId="0" fillId="0" borderId="0" xfId="0" applyBorder="1" applyAlignment="1">
      <alignment horizontal="left" indent="4"/>
    </xf>
    <xf numFmtId="0" fontId="0" fillId="0" borderId="0" xfId="0" applyFill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44" fontId="4" fillId="0" borderId="0" xfId="29" applyFont="1" applyBorder="1"/>
    <xf numFmtId="0" fontId="39" fillId="0" borderId="0" xfId="0" applyFont="1" applyBorder="1"/>
    <xf numFmtId="0" fontId="38" fillId="19" borderId="15" xfId="0" applyFont="1" applyFill="1" applyBorder="1"/>
    <xf numFmtId="0" fontId="38" fillId="19" borderId="16" xfId="0" applyFont="1" applyFill="1" applyBorder="1"/>
    <xf numFmtId="14" fontId="1" fillId="0" borderId="0" xfId="0" applyNumberFormat="1" applyFont="1" applyAlignment="1" applyProtection="1">
      <alignment horizontal="left"/>
    </xf>
    <xf numFmtId="0" fontId="0" fillId="0" borderId="0" xfId="0"/>
    <xf numFmtId="44" fontId="4" fillId="0" borderId="0" xfId="0" applyNumberFormat="1" applyFont="1" applyBorder="1"/>
    <xf numFmtId="44" fontId="1" fillId="15" borderId="21" xfId="29" applyFill="1" applyBorder="1" applyProtection="1">
      <protection locked="0"/>
    </xf>
    <xf numFmtId="0" fontId="4" fillId="0" borderId="0" xfId="0" applyFont="1" applyFill="1" applyBorder="1" applyAlignment="1">
      <alignment horizontal="left" indent="1"/>
    </xf>
    <xf numFmtId="0" fontId="34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4" fontId="0" fillId="20" borderId="22" xfId="0" applyNumberFormat="1" applyFill="1" applyBorder="1"/>
    <xf numFmtId="0" fontId="4" fillId="0" borderId="0" xfId="0" applyFont="1" applyFill="1" applyBorder="1" applyAlignment="1">
      <alignment horizontal="right"/>
    </xf>
    <xf numFmtId="0" fontId="34" fillId="0" borderId="0" xfId="0" applyFont="1" applyAlignment="1">
      <alignment horizontal="left" indent="1"/>
    </xf>
    <xf numFmtId="0" fontId="5" fillId="0" borderId="0" xfId="0" applyFont="1" applyBorder="1" applyAlignment="1">
      <alignment horizontal="right" indent="1"/>
    </xf>
    <xf numFmtId="0" fontId="33" fillId="0" borderId="0" xfId="0" applyFont="1" applyAlignment="1">
      <alignment horizontal="left" indent="1"/>
    </xf>
    <xf numFmtId="0" fontId="9" fillId="16" borderId="17" xfId="0" applyFont="1" applyFill="1" applyBorder="1" applyAlignment="1" applyProtection="1">
      <alignment horizontal="left" indent="1"/>
    </xf>
    <xf numFmtId="0" fontId="9" fillId="16" borderId="16" xfId="0" applyFont="1" applyFill="1" applyBorder="1" applyAlignment="1" applyProtection="1">
      <alignment horizontal="left" indent="1"/>
    </xf>
    <xf numFmtId="0" fontId="29" fillId="0" borderId="0" xfId="36" applyFont="1" applyAlignment="1" applyProtection="1">
      <alignment horizontal="left" indent="1"/>
    </xf>
    <xf numFmtId="0" fontId="4" fillId="0" borderId="18" xfId="0" applyFont="1" applyBorder="1" applyAlignment="1">
      <alignment horizontal="right" indent="2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indent="2"/>
    </xf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0" fontId="40" fillId="17" borderId="23" xfId="0" applyFont="1" applyFill="1" applyBorder="1" applyAlignment="1">
      <alignment horizontal="left" indent="1"/>
    </xf>
    <xf numFmtId="44" fontId="0" fillId="20" borderId="22" xfId="0" applyNumberFormat="1" applyFill="1" applyBorder="1" applyProtection="1">
      <protection locked="0"/>
    </xf>
    <xf numFmtId="170" fontId="5" fillId="0" borderId="0" xfId="28" applyNumberFormat="1" applyFont="1" applyFill="1" applyBorder="1" applyAlignment="1" applyProtection="1">
      <alignment shrinkToFit="1"/>
    </xf>
    <xf numFmtId="43" fontId="4" fillId="0" borderId="0" xfId="28" applyNumberFormat="1" applyFont="1" applyFill="1" applyBorder="1"/>
    <xf numFmtId="44" fontId="1" fillId="15" borderId="22" xfId="29" applyNumberFormat="1" applyFill="1" applyBorder="1" applyProtection="1">
      <protection locked="0"/>
    </xf>
    <xf numFmtId="44" fontId="5" fillId="0" borderId="0" xfId="29" applyNumberFormat="1" applyFont="1" applyBorder="1"/>
    <xf numFmtId="171" fontId="0" fillId="15" borderId="22" xfId="28" applyNumberFormat="1" applyFont="1" applyFill="1" applyBorder="1" applyProtection="1">
      <protection locked="0"/>
    </xf>
    <xf numFmtId="171" fontId="5" fillId="0" borderId="0" xfId="28" applyNumberFormat="1" applyFont="1" applyBorder="1"/>
    <xf numFmtId="0" fontId="30" fillId="0" borderId="0" xfId="36" applyFont="1" applyAlignment="1" applyProtection="1"/>
    <xf numFmtId="0" fontId="8" fillId="0" borderId="0" xfId="36" applyFill="1" applyBorder="1" applyAlignment="1" applyProtection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4" fillId="0" borderId="20" xfId="0" applyFont="1" applyFill="1" applyBorder="1" applyAlignment="1">
      <alignment horizontal="left"/>
    </xf>
    <xf numFmtId="0" fontId="4" fillId="0" borderId="18" xfId="0" applyFont="1" applyFill="1" applyBorder="1"/>
    <xf numFmtId="0" fontId="28" fillId="0" borderId="18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wrapText="1"/>
    </xf>
    <xf numFmtId="0" fontId="28" fillId="0" borderId="0" xfId="0" applyFont="1" applyFill="1" applyBorder="1"/>
    <xf numFmtId="165" fontId="5" fillId="0" borderId="22" xfId="29" applyNumberFormat="1" applyFont="1" applyFill="1" applyBorder="1" applyProtection="1">
      <protection locked="0"/>
    </xf>
    <xf numFmtId="166" fontId="5" fillId="0" borderId="0" xfId="29" applyNumberFormat="1" applyFont="1" applyFill="1" applyBorder="1"/>
    <xf numFmtId="44" fontId="5" fillId="0" borderId="0" xfId="29" applyFont="1" applyFill="1" applyBorder="1"/>
    <xf numFmtId="44" fontId="5" fillId="0" borderId="11" xfId="29" applyFont="1" applyFill="1" applyBorder="1"/>
    <xf numFmtId="9" fontId="5" fillId="0" borderId="1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165" fontId="5" fillId="0" borderId="0" xfId="29" applyNumberFormat="1" applyFont="1" applyFill="1" applyBorder="1"/>
    <xf numFmtId="0" fontId="5" fillId="0" borderId="11" xfId="0" applyFont="1" applyFill="1" applyBorder="1"/>
    <xf numFmtId="166" fontId="5" fillId="0" borderId="11" xfId="29" applyNumberFormat="1" applyFont="1" applyFill="1" applyBorder="1"/>
    <xf numFmtId="0" fontId="28" fillId="0" borderId="12" xfId="0" applyFont="1" applyFill="1" applyBorder="1"/>
    <xf numFmtId="166" fontId="5" fillId="0" borderId="12" xfId="0" applyNumberFormat="1" applyFont="1" applyFill="1" applyBorder="1"/>
    <xf numFmtId="166" fontId="5" fillId="0" borderId="12" xfId="29" applyNumberFormat="1" applyFont="1" applyFill="1" applyBorder="1"/>
    <xf numFmtId="44" fontId="5" fillId="0" borderId="13" xfId="29" applyFont="1" applyFill="1" applyBorder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</xdr:colOff>
      <xdr:row>47</xdr:row>
      <xdr:rowOff>9530</xdr:rowOff>
    </xdr:from>
    <xdr:to>
      <xdr:col>6</xdr:col>
      <xdr:colOff>179705</xdr:colOff>
      <xdr:row>50</xdr:row>
      <xdr:rowOff>88567</xdr:rowOff>
    </xdr:to>
    <xdr:pic>
      <xdr:nvPicPr>
        <xdr:cNvPr id="5141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8745" y="8001005"/>
          <a:ext cx="3108960" cy="56798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</xdr:colOff>
      <xdr:row>47</xdr:row>
      <xdr:rowOff>9530</xdr:rowOff>
    </xdr:from>
    <xdr:to>
      <xdr:col>6</xdr:col>
      <xdr:colOff>182880</xdr:colOff>
      <xdr:row>50</xdr:row>
      <xdr:rowOff>85392</xdr:rowOff>
    </xdr:to>
    <xdr:pic>
      <xdr:nvPicPr>
        <xdr:cNvPr id="2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8745" y="7829555"/>
          <a:ext cx="3108960" cy="56798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</xdr:colOff>
      <xdr:row>47</xdr:row>
      <xdr:rowOff>9530</xdr:rowOff>
    </xdr:from>
    <xdr:to>
      <xdr:col>6</xdr:col>
      <xdr:colOff>179705</xdr:colOff>
      <xdr:row>50</xdr:row>
      <xdr:rowOff>88567</xdr:rowOff>
    </xdr:to>
    <xdr:pic>
      <xdr:nvPicPr>
        <xdr:cNvPr id="2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8745" y="7934330"/>
          <a:ext cx="3108960" cy="56798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</xdr:colOff>
      <xdr:row>47</xdr:row>
      <xdr:rowOff>9530</xdr:rowOff>
    </xdr:from>
    <xdr:to>
      <xdr:col>6</xdr:col>
      <xdr:colOff>179705</xdr:colOff>
      <xdr:row>50</xdr:row>
      <xdr:rowOff>88567</xdr:rowOff>
    </xdr:to>
    <xdr:pic>
      <xdr:nvPicPr>
        <xdr:cNvPr id="2" name="Picture 1" title="Iowa State University Extension and Outreach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8745" y="7829555"/>
          <a:ext cx="3108960" cy="56798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TOM/FNSR750-sep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isher"/>
      <sheetName val="Manure"/>
      <sheetName val="Land Debt"/>
      <sheetName val="Lessor Flow"/>
      <sheetName val="Leasee Flow"/>
      <sheetName val="options"/>
      <sheetName val="Cash Flow"/>
      <sheetName val="Cost summary"/>
      <sheetName val="constr accnt"/>
      <sheetName val="Sheet9"/>
      <sheetName val="Financing"/>
      <sheetName val="Financing (2)"/>
      <sheetName val="Cash Flow (2)"/>
      <sheetName val="EFFICIENCIES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4">
          <cell r="D4">
            <v>4800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ore.extension.iastate.edu/product/12874" TargetMode="External"/><Relationship Id="rId2" Type="http://schemas.openxmlformats.org/officeDocument/2006/relationships/hyperlink" Target="https://www.iowadnr.gov/Portals/idnr/uploads/forms/5424000a.pdf" TargetMode="External"/><Relationship Id="rId1" Type="http://schemas.openxmlformats.org/officeDocument/2006/relationships/hyperlink" Target="mailto:agdm@iastate.edu?subject=AgDM%20Spreadsheet%20B1-6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dm@iastate.edu?subject=AgDM%20Spreadsheet%20B1-65" TargetMode="External"/><Relationship Id="rId2" Type="http://schemas.openxmlformats.org/officeDocument/2006/relationships/hyperlink" Target="https://store.extension.iastate.edu/product/12874" TargetMode="External"/><Relationship Id="rId1" Type="http://schemas.openxmlformats.org/officeDocument/2006/relationships/hyperlink" Target="https://www.iowadnr.gov/Portals/idnr/uploads/forms/5424000a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tore.extension.iastate.edu/product/12874" TargetMode="External"/><Relationship Id="rId2" Type="http://schemas.openxmlformats.org/officeDocument/2006/relationships/hyperlink" Target="https://www.iowadnr.gov/Portals/idnr/uploads/forms/5424000a.pdf" TargetMode="External"/><Relationship Id="rId1" Type="http://schemas.openxmlformats.org/officeDocument/2006/relationships/hyperlink" Target="http://www.agry.purdue.edu/ext/corn/news/articles.02/Fert_Math-0326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agdm@iastate.edu?subject=AgDM%20Spreadsheet%20B1-6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gdm@iastate.edu?subject=AgDM%20Spreadsheet%20B1-65" TargetMode="External"/><Relationship Id="rId2" Type="http://schemas.openxmlformats.org/officeDocument/2006/relationships/hyperlink" Target="https://store.extension.iastate.edu/product/12874" TargetMode="External"/><Relationship Id="rId1" Type="http://schemas.openxmlformats.org/officeDocument/2006/relationships/hyperlink" Target="https://www.iowadnr.gov/Portals/idnr/uploads/forms/5424000a.pdf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showGridLines="0" topLeftCell="A2" zoomScaleNormal="100" workbookViewId="0">
      <selection activeCell="A49" sqref="A49"/>
    </sheetView>
  </sheetViews>
  <sheetFormatPr baseColWidth="10" defaultColWidth="8.83203125" defaultRowHeight="13" x14ac:dyDescent="0.15"/>
  <cols>
    <col min="1" max="1" width="36.5" customWidth="1"/>
    <col min="2" max="2" width="12.83203125" customWidth="1"/>
    <col min="3" max="3" width="12.5" customWidth="1"/>
    <col min="4" max="4" width="12.6640625" bestFit="1" customWidth="1"/>
    <col min="5" max="5" width="10.83203125" customWidth="1"/>
    <col min="6" max="6" width="36.5" customWidth="1"/>
    <col min="7" max="7" width="10.83203125" customWidth="1"/>
    <col min="8" max="9" width="10.6640625" customWidth="1"/>
    <col min="10" max="10" width="14.33203125" customWidth="1"/>
    <col min="11" max="11" width="14.5" customWidth="1"/>
    <col min="12" max="12" width="11.33203125" customWidth="1"/>
    <col min="13" max="13" width="13.83203125" customWidth="1"/>
  </cols>
  <sheetData>
    <row r="1" spans="1:13" s="43" customFormat="1" ht="30" customHeight="1" thickBot="1" x14ac:dyDescent="0.25">
      <c r="A1" s="42" t="s">
        <v>20</v>
      </c>
    </row>
    <row r="2" spans="1:13" s="6" customFormat="1" ht="15" thickTop="1" x14ac:dyDescent="0.15">
      <c r="A2" s="34" t="s">
        <v>41</v>
      </c>
      <c r="B2" s="5"/>
    </row>
    <row r="3" spans="1:13" s="6" customFormat="1" x14ac:dyDescent="0.15">
      <c r="A3" s="33" t="s">
        <v>14</v>
      </c>
      <c r="B3" s="5"/>
    </row>
    <row r="4" spans="1:13" s="6" customFormat="1" ht="6.75" customHeight="1" x14ac:dyDescent="0.15"/>
    <row r="5" spans="1:13" x14ac:dyDescent="0.15">
      <c r="A5" s="87" t="s">
        <v>102</v>
      </c>
      <c r="B5" s="88"/>
      <c r="C5" s="32"/>
      <c r="D5" s="32"/>
      <c r="E5" s="32"/>
    </row>
    <row r="6" spans="1:13" ht="8.25" customHeight="1" x14ac:dyDescent="0.15">
      <c r="F6" s="32"/>
    </row>
    <row r="7" spans="1:13" ht="14" x14ac:dyDescent="0.15">
      <c r="A7" s="41" t="s">
        <v>44</v>
      </c>
      <c r="B7" s="35"/>
      <c r="C7" s="35"/>
      <c r="D7" s="36"/>
      <c r="E7" s="32"/>
      <c r="F7" s="41" t="s">
        <v>84</v>
      </c>
      <c r="G7" s="38"/>
      <c r="H7" s="38"/>
      <c r="I7" s="35"/>
      <c r="J7" s="36"/>
    </row>
    <row r="8" spans="1:13" x14ac:dyDescent="0.15">
      <c r="A8" s="59" t="s">
        <v>46</v>
      </c>
      <c r="B8" s="24">
        <v>2400</v>
      </c>
      <c r="C8" s="60" t="s">
        <v>12</v>
      </c>
      <c r="D8" s="12"/>
      <c r="E8" s="32"/>
      <c r="F8" s="64" t="s">
        <v>85</v>
      </c>
      <c r="G8" s="77">
        <v>6.15</v>
      </c>
      <c r="H8" s="1"/>
      <c r="I8" s="1"/>
      <c r="J8" s="1"/>
    </row>
    <row r="9" spans="1:13" x14ac:dyDescent="0.15">
      <c r="A9" s="61" t="s">
        <v>81</v>
      </c>
      <c r="B9" s="24">
        <v>1</v>
      </c>
      <c r="C9" s="13" t="s">
        <v>53</v>
      </c>
      <c r="D9" s="1"/>
      <c r="E9" s="32"/>
      <c r="F9" s="1"/>
      <c r="G9" s="22" t="s">
        <v>0</v>
      </c>
      <c r="H9" s="22" t="s">
        <v>1</v>
      </c>
      <c r="I9" s="22" t="s">
        <v>2</v>
      </c>
      <c r="J9" s="9"/>
    </row>
    <row r="10" spans="1:13" x14ac:dyDescent="0.15">
      <c r="A10" s="61" t="s">
        <v>50</v>
      </c>
      <c r="B10" s="24">
        <v>350</v>
      </c>
      <c r="C10" s="13" t="s">
        <v>54</v>
      </c>
      <c r="D10" s="1"/>
      <c r="F10" s="61" t="s">
        <v>71</v>
      </c>
      <c r="G10" s="24">
        <v>200</v>
      </c>
      <c r="H10" s="24">
        <v>175</v>
      </c>
      <c r="I10" s="24">
        <v>125</v>
      </c>
      <c r="J10" s="9" t="s">
        <v>13</v>
      </c>
    </row>
    <row r="11" spans="1:13" x14ac:dyDescent="0.15">
      <c r="A11" s="61" t="s">
        <v>80</v>
      </c>
      <c r="B11" s="1">
        <f>B9*B10</f>
        <v>350</v>
      </c>
      <c r="C11" s="31" t="s">
        <v>55</v>
      </c>
      <c r="D11" s="1"/>
      <c r="F11" s="61" t="s">
        <v>72</v>
      </c>
      <c r="G11" s="82">
        <v>1</v>
      </c>
      <c r="H11" s="82">
        <v>0.62</v>
      </c>
      <c r="I11" s="82">
        <v>0.56000000000000005</v>
      </c>
      <c r="J11" s="1"/>
    </row>
    <row r="12" spans="1:13" x14ac:dyDescent="0.15">
      <c r="A12" s="20" t="s">
        <v>15</v>
      </c>
      <c r="B12" s="62">
        <f>B11*B8</f>
        <v>840000</v>
      </c>
      <c r="C12" s="51" t="s">
        <v>56</v>
      </c>
      <c r="D12" s="1"/>
      <c r="F12" s="64" t="s">
        <v>87</v>
      </c>
      <c r="G12" s="16">
        <f>G11*G10</f>
        <v>200</v>
      </c>
      <c r="H12" s="16">
        <f>H11*H10</f>
        <v>108.5</v>
      </c>
      <c r="I12" s="16">
        <f>I11*I10</f>
        <v>70</v>
      </c>
      <c r="J12" s="30">
        <f>SUM(G12:I12)</f>
        <v>378.5</v>
      </c>
    </row>
    <row r="13" spans="1:13" x14ac:dyDescent="0.15">
      <c r="F13" s="78" t="s">
        <v>86</v>
      </c>
      <c r="G13" s="1"/>
      <c r="H13" s="1"/>
      <c r="I13" s="1"/>
      <c r="J13" s="76">
        <f>J12+G8</f>
        <v>384.65</v>
      </c>
    </row>
    <row r="14" spans="1:13" ht="14" x14ac:dyDescent="0.15">
      <c r="A14" s="41" t="s">
        <v>18</v>
      </c>
      <c r="B14" s="35"/>
      <c r="C14" s="35"/>
      <c r="D14" s="36"/>
      <c r="J14" s="79" t="s">
        <v>88</v>
      </c>
    </row>
    <row r="15" spans="1:13" x14ac:dyDescent="0.15">
      <c r="A15" s="63"/>
      <c r="B15" s="21" t="s">
        <v>0</v>
      </c>
      <c r="C15" s="21" t="s">
        <v>1</v>
      </c>
      <c r="D15" s="21" t="s">
        <v>2</v>
      </c>
    </row>
    <row r="16" spans="1:13" ht="15" x14ac:dyDescent="0.15">
      <c r="A16" s="61" t="s">
        <v>105</v>
      </c>
      <c r="B16" s="24">
        <v>50</v>
      </c>
      <c r="C16" s="24">
        <v>35</v>
      </c>
      <c r="D16" s="24">
        <v>25</v>
      </c>
      <c r="F16" s="41" t="s">
        <v>66</v>
      </c>
      <c r="G16" s="38"/>
      <c r="H16" s="35"/>
      <c r="I16" s="35"/>
      <c r="J16" s="36"/>
      <c r="K16" s="7"/>
      <c r="L16" s="7"/>
      <c r="M16" s="7"/>
    </row>
    <row r="17" spans="1:13" x14ac:dyDescent="0.15">
      <c r="A17" s="61" t="s">
        <v>49</v>
      </c>
      <c r="B17" s="25">
        <v>0.9</v>
      </c>
      <c r="C17" s="25">
        <v>1</v>
      </c>
      <c r="D17" s="25">
        <v>1</v>
      </c>
      <c r="F17" s="1"/>
      <c r="G17" s="22" t="s">
        <v>0</v>
      </c>
      <c r="H17" s="22" t="s">
        <v>1</v>
      </c>
      <c r="I17" s="22" t="s">
        <v>2</v>
      </c>
      <c r="J17" s="83" t="s">
        <v>8</v>
      </c>
    </row>
    <row r="18" spans="1:13" x14ac:dyDescent="0.15">
      <c r="A18" s="61" t="s">
        <v>79</v>
      </c>
      <c r="B18" s="1">
        <f>B16*B17</f>
        <v>45</v>
      </c>
      <c r="C18" s="1">
        <f>C16*C17</f>
        <v>35</v>
      </c>
      <c r="D18" s="1">
        <f>D16*D17</f>
        <v>25</v>
      </c>
      <c r="F18" s="64" t="s">
        <v>68</v>
      </c>
      <c r="G18" s="1">
        <f>B18</f>
        <v>45</v>
      </c>
      <c r="H18" s="1">
        <f>C18</f>
        <v>35</v>
      </c>
      <c r="I18" s="1">
        <f>D18</f>
        <v>25</v>
      </c>
      <c r="J18" s="66"/>
    </row>
    <row r="19" spans="1:13" x14ac:dyDescent="0.15">
      <c r="A19" s="64" t="s">
        <v>78</v>
      </c>
      <c r="B19" s="14">
        <f>$B$35/1000*B18</f>
        <v>225</v>
      </c>
      <c r="C19" s="14">
        <f>$B$35/1000*C18</f>
        <v>175</v>
      </c>
      <c r="D19" s="14">
        <f>$B$35/1000*D18</f>
        <v>125</v>
      </c>
      <c r="F19" s="108" t="s">
        <v>72</v>
      </c>
      <c r="G19" s="16">
        <f>G11</f>
        <v>1</v>
      </c>
      <c r="H19" s="16">
        <f>H11</f>
        <v>0.62</v>
      </c>
      <c r="I19" s="16">
        <f>I11</f>
        <v>0.56000000000000005</v>
      </c>
      <c r="J19" s="13"/>
    </row>
    <row r="20" spans="1:13" x14ac:dyDescent="0.15">
      <c r="F20" s="61" t="s">
        <v>70</v>
      </c>
      <c r="G20" s="16">
        <f>B18*G19</f>
        <v>45</v>
      </c>
      <c r="H20" s="16">
        <f>C18*H19</f>
        <v>21.7</v>
      </c>
      <c r="I20" s="16">
        <f>D18*I19</f>
        <v>14.000000000000002</v>
      </c>
      <c r="J20" s="16">
        <f>SUM(G20:I20)</f>
        <v>80.7</v>
      </c>
      <c r="K20" s="13"/>
    </row>
    <row r="21" spans="1:13" ht="14" x14ac:dyDescent="0.15">
      <c r="A21" s="41" t="s">
        <v>77</v>
      </c>
      <c r="B21" s="37"/>
      <c r="C21" s="35"/>
      <c r="D21" s="36"/>
      <c r="F21" s="69" t="s">
        <v>95</v>
      </c>
      <c r="J21" s="54">
        <f>J20/1000*B35</f>
        <v>403.50000000000006</v>
      </c>
      <c r="K21" s="13"/>
    </row>
    <row r="22" spans="1:13" s="32" customFormat="1" ht="15" x14ac:dyDescent="0.15">
      <c r="A22" s="59" t="s">
        <v>82</v>
      </c>
      <c r="B22" s="57"/>
      <c r="C22" s="57"/>
      <c r="D22" s="12"/>
      <c r="F22" s="84" t="s">
        <v>94</v>
      </c>
      <c r="G22"/>
      <c r="H22"/>
      <c r="I22"/>
      <c r="J22"/>
      <c r="K22"/>
      <c r="L22"/>
      <c r="M22"/>
    </row>
    <row r="23" spans="1:13" s="7" customFormat="1" x14ac:dyDescent="0.15">
      <c r="A23" s="65" t="s">
        <v>45</v>
      </c>
      <c r="B23" s="24">
        <v>200</v>
      </c>
      <c r="C23" s="13" t="s">
        <v>58</v>
      </c>
      <c r="D23" s="66"/>
      <c r="F23"/>
      <c r="G23"/>
      <c r="H23"/>
      <c r="I23"/>
      <c r="J23"/>
      <c r="K23"/>
      <c r="L23"/>
      <c r="M23"/>
    </row>
    <row r="24" spans="1:13" s="7" customFormat="1" ht="14" x14ac:dyDescent="0.15">
      <c r="A24" s="67" t="s">
        <v>3</v>
      </c>
      <c r="B24" s="1">
        <f>B23*1.1</f>
        <v>220.00000000000003</v>
      </c>
      <c r="C24" s="13" t="s">
        <v>58</v>
      </c>
      <c r="D24" s="66"/>
      <c r="F24" s="41" t="s">
        <v>93</v>
      </c>
      <c r="G24" s="55"/>
      <c r="H24" s="55"/>
      <c r="I24" s="55"/>
      <c r="J24" s="36"/>
      <c r="K24"/>
      <c r="L24"/>
      <c r="M24"/>
    </row>
    <row r="25" spans="1:13" s="7" customFormat="1" x14ac:dyDescent="0.15">
      <c r="A25" s="47" t="s">
        <v>4</v>
      </c>
      <c r="B25" s="24">
        <v>1.2</v>
      </c>
      <c r="C25" s="26" t="s">
        <v>64</v>
      </c>
      <c r="D25" s="66"/>
      <c r="F25" s="94"/>
      <c r="G25" s="95" t="s">
        <v>0</v>
      </c>
      <c r="H25" s="95" t="s">
        <v>1</v>
      </c>
      <c r="I25" s="95" t="s">
        <v>2</v>
      </c>
      <c r="K25"/>
      <c r="L25"/>
      <c r="M25"/>
    </row>
    <row r="26" spans="1:13" s="6" customFormat="1" x14ac:dyDescent="0.15">
      <c r="A26" s="47" t="s">
        <v>5</v>
      </c>
      <c r="B26" s="4">
        <f>B24*B25</f>
        <v>264</v>
      </c>
      <c r="C26" s="13" t="s">
        <v>59</v>
      </c>
      <c r="D26" s="13"/>
      <c r="F26" s="61" t="str">
        <f>F10</f>
        <v>Fertilizer recommendation, lbs / acre</v>
      </c>
      <c r="G26" s="17">
        <f>G10</f>
        <v>200</v>
      </c>
      <c r="H26" s="17">
        <f>H10</f>
        <v>175</v>
      </c>
      <c r="I26" s="17">
        <f>I10</f>
        <v>125</v>
      </c>
      <c r="J26"/>
      <c r="K26"/>
      <c r="L26"/>
      <c r="M26"/>
    </row>
    <row r="27" spans="1:13" x14ac:dyDescent="0.15">
      <c r="A27" s="48" t="s">
        <v>6</v>
      </c>
      <c r="B27" s="24">
        <v>0</v>
      </c>
      <c r="C27" s="13" t="s">
        <v>59</v>
      </c>
      <c r="D27" s="1"/>
      <c r="F27" s="61" t="s">
        <v>90</v>
      </c>
      <c r="G27" s="19">
        <f>B19</f>
        <v>225</v>
      </c>
      <c r="H27" s="19">
        <f>C19</f>
        <v>175</v>
      </c>
      <c r="I27" s="19">
        <f>D19</f>
        <v>125</v>
      </c>
      <c r="J27" s="80"/>
      <c r="K27" s="32"/>
    </row>
    <row r="28" spans="1:13" x14ac:dyDescent="0.15">
      <c r="A28" s="68" t="s">
        <v>7</v>
      </c>
      <c r="B28" s="4">
        <f>B26-B27</f>
        <v>264</v>
      </c>
      <c r="C28" s="13" t="s">
        <v>59</v>
      </c>
      <c r="D28" s="1"/>
      <c r="F28" s="78" t="str">
        <f>IF(G27&gt;G26,"Nutrient surplus, lbs / acre", "Nutrient deficit, lbs / acre")</f>
        <v>Nutrient surplus, lbs / acre</v>
      </c>
      <c r="G28" s="18">
        <f>G27-G26</f>
        <v>25</v>
      </c>
      <c r="H28" s="18">
        <f>H27-H26</f>
        <v>0</v>
      </c>
      <c r="I28" s="18">
        <f>I27-I26</f>
        <v>0</v>
      </c>
      <c r="J28" s="81"/>
    </row>
    <row r="29" spans="1:13" x14ac:dyDescent="0.15">
      <c r="A29" s="65" t="s">
        <v>57</v>
      </c>
      <c r="B29" s="2">
        <f>B18</f>
        <v>45</v>
      </c>
      <c r="C29" s="13" t="s">
        <v>65</v>
      </c>
      <c r="D29" s="1"/>
      <c r="E29" s="32"/>
      <c r="F29" s="61" t="s">
        <v>73</v>
      </c>
      <c r="G29" s="16">
        <f>IF(G28&lt;0,-(G28*G19),0)</f>
        <v>0</v>
      </c>
      <c r="H29" s="16">
        <f>IF(H28&lt;0,-(H28*H19),0)</f>
        <v>0</v>
      </c>
      <c r="I29" s="16">
        <f>IF(I28&lt;0,-(I28*I19),0)</f>
        <v>0</v>
      </c>
      <c r="J29" s="1"/>
    </row>
    <row r="30" spans="1:13" x14ac:dyDescent="0.15">
      <c r="A30" s="65" t="s">
        <v>83</v>
      </c>
      <c r="B30" s="58">
        <f>IF(B29&gt;0,B28/B29*1000,0)</f>
        <v>5866.6666666666661</v>
      </c>
      <c r="C30" s="13" t="s">
        <v>60</v>
      </c>
      <c r="D30" s="1"/>
      <c r="E30" s="32"/>
      <c r="F30" s="107" t="s">
        <v>128</v>
      </c>
      <c r="I30" s="32"/>
      <c r="J30" s="76">
        <f>IF(SUM(G29:I29)&gt;0,SUM(G29:I29)+G8,SUM(G29:I29))</f>
        <v>0</v>
      </c>
      <c r="K30" s="32"/>
      <c r="L30" s="32"/>
      <c r="M30" s="32"/>
    </row>
    <row r="31" spans="1:13" x14ac:dyDescent="0.15">
      <c r="A31" s="1"/>
      <c r="B31" s="1"/>
      <c r="C31" s="1"/>
      <c r="D31" s="1"/>
      <c r="E31" s="32"/>
      <c r="F31" s="84" t="s">
        <v>92</v>
      </c>
      <c r="G31" s="32"/>
      <c r="H31" s="32"/>
      <c r="I31" s="32"/>
      <c r="J31" s="32"/>
    </row>
    <row r="32" spans="1:13" x14ac:dyDescent="0.15">
      <c r="A32" s="61" t="s">
        <v>52</v>
      </c>
      <c r="B32" s="23">
        <v>1.7000000000000001E-2</v>
      </c>
      <c r="C32" s="29" t="s">
        <v>61</v>
      </c>
      <c r="D32" s="1"/>
      <c r="F32" s="84" t="s">
        <v>91</v>
      </c>
      <c r="G32" s="7"/>
      <c r="H32" s="7"/>
      <c r="I32" s="7"/>
      <c r="J32" s="7"/>
    </row>
    <row r="33" spans="1:12" s="32" customFormat="1" x14ac:dyDescent="0.15">
      <c r="A33" s="61" t="s">
        <v>51</v>
      </c>
      <c r="B33" s="23">
        <v>1E-3</v>
      </c>
      <c r="C33" s="29" t="s">
        <v>61</v>
      </c>
      <c r="D33" s="1"/>
      <c r="F33" s="7"/>
      <c r="G33" s="7"/>
      <c r="H33" s="7"/>
      <c r="I33" s="7"/>
      <c r="J33" s="7"/>
      <c r="K33" s="1"/>
      <c r="L33" s="1"/>
    </row>
    <row r="34" spans="1:12" s="32" customFormat="1" ht="16" x14ac:dyDescent="0.2">
      <c r="A34" s="93" t="s">
        <v>103</v>
      </c>
      <c r="B34" s="53">
        <f>SUM(B32:B33)</f>
        <v>1.8000000000000002E-2</v>
      </c>
      <c r="C34" s="29" t="s">
        <v>61</v>
      </c>
      <c r="D34" s="1"/>
      <c r="F34" s="56" t="s">
        <v>101</v>
      </c>
      <c r="G34" s="72"/>
      <c r="H34" s="72"/>
      <c r="I34" s="72"/>
      <c r="J34" s="73"/>
      <c r="K34" s="40"/>
      <c r="L34" s="40"/>
    </row>
    <row r="35" spans="1:12" s="32" customFormat="1" ht="14" x14ac:dyDescent="0.15">
      <c r="A35" s="20" t="s">
        <v>16</v>
      </c>
      <c r="B35" s="44">
        <v>5000</v>
      </c>
      <c r="C35" s="13" t="s">
        <v>62</v>
      </c>
      <c r="D35" s="71" t="str">
        <f>IF(B35&gt;B30,"application rate above maximum allowed", "")</f>
        <v/>
      </c>
      <c r="F35" s="63"/>
      <c r="G35" s="91" t="s">
        <v>99</v>
      </c>
      <c r="H35" s="91"/>
      <c r="I35" s="39"/>
      <c r="J35" s="90" t="s">
        <v>19</v>
      </c>
      <c r="K35" s="1"/>
      <c r="L35" s="1"/>
    </row>
    <row r="36" spans="1:12" s="32" customFormat="1" ht="14" x14ac:dyDescent="0.15">
      <c r="A36" s="20" t="s">
        <v>17</v>
      </c>
      <c r="B36" s="52">
        <f>IF(B35&gt;0,B12/B35,0)</f>
        <v>168</v>
      </c>
      <c r="C36" s="13" t="s">
        <v>63</v>
      </c>
      <c r="D36" s="1"/>
      <c r="F36" s="20"/>
      <c r="G36" s="92" t="s">
        <v>26</v>
      </c>
      <c r="H36" s="10" t="s">
        <v>9</v>
      </c>
      <c r="I36" s="27" t="s">
        <v>10</v>
      </c>
      <c r="J36" s="27" t="s">
        <v>8</v>
      </c>
    </row>
    <row r="37" spans="1:12" s="32" customFormat="1" x14ac:dyDescent="0.15">
      <c r="A37" s="61" t="s">
        <v>76</v>
      </c>
      <c r="B37" s="29">
        <f>B12*B34</f>
        <v>15120.000000000002</v>
      </c>
      <c r="C37" s="13" t="s">
        <v>74</v>
      </c>
      <c r="D37" s="1"/>
      <c r="F37" s="85" t="s">
        <v>96</v>
      </c>
      <c r="G37" s="3">
        <f>J21</f>
        <v>403.50000000000006</v>
      </c>
      <c r="H37" s="3">
        <f>B38</f>
        <v>90.000000000000014</v>
      </c>
      <c r="I37" s="3">
        <f>G37-H37</f>
        <v>313.50000000000006</v>
      </c>
      <c r="J37" s="15">
        <f>I37*$B$36</f>
        <v>52668.000000000007</v>
      </c>
    </row>
    <row r="38" spans="1:12" s="32" customFormat="1" x14ac:dyDescent="0.15">
      <c r="A38" s="69" t="s">
        <v>104</v>
      </c>
      <c r="B38" s="70">
        <f>IF(B36&gt;0,B37/B36,0)</f>
        <v>90.000000000000014</v>
      </c>
      <c r="C38" s="13" t="s">
        <v>75</v>
      </c>
      <c r="D38" s="1"/>
      <c r="F38" s="85" t="s">
        <v>97</v>
      </c>
      <c r="G38" s="3">
        <f>J13</f>
        <v>384.65</v>
      </c>
      <c r="H38" s="16">
        <f>B38</f>
        <v>90.000000000000014</v>
      </c>
      <c r="I38" s="3">
        <f>G38-H38</f>
        <v>294.64999999999998</v>
      </c>
      <c r="J38" s="15">
        <f>I38*$B$36</f>
        <v>49501.2</v>
      </c>
    </row>
    <row r="39" spans="1:12" s="32" customFormat="1" x14ac:dyDescent="0.15">
      <c r="F39" s="85" t="s">
        <v>98</v>
      </c>
      <c r="G39" s="3">
        <f>J13</f>
        <v>384.65</v>
      </c>
      <c r="H39" s="3">
        <f>B38+J30</f>
        <v>90.000000000000014</v>
      </c>
      <c r="I39" s="3">
        <f>G39-H39</f>
        <v>294.64999999999998</v>
      </c>
      <c r="J39" s="15">
        <f>I39*$B$36</f>
        <v>49501.2</v>
      </c>
    </row>
    <row r="40" spans="1:12" s="32" customFormat="1" x14ac:dyDescent="0.15">
      <c r="J40" s="79" t="s">
        <v>100</v>
      </c>
    </row>
    <row r="41" spans="1:12" s="32" customFormat="1" x14ac:dyDescent="0.15">
      <c r="A41" s="78" t="s">
        <v>47</v>
      </c>
    </row>
    <row r="42" spans="1:12" s="32" customFormat="1" ht="15" x14ac:dyDescent="0.15">
      <c r="A42" s="105" t="s">
        <v>125</v>
      </c>
    </row>
    <row r="43" spans="1:12" s="32" customFormat="1" x14ac:dyDescent="0.15">
      <c r="A43" s="86" t="s">
        <v>48</v>
      </c>
      <c r="B43" s="16"/>
      <c r="C43" s="13"/>
      <c r="D43" s="54"/>
      <c r="E43" s="6"/>
      <c r="H43" s="8"/>
      <c r="I43" s="6"/>
      <c r="J43" s="6"/>
    </row>
    <row r="44" spans="1:12" ht="15" x14ac:dyDescent="0.15">
      <c r="A44" s="105" t="s">
        <v>126</v>
      </c>
    </row>
    <row r="45" spans="1:12" x14ac:dyDescent="0.15">
      <c r="A45" s="86" t="s">
        <v>67</v>
      </c>
    </row>
    <row r="46" spans="1:12" ht="9.75" customHeight="1" x14ac:dyDescent="0.15"/>
    <row r="47" spans="1:12" ht="9.75" customHeight="1" x14ac:dyDescent="0.15"/>
    <row r="48" spans="1:12" x14ac:dyDescent="0.15">
      <c r="A48" s="49" t="s">
        <v>42</v>
      </c>
    </row>
    <row r="49" spans="1:7" x14ac:dyDescent="0.15">
      <c r="A49" s="89" t="s">
        <v>130</v>
      </c>
    </row>
    <row r="50" spans="1:7" x14ac:dyDescent="0.15">
      <c r="A50" s="50" t="s">
        <v>11</v>
      </c>
      <c r="B50" s="45">
        <f ca="1">TODAY()</f>
        <v>44754</v>
      </c>
    </row>
    <row r="51" spans="1:7" x14ac:dyDescent="0.15">
      <c r="E51" s="46"/>
    </row>
    <row r="52" spans="1:7" x14ac:dyDescent="0.15">
      <c r="A52" s="33" t="s">
        <v>43</v>
      </c>
    </row>
    <row r="53" spans="1:7" x14ac:dyDescent="0.15">
      <c r="G53" s="11"/>
    </row>
  </sheetData>
  <phoneticPr fontId="3" type="noConversion"/>
  <conditionalFormatting sqref="B35">
    <cfRule type="expression" dxfId="3" priority="1">
      <formula>$B$35&gt;$B$30</formula>
    </cfRule>
  </conditionalFormatting>
  <hyperlinks>
    <hyperlink ref="A49" r:id="rId1" display="Author: Tom Olsen" xr:uid="{00000000-0004-0000-0000-000000000000}"/>
    <hyperlink ref="A42" r:id="rId2" xr:uid="{00000000-0004-0000-0000-000001000000}"/>
    <hyperlink ref="A44" r:id="rId3" xr:uid="{00000000-0004-0000-0000-000002000000}"/>
  </hyperlinks>
  <pageMargins left="0.75" right="0.75" top="0.75" bottom="0.75" header="0.5" footer="0.5"/>
  <pageSetup scale="66" orientation="landscape" horizontalDpi="4294967293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showGridLines="0" zoomScaleNormal="100" workbookViewId="0">
      <selection activeCell="A49" sqref="A49"/>
    </sheetView>
  </sheetViews>
  <sheetFormatPr baseColWidth="10" defaultColWidth="9.1640625" defaultRowHeight="13" x14ac:dyDescent="0.15"/>
  <cols>
    <col min="1" max="1" width="36.5" style="75" customWidth="1"/>
    <col min="2" max="2" width="12.83203125" style="75" customWidth="1"/>
    <col min="3" max="3" width="12.5" style="75" customWidth="1"/>
    <col min="4" max="4" width="12.6640625" style="75" bestFit="1" customWidth="1"/>
    <col min="5" max="5" width="10.83203125" style="75" customWidth="1"/>
    <col min="6" max="6" width="36.5" style="75" customWidth="1"/>
    <col min="7" max="7" width="10.83203125" style="75" customWidth="1"/>
    <col min="8" max="9" width="10.6640625" style="75" customWidth="1"/>
    <col min="10" max="10" width="14.33203125" style="75" customWidth="1"/>
    <col min="11" max="11" width="14.5" style="75" customWidth="1"/>
    <col min="12" max="12" width="11.33203125" style="75" customWidth="1"/>
    <col min="13" max="13" width="13.83203125" style="75" customWidth="1"/>
    <col min="14" max="16384" width="9.1640625" style="75"/>
  </cols>
  <sheetData>
    <row r="1" spans="1:13" s="43" customFormat="1" ht="30" customHeight="1" thickBot="1" x14ac:dyDescent="0.25">
      <c r="A1" s="96" t="s">
        <v>21</v>
      </c>
    </row>
    <row r="2" spans="1:13" s="6" customFormat="1" ht="15" thickTop="1" x14ac:dyDescent="0.15">
      <c r="A2" s="34" t="s">
        <v>41</v>
      </c>
      <c r="B2" s="5"/>
    </row>
    <row r="3" spans="1:13" s="6" customFormat="1" x14ac:dyDescent="0.15">
      <c r="A3" s="33" t="s">
        <v>14</v>
      </c>
      <c r="B3" s="5"/>
    </row>
    <row r="4" spans="1:13" s="6" customFormat="1" ht="6.75" customHeight="1" x14ac:dyDescent="0.15"/>
    <row r="5" spans="1:13" x14ac:dyDescent="0.15">
      <c r="A5" s="87" t="s">
        <v>102</v>
      </c>
      <c r="B5" s="88"/>
    </row>
    <row r="6" spans="1:13" ht="8.25" customHeight="1" x14ac:dyDescent="0.15"/>
    <row r="7" spans="1:13" ht="14" x14ac:dyDescent="0.15">
      <c r="A7" s="41" t="s">
        <v>44</v>
      </c>
      <c r="B7" s="35"/>
      <c r="C7" s="35"/>
      <c r="D7" s="36"/>
      <c r="F7" s="41" t="s">
        <v>84</v>
      </c>
      <c r="G7" s="38"/>
      <c r="H7" s="38"/>
      <c r="I7" s="35"/>
      <c r="J7" s="36"/>
    </row>
    <row r="8" spans="1:13" x14ac:dyDescent="0.15">
      <c r="A8" s="59" t="s">
        <v>46</v>
      </c>
      <c r="B8" s="24">
        <v>2400</v>
      </c>
      <c r="C8" s="60" t="s">
        <v>12</v>
      </c>
      <c r="D8" s="12"/>
      <c r="F8" s="64" t="s">
        <v>85</v>
      </c>
      <c r="G8" s="77">
        <v>6.15</v>
      </c>
      <c r="H8" s="1"/>
      <c r="I8" s="1"/>
      <c r="J8" s="1"/>
    </row>
    <row r="9" spans="1:13" x14ac:dyDescent="0.15">
      <c r="A9" s="61" t="s">
        <v>81</v>
      </c>
      <c r="B9" s="24">
        <v>1</v>
      </c>
      <c r="C9" s="13" t="s">
        <v>53</v>
      </c>
      <c r="D9" s="1"/>
      <c r="F9" s="1"/>
      <c r="G9" s="22" t="s">
        <v>0</v>
      </c>
      <c r="H9" s="22" t="s">
        <v>1</v>
      </c>
      <c r="I9" s="22" t="s">
        <v>2</v>
      </c>
      <c r="J9" s="9"/>
    </row>
    <row r="10" spans="1:13" x14ac:dyDescent="0.15">
      <c r="A10" s="61" t="s">
        <v>50</v>
      </c>
      <c r="B10" s="24">
        <v>350</v>
      </c>
      <c r="C10" s="13" t="s">
        <v>54</v>
      </c>
      <c r="D10" s="1"/>
      <c r="F10" s="61" t="s">
        <v>71</v>
      </c>
      <c r="G10" s="24">
        <v>155</v>
      </c>
      <c r="H10" s="24">
        <v>108</v>
      </c>
      <c r="I10" s="24">
        <v>125</v>
      </c>
      <c r="J10" s="9" t="s">
        <v>13</v>
      </c>
    </row>
    <row r="11" spans="1:13" x14ac:dyDescent="0.15">
      <c r="A11" s="61" t="s">
        <v>80</v>
      </c>
      <c r="B11" s="1">
        <f>B9*B10</f>
        <v>350</v>
      </c>
      <c r="C11" s="31" t="s">
        <v>55</v>
      </c>
      <c r="D11" s="1"/>
      <c r="F11" s="61" t="s">
        <v>72</v>
      </c>
      <c r="G11" s="97">
        <v>1</v>
      </c>
      <c r="H11" s="97">
        <v>0.62</v>
      </c>
      <c r="I11" s="97">
        <v>0.56000000000000005</v>
      </c>
      <c r="J11" s="1"/>
    </row>
    <row r="12" spans="1:13" x14ac:dyDescent="0.15">
      <c r="A12" s="20" t="s">
        <v>15</v>
      </c>
      <c r="B12" s="62">
        <f>B11*B8</f>
        <v>840000</v>
      </c>
      <c r="C12" s="51" t="s">
        <v>56</v>
      </c>
      <c r="D12" s="1"/>
      <c r="F12" s="64" t="s">
        <v>87</v>
      </c>
      <c r="G12" s="16">
        <f>G11*G10</f>
        <v>155</v>
      </c>
      <c r="H12" s="16">
        <f>H11*H10</f>
        <v>66.959999999999994</v>
      </c>
      <c r="I12" s="16">
        <f>I11*I10</f>
        <v>70</v>
      </c>
      <c r="J12" s="30">
        <f>SUM(G12:I12)</f>
        <v>291.95999999999998</v>
      </c>
    </row>
    <row r="13" spans="1:13" x14ac:dyDescent="0.15">
      <c r="F13" s="78" t="s">
        <v>86</v>
      </c>
      <c r="G13" s="1"/>
      <c r="H13" s="1"/>
      <c r="I13" s="1"/>
      <c r="J13" s="76">
        <f>J12+G8</f>
        <v>298.10999999999996</v>
      </c>
    </row>
    <row r="14" spans="1:13" ht="14" x14ac:dyDescent="0.15">
      <c r="A14" s="41" t="s">
        <v>18</v>
      </c>
      <c r="B14" s="35"/>
      <c r="C14" s="35"/>
      <c r="D14" s="36"/>
      <c r="J14" s="79" t="s">
        <v>88</v>
      </c>
    </row>
    <row r="15" spans="1:13" x14ac:dyDescent="0.15">
      <c r="A15" s="63"/>
      <c r="B15" s="21" t="s">
        <v>0</v>
      </c>
      <c r="C15" s="21" t="s">
        <v>1</v>
      </c>
      <c r="D15" s="21" t="s">
        <v>2</v>
      </c>
    </row>
    <row r="16" spans="1:13" ht="15" x14ac:dyDescent="0.15">
      <c r="A16" s="61" t="s">
        <v>105</v>
      </c>
      <c r="B16" s="24">
        <v>50</v>
      </c>
      <c r="C16" s="24">
        <v>35</v>
      </c>
      <c r="D16" s="24">
        <v>25</v>
      </c>
      <c r="F16" s="41" t="s">
        <v>66</v>
      </c>
      <c r="G16" s="38"/>
      <c r="H16" s="35"/>
      <c r="I16" s="35"/>
      <c r="J16" s="36"/>
      <c r="K16" s="7"/>
      <c r="L16" s="7"/>
      <c r="M16" s="7"/>
    </row>
    <row r="17" spans="1:13" x14ac:dyDescent="0.15">
      <c r="A17" s="61" t="s">
        <v>49</v>
      </c>
      <c r="B17" s="25">
        <v>0.9</v>
      </c>
      <c r="C17" s="25">
        <v>1</v>
      </c>
      <c r="D17" s="25">
        <v>1</v>
      </c>
      <c r="F17" s="1"/>
      <c r="G17" s="22" t="s">
        <v>0</v>
      </c>
      <c r="H17" s="22" t="s">
        <v>1</v>
      </c>
      <c r="I17" s="22" t="s">
        <v>2</v>
      </c>
      <c r="J17" s="83" t="s">
        <v>8</v>
      </c>
    </row>
    <row r="18" spans="1:13" x14ac:dyDescent="0.15">
      <c r="A18" s="61" t="s">
        <v>79</v>
      </c>
      <c r="B18" s="1">
        <f>B16*B17</f>
        <v>45</v>
      </c>
      <c r="C18" s="1">
        <f>C16*C17</f>
        <v>35</v>
      </c>
      <c r="D18" s="1">
        <f>D16*D17</f>
        <v>25</v>
      </c>
      <c r="F18" s="64" t="s">
        <v>68</v>
      </c>
      <c r="G18" s="1">
        <f>B18</f>
        <v>45</v>
      </c>
      <c r="H18" s="1">
        <f>C18</f>
        <v>35</v>
      </c>
      <c r="I18" s="1">
        <f>D18</f>
        <v>25</v>
      </c>
      <c r="J18" s="66"/>
    </row>
    <row r="19" spans="1:13" x14ac:dyDescent="0.15">
      <c r="A19" s="64" t="s">
        <v>78</v>
      </c>
      <c r="B19" s="14">
        <f>$B$35/1000*B18</f>
        <v>202.5</v>
      </c>
      <c r="C19" s="14">
        <f>$B$35/1000*C18</f>
        <v>157.5</v>
      </c>
      <c r="D19" s="14">
        <f>$B$35/1000*D18</f>
        <v>112.5</v>
      </c>
      <c r="F19" s="108" t="s">
        <v>72</v>
      </c>
      <c r="G19" s="16">
        <f>G11</f>
        <v>1</v>
      </c>
      <c r="H19" s="16">
        <f>H11</f>
        <v>0.62</v>
      </c>
      <c r="I19" s="16">
        <f>I11</f>
        <v>0.56000000000000005</v>
      </c>
      <c r="J19" s="13"/>
    </row>
    <row r="20" spans="1:13" x14ac:dyDescent="0.15">
      <c r="F20" s="61" t="s">
        <v>70</v>
      </c>
      <c r="G20" s="16">
        <f>B18*G19</f>
        <v>45</v>
      </c>
      <c r="H20" s="16">
        <f>C18*H19</f>
        <v>21.7</v>
      </c>
      <c r="I20" s="16">
        <f>D18*I19</f>
        <v>14.000000000000002</v>
      </c>
      <c r="J20" s="16">
        <f>SUM(G20:I20)</f>
        <v>80.7</v>
      </c>
      <c r="K20" s="13"/>
    </row>
    <row r="21" spans="1:13" ht="14" x14ac:dyDescent="0.15">
      <c r="A21" s="41" t="s">
        <v>77</v>
      </c>
      <c r="B21" s="37"/>
      <c r="C21" s="35"/>
      <c r="D21" s="36"/>
      <c r="F21" s="69" t="s">
        <v>95</v>
      </c>
      <c r="J21" s="54">
        <f>J20/1000*B35</f>
        <v>363.15000000000003</v>
      </c>
      <c r="K21" s="13"/>
    </row>
    <row r="22" spans="1:13" ht="15" x14ac:dyDescent="0.15">
      <c r="A22" s="59" t="s">
        <v>82</v>
      </c>
      <c r="B22" s="57"/>
      <c r="C22" s="57"/>
      <c r="D22" s="12"/>
      <c r="F22" s="84" t="s">
        <v>94</v>
      </c>
    </row>
    <row r="23" spans="1:13" s="7" customFormat="1" x14ac:dyDescent="0.15">
      <c r="A23" s="65" t="s">
        <v>45</v>
      </c>
      <c r="B23" s="24">
        <v>200</v>
      </c>
      <c r="C23" s="13" t="s">
        <v>58</v>
      </c>
      <c r="D23" s="66"/>
      <c r="F23" s="75"/>
      <c r="G23" s="75"/>
      <c r="H23" s="75"/>
      <c r="I23" s="75"/>
      <c r="J23" s="75"/>
      <c r="K23" s="75"/>
      <c r="L23" s="75"/>
      <c r="M23" s="75"/>
    </row>
    <row r="24" spans="1:13" s="7" customFormat="1" ht="14" x14ac:dyDescent="0.15">
      <c r="A24" s="67" t="s">
        <v>3</v>
      </c>
      <c r="B24" s="1">
        <f>B23*1.1</f>
        <v>220.00000000000003</v>
      </c>
      <c r="C24" s="13" t="s">
        <v>58</v>
      </c>
      <c r="D24" s="66"/>
      <c r="F24" s="41" t="s">
        <v>93</v>
      </c>
      <c r="G24" s="55"/>
      <c r="H24" s="55"/>
      <c r="I24" s="55"/>
      <c r="J24" s="36"/>
      <c r="K24" s="75"/>
      <c r="L24" s="75"/>
      <c r="M24" s="75"/>
    </row>
    <row r="25" spans="1:13" s="7" customFormat="1" x14ac:dyDescent="0.15">
      <c r="A25" s="47" t="s">
        <v>4</v>
      </c>
      <c r="B25" s="24">
        <v>1.2</v>
      </c>
      <c r="C25" s="26" t="s">
        <v>64</v>
      </c>
      <c r="D25" s="66"/>
      <c r="F25" s="94"/>
      <c r="G25" s="95" t="s">
        <v>0</v>
      </c>
      <c r="H25" s="95" t="s">
        <v>1</v>
      </c>
      <c r="I25" s="95" t="s">
        <v>2</v>
      </c>
      <c r="K25" s="75"/>
      <c r="L25" s="75"/>
      <c r="M25" s="75"/>
    </row>
    <row r="26" spans="1:13" s="6" customFormat="1" x14ac:dyDescent="0.15">
      <c r="A26" s="47" t="s">
        <v>5</v>
      </c>
      <c r="B26" s="4">
        <f>B24*B25</f>
        <v>264</v>
      </c>
      <c r="C26" s="13" t="s">
        <v>59</v>
      </c>
      <c r="D26" s="13"/>
      <c r="F26" s="61" t="str">
        <f>F10</f>
        <v>Fertilizer recommendation, lbs / acre</v>
      </c>
      <c r="G26" s="17">
        <f>G10</f>
        <v>155</v>
      </c>
      <c r="H26" s="17">
        <f>H10</f>
        <v>108</v>
      </c>
      <c r="I26" s="17">
        <f>I10</f>
        <v>125</v>
      </c>
      <c r="J26" s="75"/>
      <c r="K26" s="75"/>
      <c r="L26" s="75"/>
      <c r="M26" s="75"/>
    </row>
    <row r="27" spans="1:13" x14ac:dyDescent="0.15">
      <c r="A27" s="48" t="s">
        <v>6</v>
      </c>
      <c r="B27" s="24">
        <v>50</v>
      </c>
      <c r="C27" s="13" t="s">
        <v>59</v>
      </c>
      <c r="D27" s="1"/>
      <c r="F27" s="61" t="s">
        <v>90</v>
      </c>
      <c r="G27" s="19">
        <f>B19</f>
        <v>202.5</v>
      </c>
      <c r="H27" s="19">
        <f>C19</f>
        <v>157.5</v>
      </c>
      <c r="I27" s="19">
        <f>D19</f>
        <v>112.5</v>
      </c>
      <c r="J27" s="80"/>
    </row>
    <row r="28" spans="1:13" x14ac:dyDescent="0.15">
      <c r="A28" s="68" t="s">
        <v>7</v>
      </c>
      <c r="B28" s="4">
        <f>B26-B27</f>
        <v>214</v>
      </c>
      <c r="C28" s="13" t="s">
        <v>59</v>
      </c>
      <c r="D28" s="1"/>
      <c r="F28" s="78" t="str">
        <f>IF(G27&gt;G26,"Nutrient surplus, lbs / acre", "Nutrient deficit, lbs / acre")</f>
        <v>Nutrient surplus, lbs / acre</v>
      </c>
      <c r="G28" s="18">
        <f>G27-G26</f>
        <v>47.5</v>
      </c>
      <c r="H28" s="18">
        <f>H27-H26</f>
        <v>49.5</v>
      </c>
      <c r="I28" s="18">
        <f>I27-I26</f>
        <v>-12.5</v>
      </c>
      <c r="J28" s="81"/>
    </row>
    <row r="29" spans="1:13" x14ac:dyDescent="0.15">
      <c r="A29" s="65" t="s">
        <v>57</v>
      </c>
      <c r="B29" s="2">
        <f>B18</f>
        <v>45</v>
      </c>
      <c r="C29" s="13" t="s">
        <v>65</v>
      </c>
      <c r="D29" s="1"/>
      <c r="F29" s="61" t="s">
        <v>73</v>
      </c>
      <c r="G29" s="16">
        <f>IF(G28&lt;0,-(G28*G19),0)</f>
        <v>0</v>
      </c>
      <c r="H29" s="16">
        <f>IF(H28&lt;0,-(H28*H19),0)</f>
        <v>0</v>
      </c>
      <c r="I29" s="16">
        <f>IF(I28&lt;0,-(I28*I19),0)</f>
        <v>7.0000000000000009</v>
      </c>
      <c r="J29" s="1"/>
    </row>
    <row r="30" spans="1:13" x14ac:dyDescent="0.15">
      <c r="A30" s="65" t="s">
        <v>83</v>
      </c>
      <c r="B30" s="58">
        <f>IF(B29&gt;0,B28/B29*1000,0)</f>
        <v>4755.5555555555557</v>
      </c>
      <c r="C30" s="13" t="s">
        <v>60</v>
      </c>
      <c r="D30" s="1"/>
      <c r="F30" s="107" t="s">
        <v>128</v>
      </c>
      <c r="J30" s="76">
        <f>IF(SUM(G29:I29)&gt;0,SUM(G29:I29)+G8,SUM(G29:I29))</f>
        <v>13.150000000000002</v>
      </c>
    </row>
    <row r="31" spans="1:13" x14ac:dyDescent="0.15">
      <c r="A31" s="1"/>
      <c r="B31" s="1"/>
      <c r="C31" s="1"/>
      <c r="D31" s="1"/>
      <c r="F31" s="84" t="s">
        <v>92</v>
      </c>
    </row>
    <row r="32" spans="1:13" x14ac:dyDescent="0.15">
      <c r="A32" s="61" t="s">
        <v>52</v>
      </c>
      <c r="B32" s="23">
        <v>1.7000000000000001E-2</v>
      </c>
      <c r="C32" s="29" t="s">
        <v>61</v>
      </c>
      <c r="D32" s="1"/>
      <c r="F32" s="84" t="s">
        <v>91</v>
      </c>
      <c r="G32" s="7"/>
      <c r="H32" s="7"/>
      <c r="I32" s="7"/>
      <c r="J32" s="7"/>
    </row>
    <row r="33" spans="1:12" x14ac:dyDescent="0.15">
      <c r="A33" s="61" t="s">
        <v>51</v>
      </c>
      <c r="B33" s="23">
        <v>0</v>
      </c>
      <c r="C33" s="29" t="s">
        <v>61</v>
      </c>
      <c r="D33" s="1"/>
      <c r="F33" s="7"/>
      <c r="G33" s="7"/>
      <c r="H33" s="7"/>
      <c r="I33" s="7"/>
      <c r="J33" s="7"/>
      <c r="K33" s="1"/>
      <c r="L33" s="1"/>
    </row>
    <row r="34" spans="1:12" ht="16" x14ac:dyDescent="0.2">
      <c r="A34" s="93" t="s">
        <v>103</v>
      </c>
      <c r="B34" s="53">
        <f>SUM(B32:B33)</f>
        <v>1.7000000000000001E-2</v>
      </c>
      <c r="C34" s="29" t="s">
        <v>61</v>
      </c>
      <c r="D34" s="1"/>
      <c r="F34" s="56" t="s">
        <v>101</v>
      </c>
      <c r="G34" s="72"/>
      <c r="H34" s="72"/>
      <c r="I34" s="72"/>
      <c r="J34" s="73"/>
      <c r="K34" s="40"/>
      <c r="L34" s="40"/>
    </row>
    <row r="35" spans="1:12" ht="14" x14ac:dyDescent="0.15">
      <c r="A35" s="20" t="s">
        <v>16</v>
      </c>
      <c r="B35" s="44">
        <v>4500</v>
      </c>
      <c r="C35" s="13" t="s">
        <v>62</v>
      </c>
      <c r="D35" s="71" t="str">
        <f>IF(B35&gt;B30,"application rate above maximum allowed", "")</f>
        <v/>
      </c>
      <c r="F35" s="63"/>
      <c r="G35" s="91" t="s">
        <v>99</v>
      </c>
      <c r="H35" s="91"/>
      <c r="I35" s="39"/>
      <c r="J35" s="90" t="s">
        <v>19</v>
      </c>
      <c r="K35" s="1"/>
      <c r="L35" s="1"/>
    </row>
    <row r="36" spans="1:12" ht="14" x14ac:dyDescent="0.15">
      <c r="A36" s="20" t="s">
        <v>17</v>
      </c>
      <c r="B36" s="52">
        <f>IF(B35&gt;0,B12/B35,0)</f>
        <v>186.66666666666666</v>
      </c>
      <c r="C36" s="13" t="s">
        <v>63</v>
      </c>
      <c r="D36" s="1"/>
      <c r="F36" s="20"/>
      <c r="G36" s="92" t="s">
        <v>26</v>
      </c>
      <c r="H36" s="10" t="s">
        <v>9</v>
      </c>
      <c r="I36" s="27" t="s">
        <v>10</v>
      </c>
      <c r="J36" s="27" t="s">
        <v>8</v>
      </c>
    </row>
    <row r="37" spans="1:12" x14ac:dyDescent="0.15">
      <c r="A37" s="61" t="s">
        <v>76</v>
      </c>
      <c r="B37" s="29">
        <f>B12*B34</f>
        <v>14280.000000000002</v>
      </c>
      <c r="C37" s="13" t="s">
        <v>74</v>
      </c>
      <c r="D37" s="1"/>
      <c r="F37" s="85" t="s">
        <v>96</v>
      </c>
      <c r="G37" s="3">
        <f>J21</f>
        <v>363.15000000000003</v>
      </c>
      <c r="H37" s="3">
        <f>B38</f>
        <v>76.500000000000014</v>
      </c>
      <c r="I37" s="3">
        <f>G37-H37</f>
        <v>286.65000000000003</v>
      </c>
      <c r="J37" s="15">
        <f>I37*$B$36</f>
        <v>53508.000000000007</v>
      </c>
    </row>
    <row r="38" spans="1:12" x14ac:dyDescent="0.15">
      <c r="A38" s="69" t="s">
        <v>104</v>
      </c>
      <c r="B38" s="70">
        <f>IF(B36&gt;0,B37/B36,0)</f>
        <v>76.500000000000014</v>
      </c>
      <c r="C38" s="13" t="s">
        <v>75</v>
      </c>
      <c r="D38" s="1"/>
      <c r="F38" s="85" t="s">
        <v>97</v>
      </c>
      <c r="G38" s="3">
        <f>J13</f>
        <v>298.10999999999996</v>
      </c>
      <c r="H38" s="16">
        <f>B38</f>
        <v>76.500000000000014</v>
      </c>
      <c r="I38" s="3">
        <f>G38-H38</f>
        <v>221.60999999999996</v>
      </c>
      <c r="J38" s="15">
        <f>I38*$B$36</f>
        <v>41367.19999999999</v>
      </c>
    </row>
    <row r="39" spans="1:12" x14ac:dyDescent="0.15">
      <c r="F39" s="85" t="s">
        <v>98</v>
      </c>
      <c r="G39" s="3">
        <f>J13</f>
        <v>298.10999999999996</v>
      </c>
      <c r="H39" s="3">
        <f>B38+J30</f>
        <v>89.65000000000002</v>
      </c>
      <c r="I39" s="3">
        <f>G39-H39</f>
        <v>208.45999999999992</v>
      </c>
      <c r="J39" s="15">
        <f>I39*$B$36</f>
        <v>38912.533333333318</v>
      </c>
    </row>
    <row r="40" spans="1:12" x14ac:dyDescent="0.15">
      <c r="J40" s="79" t="s">
        <v>100</v>
      </c>
    </row>
    <row r="41" spans="1:12" x14ac:dyDescent="0.15">
      <c r="A41" s="78" t="s">
        <v>47</v>
      </c>
    </row>
    <row r="42" spans="1:12" ht="15" x14ac:dyDescent="0.15">
      <c r="A42" s="105" t="s">
        <v>125</v>
      </c>
    </row>
    <row r="43" spans="1:12" x14ac:dyDescent="0.15">
      <c r="A43" s="86" t="s">
        <v>48</v>
      </c>
      <c r="B43" s="16"/>
      <c r="C43" s="13"/>
      <c r="D43" s="54"/>
      <c r="E43" s="6"/>
      <c r="H43" s="8"/>
      <c r="I43" s="6"/>
      <c r="J43" s="6"/>
    </row>
    <row r="44" spans="1:12" ht="15" x14ac:dyDescent="0.15">
      <c r="A44" s="105" t="s">
        <v>126</v>
      </c>
    </row>
    <row r="45" spans="1:12" x14ac:dyDescent="0.15">
      <c r="A45" s="86" t="s">
        <v>67</v>
      </c>
    </row>
    <row r="46" spans="1:12" ht="9.75" customHeight="1" x14ac:dyDescent="0.15"/>
    <row r="47" spans="1:12" ht="9.75" customHeight="1" x14ac:dyDescent="0.15"/>
    <row r="48" spans="1:12" x14ac:dyDescent="0.15">
      <c r="A48" s="49" t="s">
        <v>42</v>
      </c>
    </row>
    <row r="49" spans="1:7" x14ac:dyDescent="0.15">
      <c r="A49" s="89" t="s">
        <v>130</v>
      </c>
    </row>
    <row r="50" spans="1:7" x14ac:dyDescent="0.15">
      <c r="A50" s="50" t="s">
        <v>11</v>
      </c>
      <c r="B50" s="74">
        <f ca="1">TODAY()</f>
        <v>44754</v>
      </c>
    </row>
    <row r="51" spans="1:7" x14ac:dyDescent="0.15">
      <c r="E51" s="46"/>
    </row>
    <row r="52" spans="1:7" x14ac:dyDescent="0.15">
      <c r="A52" s="33" t="s">
        <v>43</v>
      </c>
    </row>
    <row r="53" spans="1:7" x14ac:dyDescent="0.15">
      <c r="G53" s="11"/>
    </row>
  </sheetData>
  <conditionalFormatting sqref="B35">
    <cfRule type="expression" dxfId="2" priority="1">
      <formula>$B$35&gt;$B$30</formula>
    </cfRule>
  </conditionalFormatting>
  <hyperlinks>
    <hyperlink ref="A42" r:id="rId1" xr:uid="{00000000-0004-0000-0100-000000000000}"/>
    <hyperlink ref="A44" r:id="rId2" xr:uid="{00000000-0004-0000-0100-000001000000}"/>
    <hyperlink ref="A49" r:id="rId3" display="Author: Tom Olsen" xr:uid="{00000000-0004-0000-0100-000002000000}"/>
  </hyperlinks>
  <pageMargins left="0.75" right="0.75" top="0.75" bottom="0.75" header="0.5" footer="0.5"/>
  <pageSetup scale="66" orientation="landscape" horizontalDpi="4294967293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3"/>
  <sheetViews>
    <sheetView showGridLines="0" tabSelected="1" zoomScaleNormal="100" workbookViewId="0"/>
  </sheetViews>
  <sheetFormatPr baseColWidth="10" defaultColWidth="9.1640625" defaultRowHeight="13" x14ac:dyDescent="0.15"/>
  <cols>
    <col min="1" max="1" width="37.1640625" style="75" customWidth="1"/>
    <col min="2" max="2" width="12.83203125" style="75" customWidth="1"/>
    <col min="3" max="3" width="12.5" style="75" customWidth="1"/>
    <col min="4" max="4" width="12.6640625" style="75" bestFit="1" customWidth="1"/>
    <col min="5" max="5" width="10.83203125" style="75" customWidth="1"/>
    <col min="6" max="6" width="36.5" style="75" customWidth="1"/>
    <col min="7" max="7" width="10.83203125" style="75" customWidth="1"/>
    <col min="8" max="9" width="10.6640625" style="75" customWidth="1"/>
    <col min="10" max="10" width="14.33203125" style="75" customWidth="1"/>
    <col min="11" max="11" width="14.5" style="75" customWidth="1"/>
    <col min="12" max="12" width="12.33203125" style="75" customWidth="1"/>
    <col min="13" max="13" width="13.83203125" style="75" customWidth="1"/>
    <col min="14" max="16384" width="9.1640625" style="75"/>
  </cols>
  <sheetData>
    <row r="1" spans="1:17" s="43" customFormat="1" ht="30" customHeight="1" thickBot="1" x14ac:dyDescent="0.25">
      <c r="A1" s="96" t="s">
        <v>22</v>
      </c>
    </row>
    <row r="2" spans="1:17" s="6" customFormat="1" ht="15" thickTop="1" x14ac:dyDescent="0.15">
      <c r="A2" s="34" t="s">
        <v>41</v>
      </c>
      <c r="B2" s="5"/>
    </row>
    <row r="3" spans="1:17" s="6" customFormat="1" x14ac:dyDescent="0.15">
      <c r="A3" s="33" t="s">
        <v>14</v>
      </c>
      <c r="B3" s="5"/>
    </row>
    <row r="4" spans="1:17" s="6" customFormat="1" ht="6.75" customHeight="1" x14ac:dyDescent="0.15"/>
    <row r="5" spans="1:17" x14ac:dyDescent="0.15">
      <c r="A5" s="87" t="s">
        <v>102</v>
      </c>
      <c r="B5" s="88"/>
    </row>
    <row r="6" spans="1:17" ht="8.25" customHeight="1" x14ac:dyDescent="0.15"/>
    <row r="7" spans="1:17" ht="14" x14ac:dyDescent="0.15">
      <c r="A7" s="41" t="s">
        <v>44</v>
      </c>
      <c r="B7" s="35"/>
      <c r="C7" s="35"/>
      <c r="D7" s="36"/>
      <c r="F7" s="41" t="s">
        <v>84</v>
      </c>
      <c r="G7" s="38"/>
      <c r="H7" s="38"/>
      <c r="I7" s="35"/>
      <c r="J7" s="36"/>
      <c r="L7" s="109" t="s">
        <v>124</v>
      </c>
      <c r="M7" s="110"/>
      <c r="N7" s="111" t="s">
        <v>24</v>
      </c>
      <c r="O7" s="111" t="s">
        <v>25</v>
      </c>
      <c r="P7" s="111" t="s">
        <v>25</v>
      </c>
      <c r="Q7" s="112" t="s">
        <v>25</v>
      </c>
    </row>
    <row r="8" spans="1:17" x14ac:dyDescent="0.15">
      <c r="A8" s="59" t="s">
        <v>107</v>
      </c>
      <c r="B8" s="24">
        <v>200</v>
      </c>
      <c r="C8" s="60" t="s">
        <v>23</v>
      </c>
      <c r="D8" s="12"/>
      <c r="F8" s="64" t="s">
        <v>85</v>
      </c>
      <c r="G8" s="77">
        <v>6</v>
      </c>
      <c r="H8" s="1"/>
      <c r="I8" s="1"/>
      <c r="J8" s="1"/>
      <c r="L8" s="113" t="s">
        <v>129</v>
      </c>
      <c r="M8" s="114"/>
      <c r="N8" s="115" t="s">
        <v>27</v>
      </c>
      <c r="O8" s="115" t="s">
        <v>0</v>
      </c>
      <c r="P8" s="115" t="s">
        <v>1</v>
      </c>
      <c r="Q8" s="116" t="s">
        <v>2</v>
      </c>
    </row>
    <row r="9" spans="1:17" ht="14" x14ac:dyDescent="0.15">
      <c r="A9" s="61" t="s">
        <v>108</v>
      </c>
      <c r="B9" s="24">
        <v>60</v>
      </c>
      <c r="C9" s="13" t="s">
        <v>109</v>
      </c>
      <c r="D9" s="1"/>
      <c r="F9" s="1"/>
      <c r="G9" s="22" t="s">
        <v>0</v>
      </c>
      <c r="H9" s="22" t="s">
        <v>1</v>
      </c>
      <c r="I9" s="22" t="s">
        <v>2</v>
      </c>
      <c r="J9" s="9"/>
      <c r="L9" s="117" t="s">
        <v>28</v>
      </c>
      <c r="M9" s="118" t="s">
        <v>29</v>
      </c>
      <c r="N9" s="119">
        <v>1500</v>
      </c>
      <c r="O9" s="120">
        <f>(N9/2000)/0.82</f>
        <v>0.91463414634146345</v>
      </c>
      <c r="P9" s="121">
        <f t="shared" ref="P9:Q12" si="0">2000*0</f>
        <v>0</v>
      </c>
      <c r="Q9" s="122">
        <f t="shared" si="0"/>
        <v>0</v>
      </c>
    </row>
    <row r="10" spans="1:17" ht="14" x14ac:dyDescent="0.15">
      <c r="A10" s="61" t="s">
        <v>50</v>
      </c>
      <c r="B10" s="24">
        <v>300</v>
      </c>
      <c r="C10" s="13" t="s">
        <v>54</v>
      </c>
      <c r="D10" s="1"/>
      <c r="F10" s="61" t="s">
        <v>71</v>
      </c>
      <c r="G10" s="24">
        <v>180</v>
      </c>
      <c r="H10" s="24">
        <v>60</v>
      </c>
      <c r="I10" s="24">
        <v>45</v>
      </c>
      <c r="J10" s="9" t="s">
        <v>13</v>
      </c>
      <c r="L10" s="123" t="s">
        <v>30</v>
      </c>
      <c r="M10" s="118" t="s">
        <v>31</v>
      </c>
      <c r="N10" s="119">
        <v>600</v>
      </c>
      <c r="O10" s="120">
        <f>(N10/2000)/0.28</f>
        <v>1.0714285714285714</v>
      </c>
      <c r="P10" s="121">
        <f t="shared" si="0"/>
        <v>0</v>
      </c>
      <c r="Q10" s="122">
        <f t="shared" si="0"/>
        <v>0</v>
      </c>
    </row>
    <row r="11" spans="1:17" x14ac:dyDescent="0.15">
      <c r="A11" s="61" t="s">
        <v>110</v>
      </c>
      <c r="B11" s="1">
        <f>B9*B10</f>
        <v>18000</v>
      </c>
      <c r="C11" s="31" t="s">
        <v>111</v>
      </c>
      <c r="D11" s="1"/>
      <c r="F11" s="61" t="s">
        <v>72</v>
      </c>
      <c r="G11" s="97">
        <v>1</v>
      </c>
      <c r="H11" s="97">
        <v>0.77</v>
      </c>
      <c r="I11" s="97">
        <v>0.61</v>
      </c>
      <c r="J11" s="1"/>
      <c r="L11" s="26" t="s">
        <v>123</v>
      </c>
      <c r="M11" s="118" t="s">
        <v>32</v>
      </c>
      <c r="N11" s="119">
        <v>750</v>
      </c>
      <c r="O11" s="120">
        <f>(N11/2000)/0.32</f>
        <v>1.171875</v>
      </c>
      <c r="P11" s="121">
        <f t="shared" si="0"/>
        <v>0</v>
      </c>
      <c r="Q11" s="122">
        <f t="shared" si="0"/>
        <v>0</v>
      </c>
    </row>
    <row r="12" spans="1:17" x14ac:dyDescent="0.15">
      <c r="A12" s="20" t="s">
        <v>15</v>
      </c>
      <c r="B12" s="62">
        <f>B11*B8</f>
        <v>3600000</v>
      </c>
      <c r="C12" s="9" t="s">
        <v>112</v>
      </c>
      <c r="D12" s="98">
        <f>B12/2000</f>
        <v>1800</v>
      </c>
      <c r="F12" s="64" t="s">
        <v>87</v>
      </c>
      <c r="G12" s="16">
        <f>G11*G10</f>
        <v>180</v>
      </c>
      <c r="H12" s="16">
        <f>H11*H10</f>
        <v>46.2</v>
      </c>
      <c r="I12" s="16">
        <f>I11*I10</f>
        <v>27.45</v>
      </c>
      <c r="J12" s="30">
        <f>SUM(G12:I12)</f>
        <v>253.64999999999998</v>
      </c>
      <c r="L12" s="26" t="s">
        <v>33</v>
      </c>
      <c r="M12" s="118" t="s">
        <v>34</v>
      </c>
      <c r="N12" s="119">
        <v>950</v>
      </c>
      <c r="O12" s="120">
        <f>(N12/2000)/0.46</f>
        <v>1.0326086956521738</v>
      </c>
      <c r="P12" s="121">
        <f t="shared" si="0"/>
        <v>0</v>
      </c>
      <c r="Q12" s="122">
        <f t="shared" si="0"/>
        <v>0</v>
      </c>
    </row>
    <row r="13" spans="1:17" x14ac:dyDescent="0.15">
      <c r="F13" s="78" t="s">
        <v>86</v>
      </c>
      <c r="G13" s="1"/>
      <c r="H13" s="1"/>
      <c r="I13" s="1"/>
      <c r="J13" s="76">
        <f>J12+G8</f>
        <v>259.64999999999998</v>
      </c>
      <c r="L13" s="26"/>
      <c r="M13" s="124"/>
      <c r="N13" s="125"/>
      <c r="O13" s="124"/>
      <c r="P13" s="124"/>
      <c r="Q13" s="126"/>
    </row>
    <row r="14" spans="1:17" ht="14" x14ac:dyDescent="0.15">
      <c r="A14" s="41" t="s">
        <v>18</v>
      </c>
      <c r="B14" s="35"/>
      <c r="C14" s="35"/>
      <c r="D14" s="36"/>
      <c r="J14" s="79" t="s">
        <v>88</v>
      </c>
      <c r="L14" s="26" t="s">
        <v>35</v>
      </c>
      <c r="M14" s="118" t="s">
        <v>36</v>
      </c>
      <c r="N14" s="119">
        <v>900</v>
      </c>
      <c r="O14" s="121">
        <f>2000*0</f>
        <v>0</v>
      </c>
      <c r="P14" s="121">
        <f>2000*0</f>
        <v>0</v>
      </c>
      <c r="Q14" s="127">
        <f>(N14/2000)/0.6</f>
        <v>0.75</v>
      </c>
    </row>
    <row r="15" spans="1:17" x14ac:dyDescent="0.15">
      <c r="A15" s="63"/>
      <c r="B15" s="21" t="s">
        <v>0</v>
      </c>
      <c r="C15" s="21" t="s">
        <v>1</v>
      </c>
      <c r="D15" s="21" t="s">
        <v>2</v>
      </c>
      <c r="L15" s="26"/>
      <c r="M15" s="118"/>
      <c r="N15" s="125"/>
      <c r="O15" s="124"/>
      <c r="P15" s="124"/>
      <c r="Q15" s="126"/>
    </row>
    <row r="16" spans="1:17" ht="15" x14ac:dyDescent="0.15">
      <c r="A16" s="61" t="s">
        <v>113</v>
      </c>
      <c r="B16" s="24">
        <v>22</v>
      </c>
      <c r="C16" s="24">
        <v>16</v>
      </c>
      <c r="D16" s="24">
        <v>14</v>
      </c>
      <c r="F16" s="41" t="s">
        <v>66</v>
      </c>
      <c r="G16" s="38"/>
      <c r="H16" s="35"/>
      <c r="I16" s="35"/>
      <c r="J16" s="36"/>
      <c r="K16" s="7"/>
      <c r="L16" s="26" t="s">
        <v>122</v>
      </c>
      <c r="M16" s="118" t="s">
        <v>37</v>
      </c>
      <c r="N16" s="125"/>
      <c r="O16" s="124"/>
      <c r="P16" s="124"/>
      <c r="Q16" s="126"/>
    </row>
    <row r="17" spans="1:17" x14ac:dyDescent="0.15">
      <c r="A17" s="61" t="s">
        <v>49</v>
      </c>
      <c r="B17" s="25">
        <v>0.4</v>
      </c>
      <c r="C17" s="25">
        <v>0.9</v>
      </c>
      <c r="D17" s="25">
        <v>0.9</v>
      </c>
      <c r="F17" s="1"/>
      <c r="G17" s="22" t="s">
        <v>0</v>
      </c>
      <c r="H17" s="22" t="s">
        <v>1</v>
      </c>
      <c r="I17" s="22" t="s">
        <v>2</v>
      </c>
      <c r="J17" s="83" t="s">
        <v>8</v>
      </c>
      <c r="L17" s="28" t="s">
        <v>38</v>
      </c>
      <c r="M17" s="128" t="s">
        <v>39</v>
      </c>
      <c r="N17" s="119">
        <v>1000</v>
      </c>
      <c r="O17" s="129">
        <f>O9</f>
        <v>0.91463414634146345</v>
      </c>
      <c r="P17" s="130">
        <f>(N17-(2000*0.11*O17))/(2000*0.52)</f>
        <v>0.76805816135084426</v>
      </c>
      <c r="Q17" s="131">
        <f>2000*0</f>
        <v>0</v>
      </c>
    </row>
    <row r="18" spans="1:17" x14ac:dyDescent="0.15">
      <c r="A18" s="61" t="s">
        <v>114</v>
      </c>
      <c r="B18" s="1">
        <f>B16*B17</f>
        <v>8.8000000000000007</v>
      </c>
      <c r="C18" s="1">
        <f>C16*C17</f>
        <v>14.4</v>
      </c>
      <c r="D18" s="1">
        <f>D16*D17</f>
        <v>12.6</v>
      </c>
      <c r="F18" s="64" t="s">
        <v>120</v>
      </c>
      <c r="G18" s="1">
        <f>B18</f>
        <v>8.8000000000000007</v>
      </c>
      <c r="H18" s="1">
        <f>C18</f>
        <v>14.4</v>
      </c>
      <c r="I18" s="1">
        <f>D18</f>
        <v>12.6</v>
      </c>
      <c r="J18" s="66"/>
      <c r="L18" s="104" t="s">
        <v>40</v>
      </c>
      <c r="M18" s="104"/>
      <c r="N18" s="104"/>
      <c r="O18" s="104"/>
      <c r="P18" s="104"/>
      <c r="Q18" s="104"/>
    </row>
    <row r="19" spans="1:17" x14ac:dyDescent="0.15">
      <c r="A19" s="64" t="s">
        <v>78</v>
      </c>
      <c r="B19" s="14">
        <f>$B$35*B18</f>
        <v>220.00000000000003</v>
      </c>
      <c r="C19" s="14">
        <f>$B$35*C18</f>
        <v>360</v>
      </c>
      <c r="D19" s="14">
        <f>$B$35*D18</f>
        <v>315</v>
      </c>
      <c r="F19" s="108" t="s">
        <v>72</v>
      </c>
      <c r="G19" s="16">
        <f>G11</f>
        <v>1</v>
      </c>
      <c r="H19" s="16">
        <f>H11</f>
        <v>0.77</v>
      </c>
      <c r="I19" s="16">
        <f>I11</f>
        <v>0.61</v>
      </c>
      <c r="J19" s="13"/>
    </row>
    <row r="20" spans="1:17" x14ac:dyDescent="0.15">
      <c r="F20" s="61" t="s">
        <v>121</v>
      </c>
      <c r="G20" s="16">
        <f>B18*G19</f>
        <v>8.8000000000000007</v>
      </c>
      <c r="H20" s="16">
        <f>C18*H19</f>
        <v>11.088000000000001</v>
      </c>
      <c r="I20" s="16">
        <f>D18*I19</f>
        <v>7.6859999999999999</v>
      </c>
      <c r="J20" s="16">
        <f>SUM(G20:I20)</f>
        <v>27.574000000000002</v>
      </c>
      <c r="K20" s="13"/>
    </row>
    <row r="21" spans="1:17" ht="14" x14ac:dyDescent="0.15">
      <c r="A21" s="41" t="s">
        <v>77</v>
      </c>
      <c r="B21" s="37"/>
      <c r="C21" s="35"/>
      <c r="D21" s="36"/>
      <c r="F21" s="69" t="s">
        <v>95</v>
      </c>
      <c r="G21" s="16">
        <f>G20*$B$35</f>
        <v>220.00000000000003</v>
      </c>
      <c r="H21" s="16">
        <f>H20*$B$35</f>
        <v>277.20000000000005</v>
      </c>
      <c r="I21" s="16">
        <f>I20*$B$35</f>
        <v>192.15</v>
      </c>
      <c r="J21" s="54">
        <f>J20*B35</f>
        <v>689.35</v>
      </c>
      <c r="K21" s="13"/>
    </row>
    <row r="22" spans="1:17" ht="15" x14ac:dyDescent="0.15">
      <c r="A22" s="59" t="s">
        <v>82</v>
      </c>
      <c r="B22" s="57"/>
      <c r="C22" s="57"/>
      <c r="D22" s="12"/>
      <c r="F22" s="84" t="s">
        <v>94</v>
      </c>
    </row>
    <row r="23" spans="1:17" s="7" customFormat="1" x14ac:dyDescent="0.15">
      <c r="A23" s="65" t="s">
        <v>45</v>
      </c>
      <c r="B23" s="24">
        <v>200</v>
      </c>
      <c r="C23" s="13" t="s">
        <v>58</v>
      </c>
      <c r="D23" s="66"/>
      <c r="F23" s="75"/>
      <c r="G23" s="75"/>
      <c r="H23" s="75"/>
      <c r="I23" s="75"/>
      <c r="J23" s="75"/>
      <c r="K23" s="75"/>
      <c r="L23" s="75"/>
      <c r="M23" s="75"/>
    </row>
    <row r="24" spans="1:17" s="7" customFormat="1" ht="14" x14ac:dyDescent="0.15">
      <c r="A24" s="67" t="s">
        <v>3</v>
      </c>
      <c r="B24" s="1">
        <f>B23*1.1</f>
        <v>220.00000000000003</v>
      </c>
      <c r="C24" s="13" t="s">
        <v>58</v>
      </c>
      <c r="D24" s="66"/>
      <c r="F24" s="41" t="s">
        <v>93</v>
      </c>
      <c r="G24" s="55"/>
      <c r="H24" s="55"/>
      <c r="I24" s="55"/>
      <c r="J24" s="36"/>
      <c r="K24" s="75"/>
      <c r="L24" s="75"/>
      <c r="M24" s="75"/>
    </row>
    <row r="25" spans="1:17" s="7" customFormat="1" x14ac:dyDescent="0.15">
      <c r="A25" s="47" t="s">
        <v>4</v>
      </c>
      <c r="B25" s="24">
        <v>1.2</v>
      </c>
      <c r="C25" s="26" t="s">
        <v>64</v>
      </c>
      <c r="D25" s="66"/>
      <c r="F25" s="94"/>
      <c r="G25" s="95" t="s">
        <v>0</v>
      </c>
      <c r="H25" s="95" t="s">
        <v>1</v>
      </c>
      <c r="I25" s="95" t="s">
        <v>2</v>
      </c>
      <c r="K25" s="75"/>
      <c r="L25" s="75"/>
      <c r="M25" s="75"/>
    </row>
    <row r="26" spans="1:17" s="6" customFormat="1" x14ac:dyDescent="0.15">
      <c r="A26" s="47" t="s">
        <v>5</v>
      </c>
      <c r="B26" s="4">
        <f>B24*B25</f>
        <v>264</v>
      </c>
      <c r="C26" s="13" t="s">
        <v>59</v>
      </c>
      <c r="D26" s="13"/>
      <c r="F26" s="61" t="str">
        <f>F10</f>
        <v>Fertilizer recommendation, lbs / acre</v>
      </c>
      <c r="G26" s="17">
        <f>G10</f>
        <v>180</v>
      </c>
      <c r="H26" s="17">
        <f>H10</f>
        <v>60</v>
      </c>
      <c r="I26" s="17">
        <f>I10</f>
        <v>45</v>
      </c>
      <c r="J26" s="75"/>
      <c r="K26" s="75"/>
      <c r="L26" s="75"/>
      <c r="M26" s="75"/>
    </row>
    <row r="27" spans="1:17" x14ac:dyDescent="0.15">
      <c r="A27" s="48" t="s">
        <v>6</v>
      </c>
      <c r="B27" s="24">
        <v>0</v>
      </c>
      <c r="C27" s="13" t="s">
        <v>59</v>
      </c>
      <c r="D27" s="1"/>
      <c r="F27" s="61" t="s">
        <v>90</v>
      </c>
      <c r="G27" s="19">
        <f>B19</f>
        <v>220.00000000000003</v>
      </c>
      <c r="H27" s="19">
        <f>C19</f>
        <v>360</v>
      </c>
      <c r="I27" s="19">
        <f>D19</f>
        <v>315</v>
      </c>
      <c r="J27" s="80"/>
    </row>
    <row r="28" spans="1:17" x14ac:dyDescent="0.15">
      <c r="A28" s="68" t="s">
        <v>7</v>
      </c>
      <c r="B28" s="4">
        <f>B26-B27</f>
        <v>264</v>
      </c>
      <c r="C28" s="13" t="s">
        <v>59</v>
      </c>
      <c r="D28" s="1"/>
      <c r="F28" s="78" t="str">
        <f>IF(G27&gt;G26,"Nutrient surplus, lbs / acre", "Nutrient deficit, lbs / acre")</f>
        <v>Nutrient surplus, lbs / acre</v>
      </c>
      <c r="G28" s="18">
        <f>G27-G26</f>
        <v>40.000000000000028</v>
      </c>
      <c r="H28" s="18">
        <f>H27-H26</f>
        <v>300</v>
      </c>
      <c r="I28" s="18">
        <f>I27-I26</f>
        <v>270</v>
      </c>
      <c r="J28" s="81"/>
    </row>
    <row r="29" spans="1:17" x14ac:dyDescent="0.15">
      <c r="A29" s="65" t="s">
        <v>115</v>
      </c>
      <c r="B29" s="2">
        <f>B18</f>
        <v>8.8000000000000007</v>
      </c>
      <c r="C29" s="13" t="s">
        <v>116</v>
      </c>
      <c r="D29" s="1"/>
      <c r="F29" s="61" t="s">
        <v>73</v>
      </c>
      <c r="G29" s="16">
        <f>IF(G28&lt;0,-(G28*G19),0)</f>
        <v>0</v>
      </c>
      <c r="H29" s="16">
        <f>IF(H28&lt;0,-(H28*H19),0)</f>
        <v>0</v>
      </c>
      <c r="I29" s="16">
        <f>IF(I28&lt;0,-(I28*I19),0)</f>
        <v>0</v>
      </c>
      <c r="J29" s="1"/>
    </row>
    <row r="30" spans="1:17" x14ac:dyDescent="0.15">
      <c r="A30" s="65" t="s">
        <v>83</v>
      </c>
      <c r="B30" s="99">
        <f>IF(B29&gt;0,B28/B29,0)</f>
        <v>29.999999999999996</v>
      </c>
      <c r="C30" s="13" t="s">
        <v>117</v>
      </c>
      <c r="D30" s="1"/>
      <c r="F30" s="107" t="s">
        <v>128</v>
      </c>
      <c r="J30" s="76">
        <f>IF(SUM(G29:I29)&gt;0,SUM(G29:I29)+G8,SUM(G29:I29))</f>
        <v>0</v>
      </c>
    </row>
    <row r="31" spans="1:17" x14ac:dyDescent="0.15">
      <c r="A31" s="1"/>
      <c r="B31" s="1"/>
      <c r="C31" s="1"/>
      <c r="D31" s="1"/>
      <c r="F31" s="84" t="s">
        <v>92</v>
      </c>
    </row>
    <row r="32" spans="1:17" x14ac:dyDescent="0.15">
      <c r="A32" s="61" t="s">
        <v>52</v>
      </c>
      <c r="B32" s="100">
        <v>5</v>
      </c>
      <c r="C32" s="29" t="s">
        <v>118</v>
      </c>
      <c r="D32" s="1"/>
      <c r="F32" s="106" t="s">
        <v>127</v>
      </c>
      <c r="G32" s="7"/>
      <c r="H32" s="7"/>
      <c r="I32" s="7"/>
      <c r="J32" s="7"/>
    </row>
    <row r="33" spans="1:18" x14ac:dyDescent="0.15">
      <c r="A33" s="61" t="s">
        <v>51</v>
      </c>
      <c r="B33" s="100">
        <v>0</v>
      </c>
      <c r="C33" s="29" t="s">
        <v>118</v>
      </c>
      <c r="D33" s="1"/>
      <c r="F33" s="7"/>
      <c r="G33" s="7"/>
      <c r="H33" s="7"/>
      <c r="I33" s="7"/>
      <c r="J33" s="7"/>
      <c r="K33" s="1"/>
      <c r="L33" s="1"/>
      <c r="M33" s="1"/>
      <c r="N33" s="1"/>
      <c r="O33" s="1"/>
      <c r="P33" s="1"/>
      <c r="Q33" s="1"/>
      <c r="R33" s="1"/>
    </row>
    <row r="34" spans="1:18" ht="16" x14ac:dyDescent="0.2">
      <c r="A34" s="93" t="s">
        <v>103</v>
      </c>
      <c r="B34" s="101">
        <f>SUM(B32:B33)</f>
        <v>5</v>
      </c>
      <c r="C34" s="29" t="s">
        <v>118</v>
      </c>
      <c r="D34" s="1"/>
      <c r="F34" s="56" t="s">
        <v>101</v>
      </c>
      <c r="G34" s="72"/>
      <c r="H34" s="72"/>
      <c r="I34" s="72"/>
      <c r="J34" s="73"/>
      <c r="K34" s="40"/>
      <c r="L34" s="40"/>
      <c r="M34" s="40"/>
      <c r="N34" s="40"/>
      <c r="O34" s="40"/>
      <c r="P34" s="40"/>
      <c r="Q34" s="40"/>
      <c r="R34" s="40"/>
    </row>
    <row r="35" spans="1:18" ht="14" x14ac:dyDescent="0.15">
      <c r="A35" s="20" t="s">
        <v>16</v>
      </c>
      <c r="B35" s="102">
        <v>25</v>
      </c>
      <c r="C35" s="13" t="s">
        <v>119</v>
      </c>
      <c r="D35" s="71" t="str">
        <f>IF(B35&gt;B30,"application rate above maximum allowed", "")</f>
        <v/>
      </c>
      <c r="F35" s="63"/>
      <c r="G35" s="91" t="s">
        <v>99</v>
      </c>
      <c r="H35" s="91"/>
      <c r="I35" s="39"/>
      <c r="J35" s="90" t="s">
        <v>19</v>
      </c>
      <c r="K35" s="1"/>
      <c r="L35" s="1"/>
      <c r="M35" s="1"/>
      <c r="N35" s="1"/>
      <c r="O35" s="1"/>
      <c r="P35" s="1"/>
      <c r="Q35" s="1"/>
      <c r="R35" s="1"/>
    </row>
    <row r="36" spans="1:18" ht="14" x14ac:dyDescent="0.15">
      <c r="A36" s="20" t="s">
        <v>17</v>
      </c>
      <c r="B36" s="103">
        <f>IF(B35&gt;0,B12/2000/B35,0)</f>
        <v>72</v>
      </c>
      <c r="C36" s="13" t="s">
        <v>63</v>
      </c>
      <c r="D36" s="1"/>
      <c r="F36" s="20"/>
      <c r="G36" s="92" t="s">
        <v>26</v>
      </c>
      <c r="H36" s="10" t="s">
        <v>9</v>
      </c>
      <c r="I36" s="27" t="s">
        <v>10</v>
      </c>
      <c r="J36" s="27" t="s">
        <v>8</v>
      </c>
    </row>
    <row r="37" spans="1:18" x14ac:dyDescent="0.15">
      <c r="A37" s="61" t="s">
        <v>76</v>
      </c>
      <c r="B37" s="29">
        <f>(B12/2000)*B34</f>
        <v>9000</v>
      </c>
      <c r="C37" s="13" t="s">
        <v>74</v>
      </c>
      <c r="D37" s="1"/>
      <c r="F37" s="85" t="s">
        <v>96</v>
      </c>
      <c r="G37" s="3">
        <f>J21</f>
        <v>689.35</v>
      </c>
      <c r="H37" s="3">
        <f>B38</f>
        <v>125</v>
      </c>
      <c r="I37" s="3">
        <f>G37-H37</f>
        <v>564.35</v>
      </c>
      <c r="J37" s="15">
        <f>I37*$B$36</f>
        <v>40633.200000000004</v>
      </c>
    </row>
    <row r="38" spans="1:18" x14ac:dyDescent="0.15">
      <c r="A38" s="69" t="s">
        <v>104</v>
      </c>
      <c r="B38" s="70">
        <f>IF(B36&gt;0,B37/B36,0)</f>
        <v>125</v>
      </c>
      <c r="C38" s="13" t="s">
        <v>75</v>
      </c>
      <c r="D38" s="1"/>
      <c r="F38" s="85" t="s">
        <v>97</v>
      </c>
      <c r="G38" s="3">
        <f>J13</f>
        <v>259.64999999999998</v>
      </c>
      <c r="H38" s="16">
        <f>B38</f>
        <v>125</v>
      </c>
      <c r="I38" s="3">
        <f>G38-H38</f>
        <v>134.64999999999998</v>
      </c>
      <c r="J38" s="15">
        <f>I38*$B$36</f>
        <v>9694.7999999999993</v>
      </c>
    </row>
    <row r="39" spans="1:18" x14ac:dyDescent="0.15">
      <c r="F39" s="85" t="s">
        <v>98</v>
      </c>
      <c r="G39" s="3">
        <f>J13</f>
        <v>259.64999999999998</v>
      </c>
      <c r="H39" s="3">
        <f>B38+J30</f>
        <v>125</v>
      </c>
      <c r="I39" s="3">
        <f>G39-H39</f>
        <v>134.64999999999998</v>
      </c>
      <c r="J39" s="15">
        <f>I39*$B$36</f>
        <v>9694.7999999999993</v>
      </c>
    </row>
    <row r="40" spans="1:18" x14ac:dyDescent="0.15">
      <c r="J40" s="79" t="s">
        <v>100</v>
      </c>
    </row>
    <row r="41" spans="1:18" x14ac:dyDescent="0.15">
      <c r="A41" s="78" t="s">
        <v>47</v>
      </c>
    </row>
    <row r="42" spans="1:18" ht="15" x14ac:dyDescent="0.15">
      <c r="A42" s="105" t="s">
        <v>125</v>
      </c>
    </row>
    <row r="43" spans="1:18" x14ac:dyDescent="0.15">
      <c r="A43" s="86" t="s">
        <v>48</v>
      </c>
      <c r="B43" s="16"/>
      <c r="C43" s="13"/>
      <c r="D43" s="54"/>
      <c r="E43" s="6"/>
      <c r="H43" s="8"/>
      <c r="I43" s="6"/>
      <c r="J43" s="6"/>
    </row>
    <row r="44" spans="1:18" ht="15" x14ac:dyDescent="0.15">
      <c r="A44" s="105" t="s">
        <v>126</v>
      </c>
    </row>
    <row r="45" spans="1:18" x14ac:dyDescent="0.15">
      <c r="A45" s="86" t="s">
        <v>67</v>
      </c>
    </row>
    <row r="46" spans="1:18" ht="9.75" customHeight="1" x14ac:dyDescent="0.15"/>
    <row r="47" spans="1:18" ht="9.75" customHeight="1" x14ac:dyDescent="0.15"/>
    <row r="48" spans="1:18" x14ac:dyDescent="0.15">
      <c r="A48" s="49" t="s">
        <v>42</v>
      </c>
    </row>
    <row r="49" spans="1:7" x14ac:dyDescent="0.15">
      <c r="A49" s="89" t="s">
        <v>130</v>
      </c>
    </row>
    <row r="50" spans="1:7" x14ac:dyDescent="0.15">
      <c r="A50" s="50" t="s">
        <v>11</v>
      </c>
      <c r="B50" s="74">
        <f ca="1">TODAY()</f>
        <v>44754</v>
      </c>
    </row>
    <row r="51" spans="1:7" x14ac:dyDescent="0.15">
      <c r="E51" s="46"/>
    </row>
    <row r="52" spans="1:7" x14ac:dyDescent="0.15">
      <c r="A52" s="33" t="s">
        <v>43</v>
      </c>
    </row>
    <row r="53" spans="1:7" x14ac:dyDescent="0.15">
      <c r="G53" s="11"/>
    </row>
  </sheetData>
  <conditionalFormatting sqref="B35">
    <cfRule type="expression" dxfId="1" priority="1">
      <formula>$B$35&gt;$B$30</formula>
    </cfRule>
  </conditionalFormatting>
  <hyperlinks>
    <hyperlink ref="L18" r:id="rId1" xr:uid="{00000000-0004-0000-0200-000000000000}"/>
    <hyperlink ref="A42" r:id="rId2" xr:uid="{00000000-0004-0000-0200-000001000000}"/>
    <hyperlink ref="A44" r:id="rId3" xr:uid="{00000000-0004-0000-0200-000002000000}"/>
    <hyperlink ref="A49" r:id="rId4" display="Author: Tom Olsen" xr:uid="{00000000-0004-0000-0200-000003000000}"/>
  </hyperlinks>
  <pageMargins left="0.75" right="0.75" top="0.75" bottom="0.75" header="0.5" footer="0.5"/>
  <pageSetup scale="67" orientation="landscape" horizontalDpi="4294967293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3"/>
  <sheetViews>
    <sheetView showGridLines="0" zoomScaleNormal="100" workbookViewId="0">
      <selection activeCell="A49" sqref="A49"/>
    </sheetView>
  </sheetViews>
  <sheetFormatPr baseColWidth="10" defaultColWidth="9.1640625" defaultRowHeight="13" x14ac:dyDescent="0.15"/>
  <cols>
    <col min="1" max="1" width="36.5" style="75" customWidth="1"/>
    <col min="2" max="2" width="12.83203125" style="75" customWidth="1"/>
    <col min="3" max="3" width="12.5" style="75" customWidth="1"/>
    <col min="4" max="4" width="12.6640625" style="75" bestFit="1" customWidth="1"/>
    <col min="5" max="5" width="10.83203125" style="75" customWidth="1"/>
    <col min="6" max="6" width="36.5" style="75" customWidth="1"/>
    <col min="7" max="7" width="10.83203125" style="75" customWidth="1"/>
    <col min="8" max="9" width="10.6640625" style="75" customWidth="1"/>
    <col min="10" max="10" width="14.33203125" style="75" customWidth="1"/>
    <col min="11" max="11" width="14.5" style="75" customWidth="1"/>
    <col min="12" max="12" width="11.33203125" style="75" customWidth="1"/>
    <col min="13" max="13" width="13.83203125" style="75" customWidth="1"/>
    <col min="14" max="16384" width="9.1640625" style="75"/>
  </cols>
  <sheetData>
    <row r="1" spans="1:13" s="43" customFormat="1" ht="30" customHeight="1" thickBot="1" x14ac:dyDescent="0.25">
      <c r="A1" s="96" t="s">
        <v>106</v>
      </c>
    </row>
    <row r="2" spans="1:13" s="6" customFormat="1" ht="15" thickTop="1" x14ac:dyDescent="0.15">
      <c r="A2" s="34" t="s">
        <v>41</v>
      </c>
      <c r="B2" s="5"/>
    </row>
    <row r="3" spans="1:13" s="6" customFormat="1" x14ac:dyDescent="0.15">
      <c r="A3" s="33" t="s">
        <v>14</v>
      </c>
      <c r="B3" s="5"/>
    </row>
    <row r="4" spans="1:13" s="6" customFormat="1" ht="6.75" customHeight="1" x14ac:dyDescent="0.15"/>
    <row r="5" spans="1:13" x14ac:dyDescent="0.15">
      <c r="A5" s="87" t="s">
        <v>102</v>
      </c>
      <c r="B5" s="88"/>
    </row>
    <row r="6" spans="1:13" ht="8.25" customHeight="1" x14ac:dyDescent="0.15"/>
    <row r="7" spans="1:13" ht="14" x14ac:dyDescent="0.15">
      <c r="A7" s="41" t="s">
        <v>44</v>
      </c>
      <c r="B7" s="35"/>
      <c r="C7" s="35"/>
      <c r="D7" s="36"/>
      <c r="F7" s="41" t="s">
        <v>84</v>
      </c>
      <c r="G7" s="38"/>
      <c r="H7" s="38"/>
      <c r="I7" s="35"/>
      <c r="J7" s="36"/>
    </row>
    <row r="8" spans="1:13" x14ac:dyDescent="0.15">
      <c r="A8" s="59" t="s">
        <v>46</v>
      </c>
      <c r="B8" s="24">
        <v>2400</v>
      </c>
      <c r="C8" s="60" t="s">
        <v>12</v>
      </c>
      <c r="D8" s="12"/>
      <c r="F8" s="64" t="s">
        <v>85</v>
      </c>
      <c r="G8" s="77">
        <v>6</v>
      </c>
      <c r="H8" s="1"/>
      <c r="I8" s="1"/>
      <c r="J8" s="1"/>
    </row>
    <row r="9" spans="1:13" x14ac:dyDescent="0.15">
      <c r="A9" s="61" t="s">
        <v>81</v>
      </c>
      <c r="B9" s="24">
        <v>1</v>
      </c>
      <c r="C9" s="13" t="s">
        <v>53</v>
      </c>
      <c r="D9" s="1"/>
      <c r="F9" s="1"/>
      <c r="G9" s="22" t="s">
        <v>0</v>
      </c>
      <c r="H9" s="22" t="s">
        <v>1</v>
      </c>
      <c r="I9" s="22" t="s">
        <v>2</v>
      </c>
      <c r="J9" s="9"/>
    </row>
    <row r="10" spans="1:13" x14ac:dyDescent="0.15">
      <c r="A10" s="61" t="s">
        <v>50</v>
      </c>
      <c r="B10" s="24">
        <v>300</v>
      </c>
      <c r="C10" s="13" t="s">
        <v>54</v>
      </c>
      <c r="D10" s="1"/>
      <c r="F10" s="61" t="s">
        <v>71</v>
      </c>
      <c r="G10" s="24">
        <v>200</v>
      </c>
      <c r="H10" s="24">
        <v>120</v>
      </c>
      <c r="I10" s="24">
        <v>120</v>
      </c>
      <c r="J10" s="9" t="s">
        <v>13</v>
      </c>
    </row>
    <row r="11" spans="1:13" x14ac:dyDescent="0.15">
      <c r="A11" s="61" t="s">
        <v>80</v>
      </c>
      <c r="B11" s="1">
        <f>B9*B10</f>
        <v>300</v>
      </c>
      <c r="C11" s="31" t="s">
        <v>55</v>
      </c>
      <c r="D11" s="1"/>
      <c r="F11" s="61" t="s">
        <v>72</v>
      </c>
      <c r="G11" s="97">
        <v>1</v>
      </c>
      <c r="H11" s="97">
        <v>0.6</v>
      </c>
      <c r="I11" s="97">
        <v>0.6</v>
      </c>
      <c r="J11" s="1"/>
    </row>
    <row r="12" spans="1:13" x14ac:dyDescent="0.15">
      <c r="A12" s="20" t="s">
        <v>15</v>
      </c>
      <c r="B12" s="62">
        <f>B11*B8</f>
        <v>720000</v>
      </c>
      <c r="C12" s="51" t="s">
        <v>56</v>
      </c>
      <c r="D12" s="1"/>
      <c r="F12" s="64" t="s">
        <v>87</v>
      </c>
      <c r="G12" s="16">
        <f>G11*G10</f>
        <v>200</v>
      </c>
      <c r="H12" s="16">
        <f>H11*H10</f>
        <v>72</v>
      </c>
      <c r="I12" s="16">
        <f>I11*I10</f>
        <v>72</v>
      </c>
      <c r="J12" s="30">
        <f>SUM(G12:I12)</f>
        <v>344</v>
      </c>
    </row>
    <row r="13" spans="1:13" x14ac:dyDescent="0.15">
      <c r="F13" s="78" t="s">
        <v>86</v>
      </c>
      <c r="G13" s="1"/>
      <c r="H13" s="1"/>
      <c r="I13" s="1"/>
      <c r="J13" s="76">
        <f>J12+G8</f>
        <v>350</v>
      </c>
    </row>
    <row r="14" spans="1:13" ht="14" x14ac:dyDescent="0.15">
      <c r="A14" s="41" t="s">
        <v>18</v>
      </c>
      <c r="B14" s="35"/>
      <c r="C14" s="35"/>
      <c r="D14" s="36"/>
      <c r="J14" s="79" t="s">
        <v>88</v>
      </c>
    </row>
    <row r="15" spans="1:13" x14ac:dyDescent="0.15">
      <c r="A15" s="63"/>
      <c r="B15" s="21" t="s">
        <v>0</v>
      </c>
      <c r="C15" s="21" t="s">
        <v>1</v>
      </c>
      <c r="D15" s="21" t="s">
        <v>2</v>
      </c>
    </row>
    <row r="16" spans="1:13" ht="15" x14ac:dyDescent="0.15">
      <c r="A16" s="61" t="s">
        <v>105</v>
      </c>
      <c r="B16" s="24">
        <v>60</v>
      </c>
      <c r="C16" s="24">
        <v>35</v>
      </c>
      <c r="D16" s="24">
        <v>25</v>
      </c>
      <c r="F16" s="41" t="s">
        <v>66</v>
      </c>
      <c r="G16" s="38"/>
      <c r="H16" s="35"/>
      <c r="I16" s="35"/>
      <c r="J16" s="36"/>
      <c r="K16" s="7"/>
      <c r="L16" s="7"/>
      <c r="M16" s="7"/>
    </row>
    <row r="17" spans="1:13" x14ac:dyDescent="0.15">
      <c r="A17" s="61" t="s">
        <v>49</v>
      </c>
      <c r="B17" s="25">
        <v>0.9</v>
      </c>
      <c r="C17" s="25">
        <v>0.9</v>
      </c>
      <c r="D17" s="25">
        <v>0.9</v>
      </c>
      <c r="F17" s="1"/>
      <c r="G17" s="22" t="s">
        <v>0</v>
      </c>
      <c r="H17" s="22" t="s">
        <v>1</v>
      </c>
      <c r="I17" s="22" t="s">
        <v>2</v>
      </c>
      <c r="J17" s="83" t="s">
        <v>8</v>
      </c>
    </row>
    <row r="18" spans="1:13" x14ac:dyDescent="0.15">
      <c r="A18" s="61" t="s">
        <v>79</v>
      </c>
      <c r="B18" s="1">
        <f>B16*B17</f>
        <v>54</v>
      </c>
      <c r="C18" s="1">
        <f>C16*C17</f>
        <v>31.5</v>
      </c>
      <c r="D18" s="1">
        <f>D16*D17</f>
        <v>22.5</v>
      </c>
      <c r="F18" s="64" t="s">
        <v>68</v>
      </c>
      <c r="G18" s="1">
        <f>B18</f>
        <v>54</v>
      </c>
      <c r="H18" s="1">
        <f>C18</f>
        <v>31.5</v>
      </c>
      <c r="I18" s="1">
        <f>D18</f>
        <v>22.5</v>
      </c>
      <c r="J18" s="66"/>
    </row>
    <row r="19" spans="1:13" x14ac:dyDescent="0.15">
      <c r="A19" s="64" t="s">
        <v>78</v>
      </c>
      <c r="B19" s="14">
        <f>$B$35/1000*B18</f>
        <v>243</v>
      </c>
      <c r="C19" s="14">
        <f>$B$35/1000*C18</f>
        <v>141.75</v>
      </c>
      <c r="D19" s="14">
        <f>$B$35/1000*D18</f>
        <v>101.25</v>
      </c>
      <c r="F19" s="61" t="s">
        <v>69</v>
      </c>
      <c r="G19" s="16">
        <f>G11</f>
        <v>1</v>
      </c>
      <c r="H19" s="16">
        <f>H11</f>
        <v>0.6</v>
      </c>
      <c r="I19" s="16">
        <f>I11</f>
        <v>0.6</v>
      </c>
      <c r="J19" s="13"/>
    </row>
    <row r="20" spans="1:13" x14ac:dyDescent="0.15">
      <c r="F20" s="61" t="s">
        <v>70</v>
      </c>
      <c r="G20" s="16">
        <f>B18*G19</f>
        <v>54</v>
      </c>
      <c r="H20" s="16">
        <f>C18*H19</f>
        <v>18.899999999999999</v>
      </c>
      <c r="I20" s="16">
        <f>D18*I19</f>
        <v>13.5</v>
      </c>
      <c r="J20" s="16">
        <f>SUM(G20:I20)</f>
        <v>86.4</v>
      </c>
      <c r="K20" s="13"/>
    </row>
    <row r="21" spans="1:13" ht="14" x14ac:dyDescent="0.15">
      <c r="A21" s="41" t="s">
        <v>77</v>
      </c>
      <c r="B21" s="37"/>
      <c r="C21" s="35"/>
      <c r="D21" s="36"/>
      <c r="F21" s="69" t="s">
        <v>95</v>
      </c>
      <c r="J21" s="54">
        <f>J20/1000*B35</f>
        <v>388.8</v>
      </c>
      <c r="K21" s="13"/>
    </row>
    <row r="22" spans="1:13" ht="15" x14ac:dyDescent="0.15">
      <c r="A22" s="59" t="s">
        <v>82</v>
      </c>
      <c r="B22" s="57"/>
      <c r="C22" s="57"/>
      <c r="D22" s="12"/>
      <c r="F22" s="84" t="s">
        <v>94</v>
      </c>
    </row>
    <row r="23" spans="1:13" s="7" customFormat="1" x14ac:dyDescent="0.15">
      <c r="A23" s="65" t="s">
        <v>45</v>
      </c>
      <c r="B23" s="24">
        <v>200</v>
      </c>
      <c r="C23" s="13" t="s">
        <v>58</v>
      </c>
      <c r="D23" s="66"/>
      <c r="F23" s="75"/>
      <c r="G23" s="75"/>
      <c r="H23" s="75"/>
      <c r="I23" s="75"/>
      <c r="J23" s="75"/>
      <c r="K23" s="75"/>
      <c r="L23" s="75"/>
      <c r="M23" s="75"/>
    </row>
    <row r="24" spans="1:13" s="7" customFormat="1" ht="14" x14ac:dyDescent="0.15">
      <c r="A24" s="67" t="s">
        <v>3</v>
      </c>
      <c r="B24" s="1">
        <f>B23*1.1</f>
        <v>220.00000000000003</v>
      </c>
      <c r="C24" s="13" t="s">
        <v>58</v>
      </c>
      <c r="D24" s="66"/>
      <c r="F24" s="41" t="s">
        <v>93</v>
      </c>
      <c r="G24" s="55"/>
      <c r="H24" s="55"/>
      <c r="I24" s="55"/>
      <c r="J24" s="36"/>
      <c r="K24" s="75"/>
      <c r="L24" s="75"/>
      <c r="M24" s="75"/>
    </row>
    <row r="25" spans="1:13" s="7" customFormat="1" x14ac:dyDescent="0.15">
      <c r="A25" s="47" t="s">
        <v>4</v>
      </c>
      <c r="B25" s="24">
        <v>1.2</v>
      </c>
      <c r="C25" s="26" t="s">
        <v>64</v>
      </c>
      <c r="D25" s="66"/>
      <c r="F25" s="94"/>
      <c r="G25" s="95" t="s">
        <v>0</v>
      </c>
      <c r="H25" s="95" t="s">
        <v>1</v>
      </c>
      <c r="I25" s="95" t="s">
        <v>2</v>
      </c>
      <c r="K25" s="75"/>
      <c r="L25" s="75"/>
      <c r="M25" s="75"/>
    </row>
    <row r="26" spans="1:13" s="6" customFormat="1" x14ac:dyDescent="0.15">
      <c r="A26" s="47" t="s">
        <v>5</v>
      </c>
      <c r="B26" s="4">
        <f>B24*B25</f>
        <v>264</v>
      </c>
      <c r="C26" s="13" t="s">
        <v>59</v>
      </c>
      <c r="D26" s="13"/>
      <c r="F26" s="61" t="str">
        <f>F10</f>
        <v>Fertilizer recommendation, lbs / acre</v>
      </c>
      <c r="G26" s="17">
        <f>G10</f>
        <v>200</v>
      </c>
      <c r="H26" s="17">
        <f>H10</f>
        <v>120</v>
      </c>
      <c r="I26" s="17">
        <f>I10</f>
        <v>120</v>
      </c>
      <c r="J26" s="75"/>
      <c r="K26" s="75"/>
      <c r="L26" s="75"/>
      <c r="M26" s="75"/>
    </row>
    <row r="27" spans="1:13" x14ac:dyDescent="0.15">
      <c r="A27" s="48" t="s">
        <v>6</v>
      </c>
      <c r="B27" s="24">
        <v>0</v>
      </c>
      <c r="C27" s="13" t="s">
        <v>59</v>
      </c>
      <c r="D27" s="1"/>
      <c r="F27" s="61" t="s">
        <v>90</v>
      </c>
      <c r="G27" s="19">
        <f>B19</f>
        <v>243</v>
      </c>
      <c r="H27" s="19">
        <f>C19</f>
        <v>141.75</v>
      </c>
      <c r="I27" s="19">
        <f>D19</f>
        <v>101.25</v>
      </c>
      <c r="J27" s="80"/>
    </row>
    <row r="28" spans="1:13" x14ac:dyDescent="0.15">
      <c r="A28" s="68" t="s">
        <v>7</v>
      </c>
      <c r="B28" s="4">
        <f>B26-B27</f>
        <v>264</v>
      </c>
      <c r="C28" s="13" t="s">
        <v>59</v>
      </c>
      <c r="D28" s="1"/>
      <c r="F28" s="78" t="str">
        <f>IF(G27&gt;G26,"Nutrient surplus, lbs / acre", "Nutrient deficit, lbs / acre")</f>
        <v>Nutrient surplus, lbs / acre</v>
      </c>
      <c r="G28" s="18">
        <f>G27-G26</f>
        <v>43</v>
      </c>
      <c r="H28" s="18">
        <f>H27-H26</f>
        <v>21.75</v>
      </c>
      <c r="I28" s="18">
        <f>I27-I26</f>
        <v>-18.75</v>
      </c>
      <c r="J28" s="81"/>
    </row>
    <row r="29" spans="1:13" x14ac:dyDescent="0.15">
      <c r="A29" s="65" t="s">
        <v>57</v>
      </c>
      <c r="B29" s="2">
        <f>B18</f>
        <v>54</v>
      </c>
      <c r="C29" s="13" t="s">
        <v>65</v>
      </c>
      <c r="D29" s="1"/>
      <c r="F29" s="61" t="s">
        <v>73</v>
      </c>
      <c r="G29" s="16">
        <f>IF(G28&lt;0,-(G28*G19),0)</f>
        <v>0</v>
      </c>
      <c r="H29" s="16">
        <f>IF(H28&lt;0,-(H28*H19),0)</f>
        <v>0</v>
      </c>
      <c r="I29" s="16">
        <f>IF(I28&lt;0,-(I28*I19),0)</f>
        <v>11.25</v>
      </c>
      <c r="J29" s="1"/>
    </row>
    <row r="30" spans="1:13" x14ac:dyDescent="0.15">
      <c r="A30" s="65" t="s">
        <v>83</v>
      </c>
      <c r="B30" s="58">
        <f>IF(B29&gt;0,B28/B29*1000,0)</f>
        <v>4888.8888888888896</v>
      </c>
      <c r="C30" s="13" t="s">
        <v>60</v>
      </c>
      <c r="D30" s="1"/>
      <c r="F30" s="78" t="s">
        <v>89</v>
      </c>
      <c r="J30" s="76">
        <f>SUM(G29:I29)</f>
        <v>11.25</v>
      </c>
    </row>
    <row r="31" spans="1:13" x14ac:dyDescent="0.15">
      <c r="A31" s="1"/>
      <c r="B31" s="1"/>
      <c r="C31" s="1"/>
      <c r="D31" s="1"/>
      <c r="F31" s="84" t="s">
        <v>92</v>
      </c>
    </row>
    <row r="32" spans="1:13" x14ac:dyDescent="0.15">
      <c r="A32" s="61" t="s">
        <v>52</v>
      </c>
      <c r="B32" s="23">
        <v>1.7000000000000001E-2</v>
      </c>
      <c r="C32" s="29" t="s">
        <v>61</v>
      </c>
      <c r="D32" s="1"/>
      <c r="F32" s="84" t="s">
        <v>91</v>
      </c>
      <c r="G32" s="7"/>
      <c r="H32" s="7"/>
      <c r="I32" s="7"/>
      <c r="J32" s="7"/>
    </row>
    <row r="33" spans="1:12" x14ac:dyDescent="0.15">
      <c r="A33" s="61" t="s">
        <v>51</v>
      </c>
      <c r="B33" s="23"/>
      <c r="C33" s="29" t="s">
        <v>61</v>
      </c>
      <c r="D33" s="1"/>
      <c r="F33" s="7"/>
      <c r="G33" s="7"/>
      <c r="H33" s="7"/>
      <c r="I33" s="7"/>
      <c r="J33" s="7"/>
      <c r="K33" s="1"/>
      <c r="L33" s="1"/>
    </row>
    <row r="34" spans="1:12" ht="16" x14ac:dyDescent="0.2">
      <c r="A34" s="93" t="s">
        <v>103</v>
      </c>
      <c r="B34" s="53">
        <f>SUM(B32:B33)</f>
        <v>1.7000000000000001E-2</v>
      </c>
      <c r="C34" s="29" t="s">
        <v>61</v>
      </c>
      <c r="D34" s="1"/>
      <c r="F34" s="56" t="s">
        <v>101</v>
      </c>
      <c r="G34" s="72"/>
      <c r="H34" s="72"/>
      <c r="I34" s="72"/>
      <c r="J34" s="73"/>
      <c r="K34" s="40"/>
      <c r="L34" s="40"/>
    </row>
    <row r="35" spans="1:12" ht="14" x14ac:dyDescent="0.15">
      <c r="A35" s="20" t="s">
        <v>16</v>
      </c>
      <c r="B35" s="44">
        <v>4500</v>
      </c>
      <c r="C35" s="13" t="s">
        <v>62</v>
      </c>
      <c r="D35" s="71" t="str">
        <f>IF(B35&gt;B30,"application rate above maximum allowed", "")</f>
        <v/>
      </c>
      <c r="F35" s="63"/>
      <c r="G35" s="91" t="s">
        <v>99</v>
      </c>
      <c r="H35" s="91"/>
      <c r="I35" s="39"/>
      <c r="J35" s="90" t="s">
        <v>19</v>
      </c>
      <c r="K35" s="1"/>
      <c r="L35" s="1"/>
    </row>
    <row r="36" spans="1:12" ht="14" x14ac:dyDescent="0.15">
      <c r="A36" s="20" t="s">
        <v>17</v>
      </c>
      <c r="B36" s="52">
        <f>IF(B35&gt;0,B12/B35,0)</f>
        <v>160</v>
      </c>
      <c r="C36" s="13" t="s">
        <v>63</v>
      </c>
      <c r="D36" s="1"/>
      <c r="F36" s="20"/>
      <c r="G36" s="92" t="s">
        <v>26</v>
      </c>
      <c r="H36" s="10" t="s">
        <v>9</v>
      </c>
      <c r="I36" s="27" t="s">
        <v>10</v>
      </c>
      <c r="J36" s="27" t="s">
        <v>8</v>
      </c>
    </row>
    <row r="37" spans="1:12" x14ac:dyDescent="0.15">
      <c r="A37" s="61" t="s">
        <v>76</v>
      </c>
      <c r="B37" s="29">
        <f>B12*B34</f>
        <v>12240</v>
      </c>
      <c r="C37" s="13" t="s">
        <v>74</v>
      </c>
      <c r="D37" s="1"/>
      <c r="F37" s="85" t="s">
        <v>96</v>
      </c>
      <c r="G37" s="3">
        <f>J21</f>
        <v>388.8</v>
      </c>
      <c r="H37" s="3">
        <f>B38</f>
        <v>76.5</v>
      </c>
      <c r="I37" s="3">
        <f>G37-H37</f>
        <v>312.3</v>
      </c>
      <c r="J37" s="15">
        <f>I37*$B$36</f>
        <v>49968</v>
      </c>
    </row>
    <row r="38" spans="1:12" x14ac:dyDescent="0.15">
      <c r="A38" s="69" t="s">
        <v>104</v>
      </c>
      <c r="B38" s="70">
        <f>IF(B36&gt;0,B37/B36,0)</f>
        <v>76.5</v>
      </c>
      <c r="C38" s="13" t="s">
        <v>75</v>
      </c>
      <c r="D38" s="1"/>
      <c r="F38" s="85" t="s">
        <v>97</v>
      </c>
      <c r="G38" s="3">
        <f>J13</f>
        <v>350</v>
      </c>
      <c r="H38" s="16">
        <f>B38</f>
        <v>76.5</v>
      </c>
      <c r="I38" s="3">
        <f>G38-H38</f>
        <v>273.5</v>
      </c>
      <c r="J38" s="15">
        <f>I38*$B$36</f>
        <v>43760</v>
      </c>
    </row>
    <row r="39" spans="1:12" x14ac:dyDescent="0.15">
      <c r="F39" s="85" t="s">
        <v>98</v>
      </c>
      <c r="G39" s="3">
        <f>J13</f>
        <v>350</v>
      </c>
      <c r="H39" s="3">
        <f>B38+J30</f>
        <v>87.75</v>
      </c>
      <c r="I39" s="3">
        <f>G39-H39</f>
        <v>262.25</v>
      </c>
      <c r="J39" s="15">
        <f>I39*$B$36</f>
        <v>41960</v>
      </c>
    </row>
    <row r="40" spans="1:12" x14ac:dyDescent="0.15">
      <c r="J40" s="79" t="s">
        <v>100</v>
      </c>
    </row>
    <row r="41" spans="1:12" x14ac:dyDescent="0.15">
      <c r="A41" s="78" t="s">
        <v>47</v>
      </c>
    </row>
    <row r="42" spans="1:12" ht="15" x14ac:dyDescent="0.15">
      <c r="A42" s="105" t="s">
        <v>125</v>
      </c>
    </row>
    <row r="43" spans="1:12" x14ac:dyDescent="0.15">
      <c r="A43" s="86" t="s">
        <v>48</v>
      </c>
      <c r="B43" s="16"/>
      <c r="C43" s="13"/>
      <c r="D43" s="54"/>
      <c r="E43" s="6"/>
      <c r="H43" s="8"/>
      <c r="I43" s="6"/>
      <c r="J43" s="6"/>
    </row>
    <row r="44" spans="1:12" ht="15" x14ac:dyDescent="0.15">
      <c r="A44" s="105" t="s">
        <v>126</v>
      </c>
    </row>
    <row r="45" spans="1:12" x14ac:dyDescent="0.15">
      <c r="A45" s="86" t="s">
        <v>67</v>
      </c>
    </row>
    <row r="46" spans="1:12" ht="9.75" customHeight="1" x14ac:dyDescent="0.15"/>
    <row r="47" spans="1:12" ht="9.75" customHeight="1" x14ac:dyDescent="0.15"/>
    <row r="48" spans="1:12" x14ac:dyDescent="0.15">
      <c r="A48" s="49" t="s">
        <v>42</v>
      </c>
    </row>
    <row r="49" spans="1:7" x14ac:dyDescent="0.15">
      <c r="A49" s="89" t="s">
        <v>130</v>
      </c>
    </row>
    <row r="50" spans="1:7" x14ac:dyDescent="0.15">
      <c r="A50" s="50" t="s">
        <v>11</v>
      </c>
      <c r="B50" s="74">
        <f ca="1">TODAY()</f>
        <v>44754</v>
      </c>
    </row>
    <row r="51" spans="1:7" x14ac:dyDescent="0.15">
      <c r="E51" s="46"/>
    </row>
    <row r="52" spans="1:7" x14ac:dyDescent="0.15">
      <c r="A52" s="33" t="s">
        <v>43</v>
      </c>
    </row>
    <row r="53" spans="1:7" x14ac:dyDescent="0.15">
      <c r="G53" s="11"/>
    </row>
  </sheetData>
  <conditionalFormatting sqref="B35">
    <cfRule type="expression" dxfId="0" priority="1">
      <formula>$B$35&gt;$B$30</formula>
    </cfRule>
  </conditionalFormatting>
  <hyperlinks>
    <hyperlink ref="A42" r:id="rId1" xr:uid="{00000000-0004-0000-0300-000000000000}"/>
    <hyperlink ref="A44" r:id="rId2" xr:uid="{00000000-0004-0000-0300-000001000000}"/>
    <hyperlink ref="A49" r:id="rId3" display="Author: Tom Olsen" xr:uid="{00000000-0004-0000-0300-000002000000}"/>
  </hyperlinks>
  <pageMargins left="0.75" right="0.75" top="0.75" bottom="0.75" header="0.5" footer="0.5"/>
  <pageSetup scale="66" orientation="landscape" horizontalDpi="4294967293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Corn-Corn Example</vt:lpstr>
      <vt:lpstr>Corn-Soybean Example</vt:lpstr>
      <vt:lpstr>Dry Example</vt:lpstr>
      <vt:lpstr>Blank</vt:lpstr>
      <vt:lpstr>Blank!Print_Area</vt:lpstr>
      <vt:lpstr>'Corn-Corn Example'!Print_Area</vt:lpstr>
      <vt:lpstr>'Corn-Soybean Example'!Print_Area</vt:lpstr>
      <vt:lpstr>'Dry Example'!Print_Area</vt:lpstr>
    </vt:vector>
  </TitlesOfParts>
  <Company>ISU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tolsen</dc:creator>
  <cp:lastModifiedBy>Microsoft Office User</cp:lastModifiedBy>
  <cp:lastPrinted>2022-05-04T15:56:28Z</cp:lastPrinted>
  <dcterms:created xsi:type="dcterms:W3CDTF">2004-12-03T21:04:02Z</dcterms:created>
  <dcterms:modified xsi:type="dcterms:W3CDTF">2022-07-12T22:45:38Z</dcterms:modified>
</cp:coreProperties>
</file>