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aholste\Box Sync\AAnns Files\AgDM\6-19\"/>
    </mc:Choice>
  </mc:AlternateContent>
  <bookViews>
    <workbookView xWindow="0" yWindow="0" windowWidth="28800" windowHeight="9555"/>
  </bookViews>
  <sheets>
    <sheet name="Instructions" sheetId="5" r:id="rId1"/>
    <sheet name="Budget comparison" sheetId="1" r:id="rId2"/>
    <sheet name="Feed budgeting" sheetId="2" r:id="rId3"/>
    <sheet name="Fixed cost budgeting" sheetId="3" r:id="rId4"/>
    <sheet name="Investment analysis" sheetId="4" r:id="rId5"/>
  </sheets>
  <definedNames>
    <definedName name="_xlnm.Print_Area" localSheetId="1">'Budget comparison'!$A$1:$V$85</definedName>
    <definedName name="_xlnm.Print_Area" localSheetId="3">'Fixed cost budgeting'!$A$1:$AM$40</definedName>
    <definedName name="_xlnm.Print_Area" localSheetId="4">'Investment analysis'!$A$1:$K$29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44" i="2" l="1"/>
  <c r="AG41" i="2"/>
  <c r="A26" i="5" l="1"/>
  <c r="J54" i="2"/>
  <c r="L62" i="1"/>
  <c r="U65" i="1" l="1"/>
  <c r="U64" i="1"/>
  <c r="U63" i="1"/>
  <c r="U62" i="1"/>
  <c r="AQ50" i="2"/>
  <c r="AS50" i="2" s="1"/>
  <c r="AT50" i="2" s="1"/>
  <c r="AQ54" i="2"/>
  <c r="AS54" i="2" s="1"/>
  <c r="AT54" i="2" s="1"/>
  <c r="AQ53" i="2"/>
  <c r="AS53" i="2" s="1"/>
  <c r="AT53" i="2" s="1"/>
  <c r="AQ52" i="2"/>
  <c r="AS52" i="2" s="1"/>
  <c r="AT52" i="2" s="1"/>
  <c r="AQ51" i="2"/>
  <c r="AS51" i="2" s="1"/>
  <c r="AT51" i="2" s="1"/>
  <c r="AQ49" i="2"/>
  <c r="AQ44" i="2"/>
  <c r="AS44" i="2" s="1"/>
  <c r="AT44" i="2" s="1"/>
  <c r="AQ43" i="2"/>
  <c r="AS43" i="2" s="1"/>
  <c r="AT43" i="2" s="1"/>
  <c r="AQ42" i="2"/>
  <c r="AS42" i="2" s="1"/>
  <c r="AT42" i="2" s="1"/>
  <c r="AQ41" i="2"/>
  <c r="AS41" i="2" s="1"/>
  <c r="AT41" i="2" s="1"/>
  <c r="AQ40" i="2"/>
  <c r="AS40" i="2" s="1"/>
  <c r="AT40" i="2" s="1"/>
  <c r="AQ39" i="2"/>
  <c r="AS39" i="2" s="1"/>
  <c r="AT39" i="2" s="1"/>
  <c r="AQ34" i="2"/>
  <c r="AS34" i="2" s="1"/>
  <c r="AT34" i="2" s="1"/>
  <c r="AQ33" i="2"/>
  <c r="AQ32" i="2"/>
  <c r="AS32" i="2" s="1"/>
  <c r="AT32" i="2" s="1"/>
  <c r="AQ31" i="2"/>
  <c r="AS31" i="2" s="1"/>
  <c r="AT31" i="2" s="1"/>
  <c r="AQ30" i="2"/>
  <c r="AS30" i="2" s="1"/>
  <c r="AT30" i="2" s="1"/>
  <c r="AQ29" i="2"/>
  <c r="AQ24" i="2"/>
  <c r="AS24" i="2" s="1"/>
  <c r="AT24" i="2" s="1"/>
  <c r="AQ23" i="2"/>
  <c r="AS23" i="2" s="1"/>
  <c r="AT23" i="2" s="1"/>
  <c r="AQ22" i="2"/>
  <c r="AS22" i="2" s="1"/>
  <c r="AT22" i="2" s="1"/>
  <c r="AQ21" i="2"/>
  <c r="AS21" i="2" s="1"/>
  <c r="AT21" i="2" s="1"/>
  <c r="AQ20" i="2"/>
  <c r="AS20" i="2" s="1"/>
  <c r="AT20" i="2" s="1"/>
  <c r="AQ19" i="2"/>
  <c r="AG54" i="2"/>
  <c r="AI54" i="2" s="1"/>
  <c r="AJ54" i="2" s="1"/>
  <c r="AG53" i="2"/>
  <c r="AI53" i="2" s="1"/>
  <c r="AJ53" i="2" s="1"/>
  <c r="AG52" i="2"/>
  <c r="AI52" i="2" s="1"/>
  <c r="AJ52" i="2" s="1"/>
  <c r="AG51" i="2"/>
  <c r="AI51" i="2" s="1"/>
  <c r="AJ51" i="2" s="1"/>
  <c r="AG50" i="2"/>
  <c r="AI50" i="2" s="1"/>
  <c r="AJ50" i="2" s="1"/>
  <c r="AG49" i="2"/>
  <c r="AI49" i="2" s="1"/>
  <c r="AI44" i="2"/>
  <c r="AJ44" i="2" s="1"/>
  <c r="AG43" i="2"/>
  <c r="AI43" i="2" s="1"/>
  <c r="AJ43" i="2" s="1"/>
  <c r="AG42" i="2"/>
  <c r="AI42" i="2" s="1"/>
  <c r="AJ42" i="2" s="1"/>
  <c r="AI41" i="2"/>
  <c r="AJ41" i="2" s="1"/>
  <c r="AG40" i="2"/>
  <c r="AI40" i="2" s="1"/>
  <c r="AJ40" i="2" s="1"/>
  <c r="AG39" i="2"/>
  <c r="AI39" i="2" s="1"/>
  <c r="AJ39" i="2" s="1"/>
  <c r="AG34" i="2"/>
  <c r="AI34" i="2" s="1"/>
  <c r="AJ34" i="2" s="1"/>
  <c r="AG33" i="2"/>
  <c r="AI33" i="2" s="1"/>
  <c r="AJ33" i="2" s="1"/>
  <c r="AG32" i="2"/>
  <c r="AI32" i="2" s="1"/>
  <c r="AJ32" i="2" s="1"/>
  <c r="AG31" i="2"/>
  <c r="AI31" i="2" s="1"/>
  <c r="AJ31" i="2" s="1"/>
  <c r="AG30" i="2"/>
  <c r="AI30" i="2" s="1"/>
  <c r="AJ30" i="2" s="1"/>
  <c r="AG29" i="2"/>
  <c r="AG24" i="2"/>
  <c r="AI24" i="2" s="1"/>
  <c r="AJ24" i="2" s="1"/>
  <c r="AG23" i="2"/>
  <c r="AI23" i="2" s="1"/>
  <c r="AJ23" i="2" s="1"/>
  <c r="AG22" i="2"/>
  <c r="AI22" i="2" s="1"/>
  <c r="AJ22" i="2" s="1"/>
  <c r="AG21" i="2"/>
  <c r="AI21" i="2" s="1"/>
  <c r="AJ21" i="2" s="1"/>
  <c r="AG20" i="2"/>
  <c r="AI20" i="2" s="1"/>
  <c r="AJ20" i="2" s="1"/>
  <c r="AG19" i="2"/>
  <c r="AI19" i="2" s="1"/>
  <c r="W54" i="2"/>
  <c r="Y54" i="2" s="1"/>
  <c r="Z54" i="2" s="1"/>
  <c r="W53" i="2"/>
  <c r="Y53" i="2" s="1"/>
  <c r="Z53" i="2" s="1"/>
  <c r="W52" i="2"/>
  <c r="Y52" i="2" s="1"/>
  <c r="Z52" i="2" s="1"/>
  <c r="W51" i="2"/>
  <c r="Y51" i="2" s="1"/>
  <c r="Z51" i="2" s="1"/>
  <c r="W50" i="2"/>
  <c r="Y50" i="2" s="1"/>
  <c r="Z50" i="2" s="1"/>
  <c r="W49" i="2"/>
  <c r="W44" i="2"/>
  <c r="Y44" i="2" s="1"/>
  <c r="Z44" i="2" s="1"/>
  <c r="W43" i="2"/>
  <c r="Y43" i="2" s="1"/>
  <c r="Z43" i="2" s="1"/>
  <c r="W42" i="2"/>
  <c r="Y42" i="2" s="1"/>
  <c r="Z42" i="2" s="1"/>
  <c r="W41" i="2"/>
  <c r="Y41" i="2" s="1"/>
  <c r="Z41" i="2" s="1"/>
  <c r="W40" i="2"/>
  <c r="Y40" i="2" s="1"/>
  <c r="Z40" i="2" s="1"/>
  <c r="W39" i="2"/>
  <c r="W34" i="2"/>
  <c r="Y34" i="2" s="1"/>
  <c r="Z34" i="2" s="1"/>
  <c r="W33" i="2"/>
  <c r="Y33" i="2" s="1"/>
  <c r="Z33" i="2" s="1"/>
  <c r="W32" i="2"/>
  <c r="Y32" i="2" s="1"/>
  <c r="Z32" i="2" s="1"/>
  <c r="W31" i="2"/>
  <c r="Y31" i="2" s="1"/>
  <c r="Z31" i="2" s="1"/>
  <c r="W30" i="2"/>
  <c r="Y30" i="2" s="1"/>
  <c r="Z30" i="2" s="1"/>
  <c r="W29" i="2"/>
  <c r="W24" i="2"/>
  <c r="Y24" i="2" s="1"/>
  <c r="Z24" i="2" s="1"/>
  <c r="W23" i="2"/>
  <c r="Y23" i="2" s="1"/>
  <c r="Z23" i="2" s="1"/>
  <c r="W22" i="2"/>
  <c r="Y22" i="2" s="1"/>
  <c r="Z22" i="2" s="1"/>
  <c r="W21" i="2"/>
  <c r="Y21" i="2" s="1"/>
  <c r="Z21" i="2" s="1"/>
  <c r="W20" i="2"/>
  <c r="Y20" i="2" s="1"/>
  <c r="Z20" i="2" s="1"/>
  <c r="W19" i="2"/>
  <c r="AN54" i="2"/>
  <c r="AN53" i="2"/>
  <c r="AN52" i="2"/>
  <c r="AN51" i="2"/>
  <c r="AN50" i="2"/>
  <c r="AN49" i="2"/>
  <c r="AN44" i="2"/>
  <c r="AN43" i="2"/>
  <c r="AN42" i="2"/>
  <c r="AN41" i="2"/>
  <c r="AN40" i="2"/>
  <c r="AN39" i="2"/>
  <c r="AN34" i="2"/>
  <c r="AN33" i="2"/>
  <c r="AN32" i="2"/>
  <c r="AN31" i="2"/>
  <c r="AN30" i="2"/>
  <c r="AN29" i="2"/>
  <c r="AN24" i="2"/>
  <c r="AN23" i="2"/>
  <c r="AN22" i="2"/>
  <c r="AN21" i="2"/>
  <c r="AN20" i="2"/>
  <c r="AN19" i="2"/>
  <c r="AD54" i="2"/>
  <c r="AD53" i="2"/>
  <c r="AD52" i="2"/>
  <c r="AD51" i="2"/>
  <c r="AD50" i="2"/>
  <c r="AD49" i="2"/>
  <c r="AD44" i="2"/>
  <c r="AD43" i="2"/>
  <c r="AD42" i="2"/>
  <c r="AD41" i="2"/>
  <c r="AD40" i="2"/>
  <c r="AD39" i="2"/>
  <c r="AD34" i="2"/>
  <c r="AD33" i="2"/>
  <c r="AD32" i="2"/>
  <c r="AD31" i="2"/>
  <c r="AD30" i="2"/>
  <c r="AD29" i="2"/>
  <c r="AD24" i="2"/>
  <c r="AD23" i="2"/>
  <c r="AD22" i="2"/>
  <c r="AD21" i="2"/>
  <c r="AD20" i="2"/>
  <c r="AD19" i="2"/>
  <c r="T54" i="2"/>
  <c r="T53" i="2"/>
  <c r="T52" i="2"/>
  <c r="T51" i="2"/>
  <c r="T50" i="2"/>
  <c r="T49" i="2"/>
  <c r="T44" i="2"/>
  <c r="T43" i="2"/>
  <c r="T42" i="2"/>
  <c r="T41" i="2"/>
  <c r="T40" i="2"/>
  <c r="T39" i="2"/>
  <c r="T34" i="2"/>
  <c r="T33" i="2"/>
  <c r="T32" i="2"/>
  <c r="T31" i="2"/>
  <c r="T30" i="2"/>
  <c r="T29" i="2"/>
  <c r="T24" i="2"/>
  <c r="T23" i="2"/>
  <c r="T22" i="2"/>
  <c r="T21" i="2"/>
  <c r="T20" i="2"/>
  <c r="T19" i="2"/>
  <c r="AO7" i="2"/>
  <c r="AE7" i="2"/>
  <c r="U7" i="2"/>
  <c r="AT68" i="2"/>
  <c r="AT67" i="2"/>
  <c r="AT66" i="2"/>
  <c r="AR63" i="2"/>
  <c r="AT62" i="2"/>
  <c r="AT61" i="2"/>
  <c r="AT60" i="2"/>
  <c r="AT59" i="2"/>
  <c r="AR56" i="2"/>
  <c r="AO55" i="2"/>
  <c r="AP55" i="2" s="1"/>
  <c r="AS49" i="2"/>
  <c r="AO45" i="2"/>
  <c r="AP45" i="2" s="1"/>
  <c r="AO35" i="2"/>
  <c r="AP35" i="2" s="1"/>
  <c r="AN35" i="2"/>
  <c r="AS33" i="2"/>
  <c r="AT33" i="2" s="1"/>
  <c r="AO25" i="2"/>
  <c r="AP25" i="2" s="1"/>
  <c r="AN25" i="2"/>
  <c r="AR13" i="2"/>
  <c r="AT12" i="2"/>
  <c r="AS12" i="2" s="1"/>
  <c r="AT11" i="2"/>
  <c r="AS11" i="2" s="1"/>
  <c r="AT10" i="2"/>
  <c r="AS10" i="2" s="1"/>
  <c r="AJ68" i="2"/>
  <c r="AJ67" i="2"/>
  <c r="AJ66" i="2"/>
  <c r="AJ69" i="2" s="1"/>
  <c r="AH63" i="2"/>
  <c r="AJ62" i="2"/>
  <c r="AJ61" i="2"/>
  <c r="AJ60" i="2"/>
  <c r="AJ63" i="2" s="1"/>
  <c r="AJ59" i="2"/>
  <c r="AH56" i="2"/>
  <c r="AE55" i="2"/>
  <c r="AF55" i="2" s="1"/>
  <c r="AE45" i="2"/>
  <c r="AF45" i="2" s="1"/>
  <c r="AE35" i="2"/>
  <c r="AF35" i="2" s="1"/>
  <c r="AD35" i="2"/>
  <c r="AE25" i="2"/>
  <c r="AF25" i="2" s="1"/>
  <c r="AD25" i="2"/>
  <c r="AH13" i="2"/>
  <c r="AJ12" i="2"/>
  <c r="AI12" i="2" s="1"/>
  <c r="AJ11" i="2"/>
  <c r="AI11" i="2" s="1"/>
  <c r="AJ10" i="2"/>
  <c r="Z68" i="2"/>
  <c r="Z67" i="2"/>
  <c r="Z66" i="2"/>
  <c r="X63" i="2"/>
  <c r="Z62" i="2"/>
  <c r="Z61" i="2"/>
  <c r="Z60" i="2"/>
  <c r="Z59" i="2"/>
  <c r="X56" i="2"/>
  <c r="U55" i="2"/>
  <c r="V55" i="2" s="1"/>
  <c r="U45" i="2"/>
  <c r="V45" i="2" s="1"/>
  <c r="U35" i="2"/>
  <c r="V35" i="2" s="1"/>
  <c r="T35" i="2"/>
  <c r="U25" i="2"/>
  <c r="V25" i="2" s="1"/>
  <c r="T25" i="2"/>
  <c r="X13" i="2"/>
  <c r="Z12" i="2"/>
  <c r="Y12" i="2" s="1"/>
  <c r="Z11" i="2"/>
  <c r="Y11" i="2" s="1"/>
  <c r="Z10" i="2"/>
  <c r="AF47" i="2" l="1"/>
  <c r="AE47" i="2"/>
  <c r="AT63" i="2"/>
  <c r="AT69" i="2"/>
  <c r="AJ13" i="2"/>
  <c r="Z63" i="2"/>
  <c r="Z13" i="2"/>
  <c r="Y49" i="2"/>
  <c r="Z49" i="2" s="1"/>
  <c r="Z55" i="2" s="1"/>
  <c r="U47" i="2"/>
  <c r="Z69" i="2"/>
  <c r="AP47" i="2"/>
  <c r="AO47" i="2"/>
  <c r="AO37" i="2"/>
  <c r="AP17" i="2"/>
  <c r="AS64" i="2"/>
  <c r="AR64" i="2"/>
  <c r="AT13" i="2"/>
  <c r="AE37" i="2"/>
  <c r="AI64" i="2"/>
  <c r="AI10" i="2"/>
  <c r="V47" i="2"/>
  <c r="V37" i="2"/>
  <c r="AP37" i="2"/>
  <c r="AP27" i="2"/>
  <c r="AF37" i="2"/>
  <c r="AF27" i="2"/>
  <c r="AF17" i="2"/>
  <c r="AI25" i="2"/>
  <c r="AE17" i="2"/>
  <c r="V27" i="2"/>
  <c r="Y29" i="2"/>
  <c r="Y35" i="2" s="1"/>
  <c r="U17" i="2"/>
  <c r="V17" i="2"/>
  <c r="Y19" i="2"/>
  <c r="Y25" i="2" s="1"/>
  <c r="Y64" i="2"/>
  <c r="Y10" i="2"/>
  <c r="AT45" i="2"/>
  <c r="AT49" i="2"/>
  <c r="AT55" i="2" s="1"/>
  <c r="AS55" i="2"/>
  <c r="AS45" i="2"/>
  <c r="AO27" i="2"/>
  <c r="AS29" i="2"/>
  <c r="AS19" i="2"/>
  <c r="AO17" i="2"/>
  <c r="AJ45" i="2"/>
  <c r="AJ49" i="2"/>
  <c r="AJ55" i="2" s="1"/>
  <c r="AI55" i="2"/>
  <c r="AI45" i="2"/>
  <c r="AE27" i="2"/>
  <c r="AI29" i="2"/>
  <c r="AH64" i="2"/>
  <c r="AJ19" i="2"/>
  <c r="AJ25" i="2" s="1"/>
  <c r="U37" i="2"/>
  <c r="Y39" i="2"/>
  <c r="U27" i="2"/>
  <c r="X64" i="2"/>
  <c r="L79" i="1"/>
  <c r="L53" i="1"/>
  <c r="I34" i="1"/>
  <c r="I33" i="1"/>
  <c r="I32" i="1"/>
  <c r="U29" i="1"/>
  <c r="R29" i="1"/>
  <c r="O29" i="1"/>
  <c r="L29" i="1"/>
  <c r="J8" i="4"/>
  <c r="I8" i="4"/>
  <c r="Y55" i="2" l="1"/>
  <c r="Z29" i="2"/>
  <c r="Z35" i="2" s="1"/>
  <c r="Z19" i="2"/>
  <c r="Z25" i="2" s="1"/>
  <c r="AS35" i="2"/>
  <c r="AT29" i="2"/>
  <c r="AT35" i="2" s="1"/>
  <c r="AS25" i="2"/>
  <c r="AT19" i="2"/>
  <c r="AT25" i="2" s="1"/>
  <c r="AI35" i="2"/>
  <c r="AJ29" i="2"/>
  <c r="AJ35" i="2" s="1"/>
  <c r="AJ56" i="2" s="1"/>
  <c r="Z39" i="2"/>
  <c r="Z45" i="2" s="1"/>
  <c r="Y45" i="2"/>
  <c r="AM16" i="3"/>
  <c r="AM11" i="3"/>
  <c r="AC20" i="3"/>
  <c r="AC15" i="3"/>
  <c r="AC11" i="3"/>
  <c r="S20" i="3"/>
  <c r="S11" i="3"/>
  <c r="AM5" i="3"/>
  <c r="AC5" i="3"/>
  <c r="S5" i="3"/>
  <c r="L36" i="3" s="1"/>
  <c r="S36" i="3" s="1"/>
  <c r="I5" i="3"/>
  <c r="AF5" i="3"/>
  <c r="V5" i="3"/>
  <c r="L5" i="3"/>
  <c r="B5" i="3"/>
  <c r="N56" i="2"/>
  <c r="N63" i="2"/>
  <c r="I32" i="3"/>
  <c r="M19" i="2"/>
  <c r="V36" i="3" l="1"/>
  <c r="AC36" i="3" s="1"/>
  <c r="AC26" i="3"/>
  <c r="B36" i="3"/>
  <c r="I26" i="3"/>
  <c r="S9" i="3"/>
  <c r="AF36" i="3"/>
  <c r="AM26" i="3"/>
  <c r="Z56" i="2"/>
  <c r="Z71" i="2" s="1"/>
  <c r="AT56" i="2"/>
  <c r="AS56" i="2" s="1"/>
  <c r="AI56" i="2"/>
  <c r="AJ71" i="2"/>
  <c r="I8" i="3"/>
  <c r="S18" i="3"/>
  <c r="AC16" i="3"/>
  <c r="AC14" i="3"/>
  <c r="S17" i="3"/>
  <c r="AM9" i="3"/>
  <c r="S10" i="3"/>
  <c r="S19" i="3"/>
  <c r="I31" i="3"/>
  <c r="I30" i="3"/>
  <c r="AC13" i="3"/>
  <c r="AM18" i="3"/>
  <c r="AM8" i="3"/>
  <c r="AM17" i="3"/>
  <c r="S31" i="3"/>
  <c r="AM10" i="3"/>
  <c r="AM19" i="3"/>
  <c r="AC30" i="3"/>
  <c r="AM20" i="3"/>
  <c r="AC31" i="3"/>
  <c r="S13" i="3"/>
  <c r="AC8" i="3"/>
  <c r="AC17" i="3"/>
  <c r="AM13" i="3"/>
  <c r="S14" i="3"/>
  <c r="AC9" i="3"/>
  <c r="AC18" i="3"/>
  <c r="AM14" i="3"/>
  <c r="S8" i="3"/>
  <c r="S15" i="3"/>
  <c r="AC10" i="3"/>
  <c r="AC19" i="3"/>
  <c r="AM15" i="3"/>
  <c r="S26" i="3"/>
  <c r="S16" i="3"/>
  <c r="S30" i="3"/>
  <c r="Y56" i="2" l="1"/>
  <c r="AT71" i="2"/>
  <c r="I33" i="3"/>
  <c r="AM21" i="3"/>
  <c r="AG21" i="3"/>
  <c r="N13" i="2"/>
  <c r="N64" i="2" s="1"/>
  <c r="O64" i="2" l="1"/>
  <c r="K7" i="2"/>
  <c r="K27" i="4"/>
  <c r="J27" i="4"/>
  <c r="I27" i="4"/>
  <c r="K26" i="4"/>
  <c r="J26" i="4"/>
  <c r="I26" i="4"/>
  <c r="K25" i="4"/>
  <c r="J25" i="4"/>
  <c r="I25" i="4"/>
  <c r="K24" i="4"/>
  <c r="J24" i="4"/>
  <c r="I24" i="4"/>
  <c r="K23" i="4"/>
  <c r="J23" i="4"/>
  <c r="I23" i="4"/>
  <c r="K22" i="4"/>
  <c r="J22" i="4"/>
  <c r="I22" i="4"/>
  <c r="K21" i="4"/>
  <c r="J21" i="4"/>
  <c r="I21" i="4"/>
  <c r="K20" i="4"/>
  <c r="J20" i="4"/>
  <c r="I20" i="4"/>
  <c r="K19" i="4"/>
  <c r="J19" i="4"/>
  <c r="I19" i="4"/>
  <c r="K18" i="4"/>
  <c r="J18" i="4"/>
  <c r="I18" i="4"/>
  <c r="K17" i="4"/>
  <c r="J17" i="4"/>
  <c r="I17" i="4"/>
  <c r="K11" i="4"/>
  <c r="J14" i="4"/>
  <c r="I14" i="4"/>
  <c r="J13" i="4"/>
  <c r="J12" i="4"/>
  <c r="J11" i="4"/>
  <c r="J10" i="4"/>
  <c r="J9" i="4"/>
  <c r="I13" i="4"/>
  <c r="I12" i="4"/>
  <c r="I11" i="4"/>
  <c r="I10" i="4"/>
  <c r="I9" i="4"/>
  <c r="I28" i="4" s="1"/>
  <c r="E11" i="4"/>
  <c r="E10" i="4"/>
  <c r="E9" i="4"/>
  <c r="AM32" i="3" l="1"/>
  <c r="AM31" i="3"/>
  <c r="AM30" i="3"/>
  <c r="AM25" i="3"/>
  <c r="AM36" i="3"/>
  <c r="U59" i="1"/>
  <c r="R59" i="1"/>
  <c r="O59" i="1"/>
  <c r="L59" i="1"/>
  <c r="U57" i="1"/>
  <c r="R57" i="1"/>
  <c r="O57" i="1"/>
  <c r="L57" i="1"/>
  <c r="U55" i="1"/>
  <c r="R55" i="1"/>
  <c r="O55" i="1"/>
  <c r="L55" i="1"/>
  <c r="U53" i="1"/>
  <c r="R53" i="1"/>
  <c r="O53" i="1"/>
  <c r="J35" i="2"/>
  <c r="J25" i="2"/>
  <c r="AM33" i="3" l="1"/>
  <c r="AM38" i="3" l="1"/>
  <c r="U72" i="1" s="1"/>
  <c r="F40" i="2"/>
  <c r="K55" i="2"/>
  <c r="L55" i="2" s="1"/>
  <c r="K45" i="2"/>
  <c r="L45" i="2" s="1"/>
  <c r="K35" i="2"/>
  <c r="L35" i="2" s="1"/>
  <c r="K25" i="2"/>
  <c r="L25" i="2" s="1"/>
  <c r="M54" i="2"/>
  <c r="M53" i="2"/>
  <c r="M52" i="2"/>
  <c r="M51" i="2"/>
  <c r="M50" i="2"/>
  <c r="M49" i="2"/>
  <c r="M44" i="2"/>
  <c r="M43" i="2"/>
  <c r="M42" i="2"/>
  <c r="M41" i="2"/>
  <c r="M40" i="2"/>
  <c r="M39" i="2"/>
  <c r="M34" i="2"/>
  <c r="M33" i="2"/>
  <c r="M32" i="2"/>
  <c r="M31" i="2"/>
  <c r="M30" i="2"/>
  <c r="M29" i="2"/>
  <c r="K37" i="2" l="1"/>
  <c r="K47" i="2"/>
  <c r="L47" i="2"/>
  <c r="R65" i="1"/>
  <c r="R64" i="1"/>
  <c r="R63" i="1"/>
  <c r="R62" i="1"/>
  <c r="O65" i="1"/>
  <c r="O64" i="1"/>
  <c r="O63" i="1"/>
  <c r="O62" i="1"/>
  <c r="L65" i="1"/>
  <c r="L64" i="1"/>
  <c r="L63" i="1"/>
  <c r="R79" i="1" l="1"/>
  <c r="AC32" i="3"/>
  <c r="AC25" i="3"/>
  <c r="S25" i="3"/>
  <c r="I25" i="3"/>
  <c r="AC33" i="3" l="1"/>
  <c r="AC21" i="3"/>
  <c r="U79" i="1"/>
  <c r="O79" i="1"/>
  <c r="AC38" i="3" l="1"/>
  <c r="R72" i="1" s="1"/>
  <c r="S32" i="3" l="1"/>
  <c r="I36" i="3"/>
  <c r="I20" i="3"/>
  <c r="I19" i="3"/>
  <c r="I18" i="3"/>
  <c r="I17" i="3"/>
  <c r="I16" i="3"/>
  <c r="I15" i="3"/>
  <c r="I14" i="3"/>
  <c r="I13" i="3"/>
  <c r="I11" i="3"/>
  <c r="I10" i="3"/>
  <c r="I9" i="3"/>
  <c r="S33" i="3" l="1"/>
  <c r="I21" i="3"/>
  <c r="I38" i="3" s="1"/>
  <c r="L72" i="1" s="1"/>
  <c r="S21" i="3"/>
  <c r="P68" i="2"/>
  <c r="P67" i="2"/>
  <c r="P66" i="2"/>
  <c r="P69" i="2" s="1"/>
  <c r="P62" i="2"/>
  <c r="P61" i="2"/>
  <c r="P60" i="2"/>
  <c r="P59" i="2"/>
  <c r="O54" i="2"/>
  <c r="P54" i="2" s="1"/>
  <c r="O53" i="2"/>
  <c r="P53" i="2" s="1"/>
  <c r="J53" i="2"/>
  <c r="O52" i="2"/>
  <c r="P52" i="2" s="1"/>
  <c r="J52" i="2"/>
  <c r="O51" i="2"/>
  <c r="P51" i="2" s="1"/>
  <c r="J51" i="2"/>
  <c r="O50" i="2"/>
  <c r="P50" i="2" s="1"/>
  <c r="J50" i="2"/>
  <c r="O49" i="2"/>
  <c r="P49" i="2" s="1"/>
  <c r="J49" i="2"/>
  <c r="O44" i="2"/>
  <c r="P44" i="2" s="1"/>
  <c r="J44" i="2"/>
  <c r="O43" i="2"/>
  <c r="P43" i="2" s="1"/>
  <c r="J43" i="2"/>
  <c r="O42" i="2"/>
  <c r="P42" i="2" s="1"/>
  <c r="J42" i="2"/>
  <c r="O41" i="2"/>
  <c r="P41" i="2" s="1"/>
  <c r="J41" i="2"/>
  <c r="O40" i="2"/>
  <c r="P40" i="2" s="1"/>
  <c r="J40" i="2"/>
  <c r="O39" i="2"/>
  <c r="P39" i="2" s="1"/>
  <c r="J39" i="2"/>
  <c r="O34" i="2"/>
  <c r="P34" i="2" s="1"/>
  <c r="J34" i="2"/>
  <c r="O33" i="2"/>
  <c r="P33" i="2" s="1"/>
  <c r="J33" i="2"/>
  <c r="O32" i="2"/>
  <c r="P32" i="2" s="1"/>
  <c r="J32" i="2"/>
  <c r="O31" i="2"/>
  <c r="P31" i="2" s="1"/>
  <c r="J31" i="2"/>
  <c r="O30" i="2"/>
  <c r="P30" i="2" s="1"/>
  <c r="J30" i="2"/>
  <c r="O29" i="2"/>
  <c r="P29" i="2" s="1"/>
  <c r="J29" i="2"/>
  <c r="M24" i="2"/>
  <c r="O24" i="2" s="1"/>
  <c r="P24" i="2" s="1"/>
  <c r="J24" i="2"/>
  <c r="M23" i="2"/>
  <c r="O23" i="2" s="1"/>
  <c r="P23" i="2" s="1"/>
  <c r="J23" i="2"/>
  <c r="M22" i="2"/>
  <c r="O22" i="2" s="1"/>
  <c r="P22" i="2" s="1"/>
  <c r="J22" i="2"/>
  <c r="M21" i="2"/>
  <c r="O21" i="2" s="1"/>
  <c r="P21" i="2" s="1"/>
  <c r="J21" i="2"/>
  <c r="M20" i="2"/>
  <c r="O20" i="2" s="1"/>
  <c r="P20" i="2" s="1"/>
  <c r="J20" i="2"/>
  <c r="O19" i="2"/>
  <c r="P19" i="2" s="1"/>
  <c r="J19" i="2"/>
  <c r="P12" i="2"/>
  <c r="O12" i="2" s="1"/>
  <c r="P11" i="2"/>
  <c r="O11" i="2" s="1"/>
  <c r="P10" i="2"/>
  <c r="O10" i="2" s="1"/>
  <c r="P63" i="2" l="1"/>
  <c r="P45" i="2"/>
  <c r="P25" i="2"/>
  <c r="P13" i="2"/>
  <c r="S38" i="3"/>
  <c r="L37" i="2"/>
  <c r="K27" i="2"/>
  <c r="K17" i="2"/>
  <c r="L27" i="2"/>
  <c r="O45" i="2"/>
  <c r="L17" i="2"/>
  <c r="P35" i="2"/>
  <c r="O35" i="2"/>
  <c r="P55" i="2"/>
  <c r="O55" i="2"/>
  <c r="O25" i="2"/>
  <c r="P56" i="2" l="1"/>
  <c r="P71" i="2" s="1"/>
  <c r="O72" i="1"/>
  <c r="O56" i="2" l="1"/>
  <c r="O40" i="1"/>
  <c r="U42" i="1"/>
  <c r="R42" i="1"/>
  <c r="O42" i="1"/>
  <c r="L42" i="1"/>
  <c r="U41" i="1"/>
  <c r="R41" i="1"/>
  <c r="O41" i="1"/>
  <c r="L41" i="1"/>
  <c r="L40" i="1"/>
  <c r="O39" i="1"/>
  <c r="L39" i="1"/>
  <c r="L43" i="1" l="1"/>
  <c r="U39" i="1"/>
  <c r="R39" i="1"/>
  <c r="O43" i="1"/>
  <c r="L68" i="1" l="1"/>
  <c r="L70" i="1" s="1"/>
  <c r="L74" i="1" s="1"/>
  <c r="O68" i="1"/>
  <c r="O70" i="1" s="1"/>
  <c r="O74" i="1" s="1"/>
  <c r="E8" i="4"/>
  <c r="E28" i="4" s="1"/>
  <c r="E29" i="4" s="1"/>
  <c r="R40" i="1" l="1"/>
  <c r="R43" i="1" s="1"/>
  <c r="U40" i="1"/>
  <c r="U43" i="1" s="1"/>
  <c r="U68" i="1" l="1"/>
  <c r="U70" i="1" s="1"/>
  <c r="U74" i="1" s="1"/>
  <c r="R68" i="1"/>
  <c r="R70" i="1" s="1"/>
  <c r="R74" i="1" s="1"/>
  <c r="K10" i="4" l="1"/>
  <c r="K9" i="4"/>
  <c r="K8" i="4"/>
  <c r="J28" i="4"/>
  <c r="J29" i="4" s="1"/>
  <c r="K28" i="4" l="1"/>
  <c r="K29" i="4" s="1"/>
  <c r="I29" i="4"/>
  <c r="L34" i="1" l="1"/>
  <c r="L33" i="1"/>
  <c r="L84" i="1" l="1"/>
  <c r="L83" i="1"/>
  <c r="O32" i="1"/>
  <c r="L32" i="1"/>
  <c r="O33" i="1"/>
  <c r="R33" i="1"/>
  <c r="U33" i="1"/>
  <c r="R34" i="1"/>
  <c r="R84" i="1" s="1"/>
  <c r="U34" i="1"/>
  <c r="U83" i="1" s="1"/>
  <c r="O34" i="1"/>
  <c r="O84" i="1" s="1"/>
  <c r="U32" i="1"/>
  <c r="R32" i="1"/>
  <c r="O83" i="1" l="1"/>
  <c r="R83" i="1"/>
  <c r="R35" i="1"/>
  <c r="L35" i="1"/>
  <c r="U35" i="1"/>
  <c r="O35" i="1"/>
  <c r="L76" i="1" l="1"/>
  <c r="L81" i="1"/>
  <c r="R81" i="1"/>
  <c r="R76" i="1"/>
  <c r="O81" i="1"/>
  <c r="O76" i="1"/>
  <c r="U81" i="1"/>
  <c r="U76" i="1"/>
  <c r="U84" i="1"/>
</calcChain>
</file>

<file path=xl/comments1.xml><?xml version="1.0" encoding="utf-8"?>
<comments xmlns="http://schemas.openxmlformats.org/spreadsheetml/2006/main">
  <authors>
    <author>Economics Department</author>
  </authors>
  <commentList>
    <comment ref="A5" authorId="0" shapeId="0">
      <text>
        <r>
          <rPr>
            <sz val="8"/>
            <color indexed="81"/>
            <rFont val="Tahoma"/>
            <family val="2"/>
          </rPr>
          <t>Place the cursor over cells with red triangles to read comments.</t>
        </r>
      </text>
    </comment>
    <comment ref="A32" authorId="0" shapeId="0">
      <text>
        <r>
          <rPr>
            <sz val="8"/>
            <color indexed="81"/>
            <rFont val="Tahoma"/>
            <family val="2"/>
          </rPr>
          <t xml:space="preserve"> Number of heifer calves sold = .5 X calf weaning rate X (1- calf death loss rate)  - cow replacement rate X (1 - cow death loss rate)</t>
        </r>
      </text>
    </comment>
    <comment ref="A33" authorId="0" shapeId="0">
      <text>
        <r>
          <rPr>
            <sz val="8"/>
            <color indexed="81"/>
            <rFont val="Tahoma"/>
            <family val="2"/>
          </rPr>
          <t xml:space="preserve">Number of steer calves sold = .5 X (calf weaning rate) X (1 - calf death loss rate)  </t>
        </r>
      </text>
    </comment>
    <comment ref="A34" authorId="0" shapeId="0">
      <text>
        <r>
          <rPr>
            <sz val="8"/>
            <color indexed="81"/>
            <rFont val="Tahoma"/>
            <family val="2"/>
          </rPr>
          <t>Number of cull cows sold = cow replacement rate X (1- cow death loss rate)</t>
        </r>
      </text>
    </comment>
    <comment ref="A83" authorId="0" shapeId="0">
      <text>
        <r>
          <rPr>
            <sz val="8"/>
            <color indexed="81"/>
            <rFont val="Tahoma"/>
            <family val="2"/>
          </rPr>
          <t>Breakeven selling price for variable costs 
= (total variable costs - cull cow income) / 
(no. steer calves sold X steer calf selling weight 
(lbs./head) + (no. heifer calves sold x heifer 
selling weight (lbs./head))</t>
        </r>
      </text>
    </comment>
    <comment ref="A84" authorId="0" shapeId="0">
      <text>
        <r>
          <rPr>
            <sz val="8"/>
            <color indexed="81"/>
            <rFont val="Tahoma"/>
            <family val="2"/>
          </rPr>
          <t>Breakeven selling price for total costs 
= (total  costs - cull cow income) / 
(no. steer calves sold X steer calf selling 
weight (lbs./head) + (no. heifer calves sold 
x heifer selling weight (lbs./head))</t>
        </r>
      </text>
    </comment>
  </commentList>
</comments>
</file>

<file path=xl/sharedStrings.xml><?xml version="1.0" encoding="utf-8"?>
<sst xmlns="http://schemas.openxmlformats.org/spreadsheetml/2006/main" count="955" uniqueCount="345">
  <si>
    <t>Ag Decision Maker -- Iowa State University Extension and Outreach</t>
  </si>
  <si>
    <t>Place the cursor over cells with red triangles to read comments.</t>
  </si>
  <si>
    <t>Enter your input values in shaded cells.</t>
  </si>
  <si>
    <t xml:space="preserve">  Calf weaning rate</t>
  </si>
  <si>
    <t xml:space="preserve">  Calf death loss</t>
  </si>
  <si>
    <t xml:space="preserve">  Cow death loss</t>
  </si>
  <si>
    <t xml:space="preserve">  Cow replacement rate</t>
  </si>
  <si>
    <t>Income</t>
  </si>
  <si>
    <t>Price</t>
  </si>
  <si>
    <t>Unit</t>
  </si>
  <si>
    <t>Quantity</t>
  </si>
  <si>
    <t>Total</t>
  </si>
  <si>
    <t xml:space="preserve">Heifer calves </t>
  </si>
  <si>
    <t>per lb</t>
  </si>
  <si>
    <t>x</t>
  </si>
  <si>
    <t>lbs</t>
  </si>
  <si>
    <t xml:space="preserve">head </t>
  </si>
  <si>
    <t>=</t>
  </si>
  <si>
    <t xml:space="preserve">Steer calves </t>
  </si>
  <si>
    <t xml:space="preserve">Cull cows </t>
  </si>
  <si>
    <t xml:space="preserve"> </t>
  </si>
  <si>
    <t>Corn</t>
  </si>
  <si>
    <t>Veterinary &amp; health</t>
  </si>
  <si>
    <t>Machinery, equipment, fuel &amp; repairs</t>
  </si>
  <si>
    <t>Marketing &amp; miscellaneous</t>
  </si>
  <si>
    <t>Bull depreciation/replacement</t>
  </si>
  <si>
    <t>Date Printed:</t>
  </si>
  <si>
    <t>Equipment</t>
  </si>
  <si>
    <t>% in ration</t>
  </si>
  <si>
    <t>Dry matter</t>
  </si>
  <si>
    <t>Total Feed</t>
  </si>
  <si>
    <t>Cost or value</t>
  </si>
  <si>
    <t>Years to dep</t>
  </si>
  <si>
    <t>Salvage value</t>
  </si>
  <si>
    <t>Lot</t>
  </si>
  <si>
    <t>Tractor</t>
  </si>
  <si>
    <t>Feed wagon</t>
  </si>
  <si>
    <t>Bale handler</t>
  </si>
  <si>
    <t>Loader</t>
  </si>
  <si>
    <t>Bedding</t>
  </si>
  <si>
    <t>Cost/acre</t>
  </si>
  <si>
    <t>% to cows</t>
  </si>
  <si>
    <t>Stored feed</t>
  </si>
  <si>
    <t>Mineral</t>
  </si>
  <si>
    <t>Fence</t>
  </si>
  <si>
    <t>Fence repair</t>
  </si>
  <si>
    <t>Pasture weed control</t>
  </si>
  <si>
    <t>rate</t>
  </si>
  <si>
    <t>Building</t>
  </si>
  <si>
    <t>Land</t>
  </si>
  <si>
    <t>Cows/Heifers</t>
  </si>
  <si>
    <t>Bulls</t>
  </si>
  <si>
    <t>Number</t>
  </si>
  <si>
    <t xml:space="preserve">Opportunity </t>
  </si>
  <si>
    <t>% waste</t>
  </si>
  <si>
    <t xml:space="preserve">Property Tax and insurance </t>
  </si>
  <si>
    <t xml:space="preserve">Trailer </t>
  </si>
  <si>
    <t>Pickup</t>
  </si>
  <si>
    <t>Years for</t>
  </si>
  <si>
    <t>loan</t>
  </si>
  <si>
    <t>Per cow</t>
  </si>
  <si>
    <t xml:space="preserve">Interest </t>
  </si>
  <si>
    <t xml:space="preserve">Payment </t>
  </si>
  <si>
    <t xml:space="preserve">Down </t>
  </si>
  <si>
    <t>cost</t>
  </si>
  <si>
    <t>Cost per ton</t>
  </si>
  <si>
    <t>units</t>
  </si>
  <si>
    <t>Hay</t>
  </si>
  <si>
    <t>4 wheeler</t>
  </si>
  <si>
    <t xml:space="preserve">Residue grazing </t>
  </si>
  <si>
    <t xml:space="preserve">Number </t>
  </si>
  <si>
    <t>DM intake /hd /day</t>
  </si>
  <si>
    <t>Corn stalks</t>
  </si>
  <si>
    <t>System 4</t>
  </si>
  <si>
    <t>Labor</t>
  </si>
  <si>
    <t>System 2</t>
  </si>
  <si>
    <t>System 3</t>
  </si>
  <si>
    <t>TDN</t>
  </si>
  <si>
    <t>C.  Protein</t>
  </si>
  <si>
    <t>Corn silage</t>
  </si>
  <si>
    <t>Ration 1</t>
  </si>
  <si>
    <t>Ration 2</t>
  </si>
  <si>
    <t>Ration 3</t>
  </si>
  <si>
    <t>Ration 4</t>
  </si>
  <si>
    <t>System 1</t>
  </si>
  <si>
    <t xml:space="preserve">Pasture grazing </t>
  </si>
  <si>
    <t>Acres/cow</t>
  </si>
  <si>
    <t>Stored or purchased feed</t>
  </si>
  <si>
    <t xml:space="preserve">Residue cover crop grazing </t>
  </si>
  <si>
    <t>Mineral supplementation</t>
  </si>
  <si>
    <t>Crude Protein</t>
  </si>
  <si>
    <t>Feed name</t>
  </si>
  <si>
    <t>Cost/day</t>
  </si>
  <si>
    <t>Cost per period</t>
  </si>
  <si>
    <t>System 1 feed</t>
  </si>
  <si>
    <t>System 2 feed</t>
  </si>
  <si>
    <t xml:space="preserve">Enter </t>
  </si>
  <si>
    <t>number</t>
  </si>
  <si>
    <t xml:space="preserve">from </t>
  </si>
  <si>
    <t>Col A</t>
  </si>
  <si>
    <t>lb. /unit</t>
  </si>
  <si>
    <t>Cost/ unit</t>
  </si>
  <si>
    <t>Oz consumed/head/day</t>
  </si>
  <si>
    <t>Total feed and pasture cost</t>
  </si>
  <si>
    <t>Cost per cow</t>
  </si>
  <si>
    <t>to select</t>
  </si>
  <si>
    <t>feed</t>
  </si>
  <si>
    <t>System 4 feed</t>
  </si>
  <si>
    <t>System 3 feed</t>
  </si>
  <si>
    <t>life</t>
  </si>
  <si>
    <t xml:space="preserve">Useful </t>
  </si>
  <si>
    <t>value</t>
  </si>
  <si>
    <t xml:space="preserve">Cost or </t>
  </si>
  <si>
    <t>Salvage</t>
  </si>
  <si>
    <t>% of value</t>
  </si>
  <si>
    <t>Per head</t>
  </si>
  <si>
    <t>Years</t>
  </si>
  <si>
    <t>Opportunity cost</t>
  </si>
  <si>
    <t>Total value</t>
  </si>
  <si>
    <t>interest</t>
  </si>
  <si>
    <t>Facilities</t>
  </si>
  <si>
    <t>cow</t>
  </si>
  <si>
    <t>Cost per</t>
  </si>
  <si>
    <t>Manure spreader</t>
  </si>
  <si>
    <t>$/hour</t>
  </si>
  <si>
    <t>Interest rate</t>
  </si>
  <si>
    <t xml:space="preserve"> Delivered feed total</t>
  </si>
  <si>
    <t>Confined</t>
  </si>
  <si>
    <t>Extended grazing</t>
  </si>
  <si>
    <t>Summer grazing</t>
  </si>
  <si>
    <t>Lb. fed</t>
  </si>
  <si>
    <t xml:space="preserve">Breakeven selling price for variable costs (per lb.)  </t>
  </si>
  <si>
    <t xml:space="preserve">Breakeven selling price for all costs (per lb.)  </t>
  </si>
  <si>
    <t>depreciate</t>
  </si>
  <si>
    <t>Annual cow depreciation</t>
  </si>
  <si>
    <t>value/hd</t>
  </si>
  <si>
    <t xml:space="preserve">Mature cows </t>
  </si>
  <si>
    <t xml:space="preserve">1300 lbs x 2.75% = 35.75 lbs </t>
  </si>
  <si>
    <t>Early lactation</t>
  </si>
  <si>
    <t>Mid lactation</t>
  </si>
  <si>
    <t>Late lactation</t>
  </si>
  <si>
    <t>2nd trimester</t>
  </si>
  <si>
    <t>3rd trimester</t>
  </si>
  <si>
    <t>TDN %</t>
  </si>
  <si>
    <t>Crude protein %</t>
  </si>
  <si>
    <t>58-59</t>
  </si>
  <si>
    <t>55-57</t>
  </si>
  <si>
    <t>10-11</t>
  </si>
  <si>
    <t>53-55</t>
  </si>
  <si>
    <t>9-10</t>
  </si>
  <si>
    <t>1st trimester-not lactating</t>
  </si>
  <si>
    <t>48-49</t>
  </si>
  <si>
    <t>50-51</t>
  </si>
  <si>
    <t>53-54</t>
  </si>
  <si>
    <t>DM intake 2.0-2.5% of body weight</t>
  </si>
  <si>
    <t>legume</t>
  </si>
  <si>
    <t>Lbs. /unit</t>
  </si>
  <si>
    <t>%</t>
  </si>
  <si>
    <t>leg-bud</t>
  </si>
  <si>
    <t>leg-mid</t>
  </si>
  <si>
    <t>leg mature</t>
  </si>
  <si>
    <t>c-s-gr-boot</t>
  </si>
  <si>
    <t>c-s-gr-head</t>
  </si>
  <si>
    <t>c-s-gr-dough</t>
  </si>
  <si>
    <t>c-s-gr-mature</t>
  </si>
  <si>
    <t>legume grass</t>
  </si>
  <si>
    <t>leg-gr early</t>
  </si>
  <si>
    <t>leg-gr dough</t>
  </si>
  <si>
    <t>leg-gr mat</t>
  </si>
  <si>
    <t>w-s-gr-early hd</t>
  </si>
  <si>
    <t>w-s-gr-dough</t>
  </si>
  <si>
    <t>w-s-gr-mature</t>
  </si>
  <si>
    <t>oat-straw</t>
  </si>
  <si>
    <t>corn husk-leaf</t>
  </si>
  <si>
    <t>corn stover</t>
  </si>
  <si>
    <t>wheat-straw</t>
  </si>
  <si>
    <t>Other ensiled forages</t>
  </si>
  <si>
    <t>corn silage</t>
  </si>
  <si>
    <t>silage poor</t>
  </si>
  <si>
    <t>oat-forage</t>
  </si>
  <si>
    <t>silage+n</t>
  </si>
  <si>
    <t>drought strs</t>
  </si>
  <si>
    <t>sweet corn</t>
  </si>
  <si>
    <t>soybean-forage</t>
  </si>
  <si>
    <t>pea-forage</t>
  </si>
  <si>
    <t>rye-forage</t>
  </si>
  <si>
    <t>sorghum-forage</t>
  </si>
  <si>
    <t>wheat-forage</t>
  </si>
  <si>
    <t>Grains concentrates supplements</t>
  </si>
  <si>
    <t>barley</t>
  </si>
  <si>
    <t>barley forage</t>
  </si>
  <si>
    <t>brewers grain</t>
  </si>
  <si>
    <t>canola meal</t>
  </si>
  <si>
    <t>corn-whole</t>
  </si>
  <si>
    <t>corn-ground</t>
  </si>
  <si>
    <t>corn-hm</t>
  </si>
  <si>
    <t>corn-rolled</t>
  </si>
  <si>
    <t>corn-stm flake</t>
  </si>
  <si>
    <t>corn-earlage</t>
  </si>
  <si>
    <t>corn-hi oil</t>
  </si>
  <si>
    <t>ddgs-9-14% fat</t>
  </si>
  <si>
    <t>ddgs-6-9% fat</t>
  </si>
  <si>
    <t>ddgs-6% fat</t>
  </si>
  <si>
    <t>mdgs-9-14% fat</t>
  </si>
  <si>
    <t>mdgs-6-9% fat</t>
  </si>
  <si>
    <t>wdgs-9-14% fat</t>
  </si>
  <si>
    <t>wdgs-6-9% fat</t>
  </si>
  <si>
    <t>corn-germ</t>
  </si>
  <si>
    <t>-germ meal</t>
  </si>
  <si>
    <t>corn-gluten fd</t>
  </si>
  <si>
    <t>sweet bran</t>
  </si>
  <si>
    <t>synergy glt+dt</t>
  </si>
  <si>
    <t>synergy (wet)</t>
  </si>
  <si>
    <t>corn-glut meal</t>
  </si>
  <si>
    <t>stover+ca(oh)2</t>
  </si>
  <si>
    <t>corn-solubles</t>
  </si>
  <si>
    <t>solubles lowft</t>
  </si>
  <si>
    <t>corn-steep</t>
  </si>
  <si>
    <t>corn-sugar</t>
  </si>
  <si>
    <t>cotton-seed</t>
  </si>
  <si>
    <t>cot-seed meal</t>
  </si>
  <si>
    <t>cot-gin trash</t>
  </si>
  <si>
    <t>cotton-hulls</t>
  </si>
  <si>
    <t>oats</t>
  </si>
  <si>
    <t>oat-hulls</t>
  </si>
  <si>
    <t>peas</t>
  </si>
  <si>
    <t>rye</t>
  </si>
  <si>
    <t>sorghum-seed</t>
  </si>
  <si>
    <t>soybean</t>
  </si>
  <si>
    <t>soy-meal low</t>
  </si>
  <si>
    <t>soy-meal hi</t>
  </si>
  <si>
    <t>soy-hulls</t>
  </si>
  <si>
    <t>sunflower-seed</t>
  </si>
  <si>
    <t>sunflower-meal</t>
  </si>
  <si>
    <t>triticale</t>
  </si>
  <si>
    <t>wheat</t>
  </si>
  <si>
    <t>wheat-middlings</t>
  </si>
  <si>
    <t xml:space="preserve">Crude  </t>
  </si>
  <si>
    <t xml:space="preserve"> protein</t>
  </si>
  <si>
    <t>DM lbs.</t>
  </si>
  <si>
    <t>per cow</t>
  </si>
  <si>
    <t>Return to unpaid labor and management</t>
  </si>
  <si>
    <t>Combination</t>
  </si>
  <si>
    <t>Bull depreciation</t>
  </si>
  <si>
    <t>Capital investment</t>
  </si>
  <si>
    <t xml:space="preserve">Total </t>
  </si>
  <si>
    <t>Trailer</t>
  </si>
  <si>
    <t>Annual principal</t>
  </si>
  <si>
    <t>and interest</t>
  </si>
  <si>
    <t xml:space="preserve">Per unit </t>
  </si>
  <si>
    <t>Investment Cost</t>
  </si>
  <si>
    <t>investment</t>
  </si>
  <si>
    <t>Instructions:</t>
  </si>
  <si>
    <t xml:space="preserve">by system types and the outputs from those tabs are used in the budget comparison. </t>
  </si>
  <si>
    <t xml:space="preserve">Dry matter intake and TDN (total digestible nutrients) and Crude protein requirement guidelines for a ration </t>
  </si>
  <si>
    <t>This is a feed table where you can input any kind of feed you might use in up to four delivered rations by system</t>
  </si>
  <si>
    <t>Enter inputs in shaded cells</t>
  </si>
  <si>
    <t xml:space="preserve">Use fixed cost tab to calculate fixed costs </t>
  </si>
  <si>
    <t>Delivered feed</t>
  </si>
  <si>
    <t>Pasture grazing</t>
  </si>
  <si>
    <t>Other variable costs per cow</t>
  </si>
  <si>
    <t>Other variable costs per acre</t>
  </si>
  <si>
    <t>Interest on feed and</t>
  </si>
  <si>
    <t xml:space="preserve"> variable costs</t>
  </si>
  <si>
    <t>Residue grazing total</t>
  </si>
  <si>
    <t>Cow herd budget model</t>
  </si>
  <si>
    <t xml:space="preserve">Inputs are to be entered in highlighted cells. </t>
  </si>
  <si>
    <t xml:space="preserve">a start-up or expanding operation. </t>
  </si>
  <si>
    <t>Other</t>
  </si>
  <si>
    <t>Pasture fertilizer</t>
  </si>
  <si>
    <t>Cow weight</t>
  </si>
  <si>
    <t>% of intake</t>
  </si>
  <si>
    <t xml:space="preserve">Table 1. Dry matter intake </t>
  </si>
  <si>
    <t xml:space="preserve">Table 2. TDN and Protein requirement by stage </t>
  </si>
  <si>
    <t>Table 3. Dry forages</t>
  </si>
  <si>
    <t>Feed tables</t>
  </si>
  <si>
    <t>are in Tables 1 and 2 below.</t>
  </si>
  <si>
    <t>Fixed Cost Budgeting</t>
  </si>
  <si>
    <t xml:space="preserve">Machinery </t>
  </si>
  <si>
    <t xml:space="preserve">Livestock </t>
  </si>
  <si>
    <t>Facilities and equipment</t>
  </si>
  <si>
    <t>Buildings Facilities</t>
  </si>
  <si>
    <t xml:space="preserve">Property tax and insurance </t>
  </si>
  <si>
    <r>
      <t xml:space="preserve">For more information see Information File B1-21 </t>
    </r>
    <r>
      <rPr>
        <u/>
        <sz val="10"/>
        <color rgb="FFC00000"/>
        <rFont val="Arial"/>
        <family val="2"/>
      </rPr>
      <t>Livestock Enterprise Budgets</t>
    </r>
    <r>
      <rPr>
        <sz val="10"/>
        <color rgb="FFC00000"/>
        <rFont val="Arial"/>
        <family val="2"/>
      </rPr>
      <t>.</t>
    </r>
  </si>
  <si>
    <t>Number of cows</t>
  </si>
  <si>
    <t>or enter a per cow value in shaded cell</t>
  </si>
  <si>
    <t>Number of days</t>
  </si>
  <si>
    <t>Pasture Total</t>
  </si>
  <si>
    <t>Mineral Total</t>
  </si>
  <si>
    <t>Values on this worksheet will transfer to the "Budget comparison" worksheet.</t>
  </si>
  <si>
    <t>Number of bulls</t>
  </si>
  <si>
    <t>warm season grass</t>
  </si>
  <si>
    <t>cool season grass</t>
  </si>
  <si>
    <t xml:space="preserve">Number of head </t>
  </si>
  <si>
    <t>new purchase</t>
  </si>
  <si>
    <t>Percent</t>
  </si>
  <si>
    <t>down</t>
  </si>
  <si>
    <t>Machinery/equipment</t>
  </si>
  <si>
    <t>Total cost input (not per unit)</t>
  </si>
  <si>
    <t>Percent of value</t>
  </si>
  <si>
    <t xml:space="preserve">This is a spreadsheet to develop a budget for one to four different beef-cow systems and compare costs and returns for each system. </t>
  </si>
  <si>
    <t>Feed resources, costs, and the fixed cost of facilities are the primary differences by systems so the additional tabs</t>
  </si>
  <si>
    <t>STEP 1. Define the systems to compare</t>
  </si>
  <si>
    <t>STEP 2. Enter production efficiencies</t>
  </si>
  <si>
    <t>Beef Cow-Calf (one cow unit) systems budget comparison</t>
  </si>
  <si>
    <t xml:space="preserve">Use feed budgeting tab to calculate feed costs </t>
  </si>
  <si>
    <t>STEP 3. Enter budget details</t>
  </si>
  <si>
    <t>calculated values</t>
  </si>
  <si>
    <t xml:space="preserve">Use to override  </t>
  </si>
  <si>
    <t>12-13</t>
  </si>
  <si>
    <t>11-12</t>
  </si>
  <si>
    <t>Hired labor</t>
  </si>
  <si>
    <t>Other variable costs per whole herd</t>
  </si>
  <si>
    <t>Variable costs</t>
  </si>
  <si>
    <t>Summer feed</t>
  </si>
  <si>
    <t>Gross income</t>
  </si>
  <si>
    <t>Building facility repair</t>
  </si>
  <si>
    <t>cost per acre</t>
  </si>
  <si>
    <t xml:space="preserve">Total variable costs  </t>
  </si>
  <si>
    <t xml:space="preserve">Total fixed costs  </t>
  </si>
  <si>
    <t xml:space="preserve">Total all costs  </t>
  </si>
  <si>
    <t>Income over all costs  including labor</t>
  </si>
  <si>
    <t>hours/cow</t>
  </si>
  <si>
    <t>This should not be used to formulate diets. It is only a tool to estimate costs of feed!!!</t>
  </si>
  <si>
    <t>other forage</t>
  </si>
  <si>
    <t>ensiled forage</t>
  </si>
  <si>
    <t>Return to budget comparison</t>
  </si>
  <si>
    <t>oz.</t>
  </si>
  <si>
    <t>for budget comparison</t>
  </si>
  <si>
    <t>Total fixed costs for budget comparison</t>
  </si>
  <si>
    <r>
      <t xml:space="preserve">The </t>
    </r>
    <r>
      <rPr>
        <b/>
        <u/>
        <sz val="11"/>
        <rFont val="Arial"/>
        <family val="2"/>
      </rPr>
      <t>investment analysis</t>
    </r>
    <r>
      <rPr>
        <sz val="11"/>
        <rFont val="Arial"/>
        <family val="2"/>
      </rPr>
      <t xml:space="preserve"> tab provides a way to calculate overall total invesment, down payment, and annual principal and interest costs for </t>
    </r>
  </si>
  <si>
    <t>The feed and fixed cost budgeting tabs are used to refine the feed and fixed costs</t>
  </si>
  <si>
    <t>add flexibility to define those costs by system.</t>
  </si>
  <si>
    <r>
      <t xml:space="preserve">The </t>
    </r>
    <r>
      <rPr>
        <b/>
        <u/>
        <sz val="11"/>
        <rFont val="Arial"/>
        <family val="2"/>
      </rPr>
      <t>budget comparison</t>
    </r>
    <r>
      <rPr>
        <sz val="11"/>
        <rFont val="Arial"/>
        <family val="2"/>
      </rPr>
      <t xml:space="preserve"> tab shows all four budgets side-by-side. </t>
    </r>
  </si>
  <si>
    <t>Feed budgeting</t>
  </si>
  <si>
    <t>Fixed cost budgeting</t>
  </si>
  <si>
    <t>Contact: Russ Euken</t>
  </si>
  <si>
    <t>Information on additional feeds is in Table 3. below, or you can input your own information</t>
  </si>
  <si>
    <t>Each delivered ration by system to the right uses feeds from this table by inputting the feed number in Column a</t>
  </si>
  <si>
    <t>triticale-forage</t>
  </si>
  <si>
    <t>Investment and annual principal and interest calculator</t>
  </si>
  <si>
    <t>This decision tool is in the testing phase. Please send questions, feedback, or suggestions for the final version to Russ Euken, reuken@iastate.edu</t>
  </si>
  <si>
    <r>
      <rPr>
        <sz val="10"/>
        <rFont val="Arial"/>
        <family val="2"/>
      </rPr>
      <t xml:space="preserve">For more information on livestock cost of production, see the </t>
    </r>
    <r>
      <rPr>
        <u/>
        <sz val="10"/>
        <color rgb="FFC00000"/>
        <rFont val="Arial"/>
        <family val="2"/>
      </rPr>
      <t>Livestock Enterprise Budgets.</t>
    </r>
  </si>
  <si>
    <t>Iowa State University Extension and Outreach does not discriminate on the basis of age, disability, ethnicity, gender identity, genetic information, marital status, national origin, pregnancy, race, color, religion, sex, sexual orientation, socioeconomic status, or status as a U.S. veteran, or other protected classes. Direct inquiries to the Diversity Advisor, 515-294-1482, extdiversity@iastate.edu</t>
  </si>
  <si>
    <t>Version 1.1_62019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</si>
</sst>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quot;$&quot;#,##0.00"/>
    <numFmt numFmtId="166" formatCode="_(&quot;$&quot;* #,##0_);_(&quot;$&quot;* \(#,##0\);_(&quot;$&quot;* &quot;-&quot;??_);_(@_)"/>
    <numFmt numFmtId="167" formatCode="0.0"/>
    <numFmt numFmtId="168" formatCode="_(* #,##0_);_(* \(#,##0\);_(* &quot;-&quot;??_);_(@_)"/>
  </numFmts>
  <fonts count="43">
    <font>
      <sz val="11"/>
      <color theme="1"/>
      <name val="Calibri"/>
      <family val="2"/>
      <scheme val="minor"/>
    </font>
    <font>
      <sz val="11"/>
      <color theme="1"/>
      <name val="Calibri"/>
      <family val="2"/>
      <scheme val="minor"/>
    </font>
    <font>
      <b/>
      <sz val="14"/>
      <color indexed="9"/>
      <name val="Arial"/>
      <family val="2"/>
    </font>
    <font>
      <b/>
      <sz val="11"/>
      <name val="Arial"/>
      <family val="2"/>
    </font>
    <font>
      <b/>
      <sz val="10"/>
      <name val="Arial"/>
      <family val="2"/>
    </font>
    <font>
      <sz val="10"/>
      <name val="Arial"/>
      <family val="2"/>
    </font>
    <font>
      <u/>
      <sz val="10"/>
      <color indexed="12"/>
      <name val="Arial"/>
      <family val="2"/>
    </font>
    <font>
      <u/>
      <sz val="10"/>
      <color indexed="45"/>
      <name val="Arial"/>
      <family val="2"/>
    </font>
    <font>
      <sz val="9"/>
      <name val="Arial"/>
      <family val="2"/>
    </font>
    <font>
      <sz val="12"/>
      <name val="Univers (E1)"/>
    </font>
    <font>
      <sz val="10"/>
      <name val="Courier"/>
      <family val="3"/>
    </font>
    <font>
      <i/>
      <sz val="10"/>
      <name val="Arial"/>
      <family val="2"/>
    </font>
    <font>
      <u/>
      <sz val="10"/>
      <name val="Arial"/>
      <family val="2"/>
    </font>
    <font>
      <u/>
      <sz val="10"/>
      <color rgb="FFC00000"/>
      <name val="Arial"/>
      <family val="2"/>
    </font>
    <font>
      <b/>
      <sz val="10"/>
      <color indexed="60"/>
      <name val="Arial"/>
      <family val="2"/>
    </font>
    <font>
      <sz val="8"/>
      <color indexed="81"/>
      <name val="Tahoma"/>
      <family val="2"/>
    </font>
    <font>
      <sz val="10"/>
      <color rgb="FFFF0000"/>
      <name val="Arial"/>
      <family val="2"/>
    </font>
    <font>
      <b/>
      <sz val="10"/>
      <color theme="1"/>
      <name val="Arial"/>
      <family val="2"/>
    </font>
    <font>
      <b/>
      <i/>
      <sz val="10"/>
      <name val="Arial"/>
      <family val="2"/>
    </font>
    <font>
      <b/>
      <sz val="11"/>
      <color theme="1"/>
      <name val="Arial"/>
      <family val="2"/>
    </font>
    <font>
      <sz val="11"/>
      <color theme="1"/>
      <name val="Arial"/>
      <family val="2"/>
    </font>
    <font>
      <b/>
      <sz val="11"/>
      <color indexed="63"/>
      <name val="Arial"/>
      <family val="2"/>
    </font>
    <font>
      <sz val="11"/>
      <name val="Arial"/>
      <family val="2"/>
    </font>
    <font>
      <sz val="6"/>
      <color indexed="63"/>
      <name val="Arial"/>
      <family val="2"/>
    </font>
    <font>
      <u val="singleAccounting"/>
      <sz val="10"/>
      <name val="Arial"/>
      <family val="2"/>
    </font>
    <font>
      <sz val="10"/>
      <color theme="1"/>
      <name val="Arial"/>
      <family val="2"/>
    </font>
    <font>
      <b/>
      <i/>
      <sz val="10"/>
      <color theme="1"/>
      <name val="Arial"/>
      <family val="2"/>
    </font>
    <font>
      <i/>
      <sz val="10"/>
      <color theme="1"/>
      <name val="Arial"/>
      <family val="2"/>
    </font>
    <font>
      <u val="singleAccounting"/>
      <sz val="10"/>
      <color theme="1"/>
      <name val="Arial"/>
      <family val="2"/>
    </font>
    <font>
      <sz val="10"/>
      <color rgb="FFC00000"/>
      <name val="Arial"/>
      <family val="2"/>
    </font>
    <font>
      <i/>
      <sz val="9"/>
      <color theme="1"/>
      <name val="Arial"/>
      <family val="2"/>
    </font>
    <font>
      <b/>
      <sz val="12"/>
      <color theme="1"/>
      <name val="Arial"/>
      <family val="2"/>
    </font>
    <font>
      <b/>
      <sz val="12"/>
      <name val="Arial"/>
      <family val="2"/>
    </font>
    <font>
      <b/>
      <sz val="14"/>
      <name val="Arial"/>
      <family val="2"/>
    </font>
    <font>
      <i/>
      <sz val="9"/>
      <name val="Arial"/>
      <family val="2"/>
    </font>
    <font>
      <i/>
      <u/>
      <sz val="10"/>
      <color indexed="12"/>
      <name val="Arial"/>
      <family val="2"/>
    </font>
    <font>
      <b/>
      <u/>
      <sz val="11"/>
      <color rgb="FFC00000"/>
      <name val="Arial"/>
      <family val="2"/>
    </font>
    <font>
      <b/>
      <u/>
      <sz val="12"/>
      <color rgb="FFC00000"/>
      <name val="Arial"/>
      <family val="2"/>
    </font>
    <font>
      <b/>
      <sz val="14"/>
      <color theme="1"/>
      <name val="Arial"/>
      <family val="2"/>
    </font>
    <font>
      <sz val="14"/>
      <color theme="1"/>
      <name val="Arial"/>
      <family val="2"/>
    </font>
    <font>
      <b/>
      <u/>
      <sz val="11"/>
      <name val="Arial"/>
      <family val="2"/>
    </font>
    <font>
      <b/>
      <u/>
      <sz val="10"/>
      <color indexed="12"/>
      <name val="Arial"/>
      <family val="2"/>
    </font>
    <font>
      <sz val="8"/>
      <color indexed="63"/>
      <name val="Arial"/>
      <family val="2"/>
    </font>
  </fonts>
  <fills count="7">
    <fill>
      <patternFill patternType="none"/>
    </fill>
    <fill>
      <patternFill patternType="gray125"/>
    </fill>
    <fill>
      <patternFill patternType="solid">
        <fgColor rgb="FFC00000"/>
        <bgColor indexed="64"/>
      </patternFill>
    </fill>
    <fill>
      <patternFill patternType="solid">
        <fgColor indexed="26"/>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s>
  <borders count="36">
    <border>
      <left/>
      <right/>
      <top/>
      <bottom/>
      <diagonal/>
    </border>
    <border>
      <left/>
      <right/>
      <top/>
      <bottom style="thick">
        <color theme="2" tint="-9.9948118533890809E-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8">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164" fontId="9" fillId="0" borderId="0"/>
    <xf numFmtId="164" fontId="10" fillId="0" borderId="0"/>
    <xf numFmtId="44" fontId="1" fillId="0" borderId="0" applyFont="0" applyFill="0" applyBorder="0" applyAlignment="0" applyProtection="0"/>
    <xf numFmtId="0" fontId="5" fillId="0" borderId="0"/>
    <xf numFmtId="43" fontId="1" fillId="0" borderId="0" applyFont="0" applyFill="0" applyBorder="0" applyAlignment="0" applyProtection="0"/>
  </cellStyleXfs>
  <cellXfs count="458">
    <xf numFmtId="0" fontId="0" fillId="0" borderId="0" xfId="0"/>
    <xf numFmtId="0" fontId="3" fillId="0" borderId="0" xfId="0" applyFont="1" applyProtection="1"/>
    <xf numFmtId="0" fontId="4" fillId="0" borderId="0" xfId="0" applyFont="1" applyProtection="1"/>
    <xf numFmtId="0" fontId="5" fillId="0" borderId="0" xfId="0" applyFont="1" applyProtection="1"/>
    <xf numFmtId="7" fontId="5" fillId="0" borderId="0" xfId="0" applyNumberFormat="1" applyFont="1"/>
    <xf numFmtId="0" fontId="5" fillId="0" borderId="0" xfId="0" applyFont="1"/>
    <xf numFmtId="0" fontId="4" fillId="0" borderId="0" xfId="0" applyFont="1"/>
    <xf numFmtId="0" fontId="4" fillId="0" borderId="0" xfId="0" applyFont="1" applyFill="1" applyBorder="1" applyAlignment="1" applyProtection="1"/>
    <xf numFmtId="164" fontId="5" fillId="0" borderId="0" xfId="3" applyFont="1" applyBorder="1" applyProtection="1"/>
    <xf numFmtId="164" fontId="4" fillId="0" borderId="0" xfId="3" applyFont="1" applyBorder="1" applyAlignment="1" applyProtection="1">
      <alignment horizontal="center"/>
    </xf>
    <xf numFmtId="164" fontId="4" fillId="0" borderId="0" xfId="3" applyFont="1" applyFill="1" applyBorder="1" applyAlignment="1" applyProtection="1">
      <alignment horizontal="center"/>
    </xf>
    <xf numFmtId="0" fontId="13" fillId="0" borderId="0" xfId="2" applyFont="1" applyAlignment="1" applyProtection="1">
      <alignment horizontal="left"/>
    </xf>
    <xf numFmtId="0" fontId="14" fillId="0" borderId="0" xfId="0" applyFont="1"/>
    <xf numFmtId="0" fontId="5" fillId="0" borderId="0" xfId="0" applyFont="1" applyFill="1" applyBorder="1" applyAlignment="1"/>
    <xf numFmtId="0" fontId="13" fillId="0" borderId="0" xfId="2" applyFont="1" applyFill="1" applyBorder="1" applyAlignment="1" applyProtection="1">
      <alignment horizontal="left"/>
    </xf>
    <xf numFmtId="0" fontId="5" fillId="0" borderId="0" xfId="0" applyFont="1" applyFill="1" applyBorder="1" applyProtection="1"/>
    <xf numFmtId="164" fontId="5" fillId="0" borderId="0" xfId="3" applyFont="1" applyFill="1" applyBorder="1" applyProtection="1"/>
    <xf numFmtId="164" fontId="5" fillId="0" borderId="0" xfId="3" applyFont="1" applyFill="1" applyBorder="1" applyAlignment="1" applyProtection="1">
      <alignment horizontal="right"/>
    </xf>
    <xf numFmtId="164" fontId="5" fillId="0" borderId="0" xfId="3" applyFont="1" applyFill="1" applyBorder="1" applyAlignment="1" applyProtection="1">
      <alignment horizontal="left"/>
    </xf>
    <xf numFmtId="0" fontId="3" fillId="0" borderId="0" xfId="0" applyFont="1" applyFill="1" applyBorder="1" applyProtection="1"/>
    <xf numFmtId="0" fontId="4" fillId="0" borderId="0" xfId="0" applyFont="1" applyFill="1" applyBorder="1" applyProtection="1"/>
    <xf numFmtId="7" fontId="5" fillId="0" borderId="0" xfId="0" applyNumberFormat="1" applyFont="1" applyFill="1" applyBorder="1" applyProtection="1"/>
    <xf numFmtId="164" fontId="5" fillId="0" borderId="0" xfId="3" applyFont="1" applyFill="1" applyBorder="1" applyAlignment="1" applyProtection="1">
      <alignment horizontal="center"/>
    </xf>
    <xf numFmtId="0" fontId="5" fillId="0" borderId="0" xfId="0" applyFont="1" applyFill="1" applyProtection="1"/>
    <xf numFmtId="0" fontId="19" fillId="0" borderId="0" xfId="0" applyFont="1"/>
    <xf numFmtId="0" fontId="20" fillId="0" borderId="0" xfId="0" applyFont="1"/>
    <xf numFmtId="0" fontId="2" fillId="2" borderId="1" xfId="0" applyFont="1" applyFill="1" applyBorder="1" applyAlignment="1"/>
    <xf numFmtId="0" fontId="21" fillId="0" borderId="0" xfId="0" applyFont="1"/>
    <xf numFmtId="0" fontId="6" fillId="0" borderId="0" xfId="2" applyFont="1" applyAlignment="1" applyProtection="1">
      <alignment wrapText="1"/>
    </xf>
    <xf numFmtId="0" fontId="5" fillId="0" borderId="0" xfId="2" applyFont="1" applyAlignment="1" applyProtection="1">
      <alignment horizontal="left"/>
    </xf>
    <xf numFmtId="9" fontId="5" fillId="5" borderId="5" xfId="1" applyFont="1" applyFill="1" applyBorder="1" applyAlignment="1" applyProtection="1">
      <alignment shrinkToFit="1"/>
      <protection locked="0"/>
    </xf>
    <xf numFmtId="165" fontId="5" fillId="5" borderId="5" xfId="0" applyNumberFormat="1" applyFont="1" applyFill="1" applyBorder="1" applyAlignment="1" applyProtection="1">
      <alignment shrinkToFit="1"/>
      <protection locked="0"/>
    </xf>
    <xf numFmtId="0" fontId="5" fillId="5" borderId="5" xfId="0" applyFont="1" applyFill="1" applyBorder="1" applyAlignment="1" applyProtection="1">
      <alignment shrinkToFit="1"/>
      <protection locked="0"/>
    </xf>
    <xf numFmtId="0" fontId="20" fillId="0" borderId="0" xfId="0" applyFont="1" applyFill="1" applyBorder="1"/>
    <xf numFmtId="7" fontId="5" fillId="0" borderId="0" xfId="4" applyNumberFormat="1" applyFont="1" applyFill="1" applyBorder="1" applyProtection="1"/>
    <xf numFmtId="164" fontId="5" fillId="0" borderId="0" xfId="4" applyFont="1" applyFill="1" applyBorder="1" applyProtection="1"/>
    <xf numFmtId="0" fontId="7" fillId="0" borderId="0" xfId="2" applyFont="1" applyAlignment="1" applyProtection="1">
      <alignment horizontal="left"/>
    </xf>
    <xf numFmtId="14" fontId="5" fillId="0" borderId="0" xfId="0" applyNumberFormat="1" applyFont="1" applyAlignment="1" applyProtection="1">
      <alignment horizontal="left"/>
    </xf>
    <xf numFmtId="0" fontId="7" fillId="0" borderId="0" xfId="2" applyFont="1" applyFill="1" applyBorder="1" applyAlignment="1" applyProtection="1">
      <alignment horizontal="left"/>
    </xf>
    <xf numFmtId="0" fontId="5" fillId="0" borderId="0" xfId="2" applyFont="1" applyFill="1" applyBorder="1" applyAlignment="1" applyProtection="1">
      <alignment horizontal="left"/>
    </xf>
    <xf numFmtId="14" fontId="5" fillId="0" borderId="0" xfId="0" applyNumberFormat="1" applyFont="1" applyFill="1" applyBorder="1" applyAlignment="1" applyProtection="1">
      <alignment horizontal="left"/>
    </xf>
    <xf numFmtId="44" fontId="5" fillId="5" borderId="5" xfId="5" applyFont="1" applyFill="1" applyBorder="1" applyAlignment="1" applyProtection="1">
      <alignment shrinkToFit="1"/>
      <protection locked="0"/>
    </xf>
    <xf numFmtId="44" fontId="5" fillId="5" borderId="9" xfId="5" applyFont="1" applyFill="1" applyBorder="1" applyAlignment="1" applyProtection="1">
      <alignment shrinkToFit="1"/>
      <protection locked="0"/>
    </xf>
    <xf numFmtId="0" fontId="25" fillId="0" borderId="0" xfId="0" applyFont="1"/>
    <xf numFmtId="0" fontId="5" fillId="0" borderId="0" xfId="0" applyFont="1" applyBorder="1" applyAlignment="1" applyProtection="1"/>
    <xf numFmtId="0" fontId="5" fillId="0" borderId="0" xfId="0" applyFont="1" applyFill="1" applyBorder="1" applyAlignment="1" applyProtection="1"/>
    <xf numFmtId="9" fontId="4" fillId="5" borderId="5" xfId="1" applyFont="1" applyFill="1" applyBorder="1" applyAlignment="1" applyProtection="1">
      <alignment shrinkToFit="1"/>
      <protection locked="0"/>
    </xf>
    <xf numFmtId="0" fontId="5" fillId="0" borderId="0" xfId="2" applyFont="1" applyFill="1" applyBorder="1" applyAlignment="1" applyProtection="1">
      <alignment wrapText="1"/>
    </xf>
    <xf numFmtId="0" fontId="6" fillId="0" borderId="0" xfId="2" applyFont="1" applyFill="1" applyBorder="1" applyAlignment="1" applyProtection="1">
      <alignment wrapText="1"/>
    </xf>
    <xf numFmtId="0" fontId="4" fillId="0" borderId="0" xfId="0" applyFont="1" applyBorder="1" applyAlignment="1" applyProtection="1"/>
    <xf numFmtId="0" fontId="4" fillId="0" borderId="0" xfId="2" applyFont="1" applyFill="1" applyBorder="1" applyAlignment="1" applyProtection="1">
      <alignment horizontal="center"/>
    </xf>
    <xf numFmtId="164" fontId="33" fillId="6" borderId="21" xfId="3" applyFont="1" applyFill="1" applyBorder="1" applyProtection="1"/>
    <xf numFmtId="164" fontId="32" fillId="6" borderId="22" xfId="3" applyFont="1" applyFill="1" applyBorder="1" applyProtection="1"/>
    <xf numFmtId="164" fontId="32" fillId="6" borderId="22" xfId="3" applyFont="1" applyFill="1" applyBorder="1" applyAlignment="1" applyProtection="1">
      <alignment horizontal="right"/>
    </xf>
    <xf numFmtId="164" fontId="32" fillId="6" borderId="22" xfId="3" applyFont="1" applyFill="1" applyBorder="1" applyAlignment="1" applyProtection="1">
      <alignment horizontal="left"/>
    </xf>
    <xf numFmtId="164" fontId="32" fillId="6" borderId="23" xfId="3" applyFont="1" applyFill="1" applyBorder="1" applyProtection="1"/>
    <xf numFmtId="164" fontId="5" fillId="0" borderId="14" xfId="3" applyFont="1" applyBorder="1" applyAlignment="1" applyProtection="1">
      <alignment horizontal="left" indent="1"/>
    </xf>
    <xf numFmtId="7" fontId="5" fillId="0" borderId="0" xfId="4" applyNumberFormat="1" applyFont="1" applyBorder="1" applyAlignment="1" applyProtection="1">
      <alignment horizontal="left"/>
    </xf>
    <xf numFmtId="9" fontId="5" fillId="5" borderId="32" xfId="1" applyFont="1" applyFill="1" applyBorder="1" applyAlignment="1" applyProtection="1">
      <alignment shrinkToFit="1"/>
      <protection locked="0"/>
    </xf>
    <xf numFmtId="164" fontId="4" fillId="0" borderId="19" xfId="3" applyFont="1" applyFill="1" applyBorder="1" applyAlignment="1" applyProtection="1">
      <alignment horizontal="center"/>
    </xf>
    <xf numFmtId="0" fontId="5" fillId="0" borderId="0" xfId="0" applyFont="1" applyBorder="1" applyAlignment="1" applyProtection="1">
      <alignment horizontal="left"/>
    </xf>
    <xf numFmtId="164" fontId="4" fillId="4" borderId="0" xfId="3" applyFont="1" applyFill="1" applyBorder="1" applyAlignment="1" applyProtection="1">
      <alignment horizontal="center"/>
    </xf>
    <xf numFmtId="164" fontId="5" fillId="4" borderId="0" xfId="3" applyFont="1" applyFill="1" applyBorder="1" applyAlignment="1" applyProtection="1">
      <alignment horizontal="center"/>
    </xf>
    <xf numFmtId="0" fontId="6" fillId="0" borderId="0" xfId="2" applyAlignment="1" applyProtection="1"/>
    <xf numFmtId="0" fontId="37" fillId="0" borderId="0" xfId="2" applyFont="1" applyAlignment="1" applyProtection="1"/>
    <xf numFmtId="0" fontId="22" fillId="0" borderId="0" xfId="2" applyFont="1" applyAlignment="1" applyProtection="1"/>
    <xf numFmtId="0" fontId="40" fillId="0" borderId="0" xfId="2" applyFont="1" applyAlignment="1" applyProtection="1"/>
    <xf numFmtId="0" fontId="5" fillId="0" borderId="0" xfId="0" applyFont="1" applyFill="1" applyBorder="1" applyAlignment="1" applyProtection="1">
      <alignment horizontal="left"/>
    </xf>
    <xf numFmtId="0" fontId="5" fillId="5" borderId="5" xfId="0" applyFont="1" applyFill="1" applyBorder="1" applyProtection="1">
      <protection locked="0"/>
    </xf>
    <xf numFmtId="0" fontId="5" fillId="5" borderId="32" xfId="0" applyFont="1" applyFill="1" applyBorder="1" applyProtection="1">
      <protection locked="0"/>
    </xf>
    <xf numFmtId="0" fontId="25" fillId="4" borderId="0" xfId="0" applyFont="1" applyFill="1" applyBorder="1" applyProtection="1"/>
    <xf numFmtId="0" fontId="5" fillId="0" borderId="0" xfId="0" applyFont="1" applyBorder="1" applyProtection="1"/>
    <xf numFmtId="0" fontId="25" fillId="0" borderId="0" xfId="0" applyFont="1" applyFill="1" applyBorder="1" applyProtection="1"/>
    <xf numFmtId="0" fontId="25" fillId="0" borderId="0" xfId="0" applyFont="1" applyBorder="1" applyProtection="1"/>
    <xf numFmtId="0" fontId="5" fillId="4" borderId="0" xfId="0" applyFont="1" applyFill="1" applyBorder="1" applyProtection="1"/>
    <xf numFmtId="0" fontId="0" fillId="0" borderId="0" xfId="0" applyProtection="1"/>
    <xf numFmtId="0" fontId="25" fillId="0" borderId="0" xfId="0" applyFont="1" applyProtection="1"/>
    <xf numFmtId="0" fontId="11" fillId="0" borderId="0" xfId="0" applyFont="1" applyFill="1" applyBorder="1" applyProtection="1"/>
    <xf numFmtId="0" fontId="5" fillId="0" borderId="0" xfId="0" applyFont="1" applyFill="1" applyBorder="1" applyAlignment="1" applyProtection="1">
      <alignment horizontal="left" indent="1"/>
    </xf>
    <xf numFmtId="2" fontId="25" fillId="0" borderId="0" xfId="5" applyNumberFormat="1" applyFont="1" applyFill="1" applyBorder="1" applyProtection="1"/>
    <xf numFmtId="2" fontId="5" fillId="0" borderId="0" xfId="0" applyNumberFormat="1" applyFont="1" applyFill="1" applyBorder="1" applyProtection="1"/>
    <xf numFmtId="9" fontId="5" fillId="0" borderId="0" xfId="1" applyFont="1" applyFill="1" applyBorder="1" applyAlignment="1" applyProtection="1">
      <alignment shrinkToFit="1"/>
    </xf>
    <xf numFmtId="0" fontId="5" fillId="0" borderId="0" xfId="0" applyFont="1" applyFill="1" applyBorder="1" applyAlignment="1" applyProtection="1">
      <alignment horizontal="right"/>
    </xf>
    <xf numFmtId="44" fontId="5" fillId="5" borderId="5" xfId="5" applyFont="1" applyFill="1" applyBorder="1" applyProtection="1">
      <protection locked="0"/>
    </xf>
    <xf numFmtId="44" fontId="5" fillId="5" borderId="15" xfId="5" applyFont="1" applyFill="1" applyBorder="1" applyProtection="1">
      <protection locked="0"/>
    </xf>
    <xf numFmtId="0" fontId="32" fillId="0" borderId="12" xfId="0" applyFont="1" applyFill="1" applyBorder="1" applyAlignment="1" applyProtection="1">
      <alignment horizontal="center"/>
    </xf>
    <xf numFmtId="0" fontId="3" fillId="0" borderId="0" xfId="0" applyFont="1" applyFill="1" applyBorder="1" applyAlignment="1" applyProtection="1">
      <alignment horizontal="center"/>
    </xf>
    <xf numFmtId="9" fontId="3" fillId="0" borderId="0" xfId="1" applyFont="1" applyFill="1" applyBorder="1" applyAlignment="1" applyProtection="1">
      <alignment horizontal="center" shrinkToFit="1"/>
    </xf>
    <xf numFmtId="0" fontId="5" fillId="0" borderId="19" xfId="0" applyFont="1" applyFill="1" applyBorder="1" applyProtection="1"/>
    <xf numFmtId="7" fontId="4" fillId="0" borderId="0" xfId="0" applyNumberFormat="1" applyFont="1" applyBorder="1" applyAlignment="1" applyProtection="1">
      <alignment horizontal="center"/>
    </xf>
    <xf numFmtId="44" fontId="5" fillId="0" borderId="0" xfId="5" applyNumberFormat="1" applyFont="1" applyBorder="1" applyAlignment="1" applyProtection="1">
      <alignment shrinkToFit="1"/>
    </xf>
    <xf numFmtId="44" fontId="5" fillId="0" borderId="0" xfId="0" applyNumberFormat="1" applyFont="1" applyBorder="1" applyProtection="1"/>
    <xf numFmtId="44" fontId="5" fillId="0" borderId="0" xfId="0" applyNumberFormat="1" applyFont="1" applyFill="1" applyBorder="1" applyProtection="1"/>
    <xf numFmtId="44" fontId="5" fillId="0" borderId="0" xfId="0" applyNumberFormat="1" applyFont="1" applyBorder="1" applyAlignment="1" applyProtection="1">
      <alignment shrinkToFit="1"/>
    </xf>
    <xf numFmtId="44" fontId="5" fillId="0" borderId="0" xfId="0" applyNumberFormat="1" applyFont="1" applyFill="1" applyBorder="1" applyAlignment="1" applyProtection="1">
      <alignment horizontal="left" indent="1"/>
    </xf>
    <xf numFmtId="44" fontId="5" fillId="0" borderId="0" xfId="0" applyNumberFormat="1" applyFont="1" applyFill="1" applyBorder="1" applyAlignment="1" applyProtection="1">
      <alignment shrinkToFit="1"/>
    </xf>
    <xf numFmtId="44" fontId="5" fillId="0" borderId="19" xfId="0" applyNumberFormat="1" applyFont="1" applyFill="1" applyBorder="1" applyAlignment="1" applyProtection="1">
      <alignment horizontal="right"/>
    </xf>
    <xf numFmtId="44" fontId="24" fillId="0" borderId="0" xfId="5" applyNumberFormat="1" applyFont="1" applyBorder="1" applyAlignment="1" applyProtection="1">
      <alignment shrinkToFit="1"/>
    </xf>
    <xf numFmtId="44" fontId="4" fillId="0" borderId="0" xfId="0" applyNumberFormat="1" applyFont="1" applyBorder="1" applyAlignment="1" applyProtection="1">
      <alignment shrinkToFit="1"/>
    </xf>
    <xf numFmtId="44" fontId="4" fillId="0" borderId="0" xfId="0" applyNumberFormat="1" applyFont="1" applyBorder="1" applyProtection="1"/>
    <xf numFmtId="44" fontId="4" fillId="0" borderId="0" xfId="0" applyNumberFormat="1" applyFont="1" applyFill="1" applyBorder="1" applyProtection="1"/>
    <xf numFmtId="44" fontId="4" fillId="0" borderId="0" xfId="0" applyNumberFormat="1" applyFont="1" applyFill="1" applyBorder="1" applyAlignment="1" applyProtection="1">
      <alignment horizontal="left" indent="1"/>
    </xf>
    <xf numFmtId="44" fontId="4" fillId="0" borderId="19" xfId="0" applyNumberFormat="1" applyFont="1" applyFill="1" applyBorder="1" applyAlignment="1" applyProtection="1">
      <alignment horizontal="right"/>
    </xf>
    <xf numFmtId="0" fontId="2" fillId="2" borderId="1" xfId="0" applyFont="1" applyFill="1" applyBorder="1" applyAlignment="1" applyProtection="1"/>
    <xf numFmtId="7" fontId="5" fillId="0" borderId="0" xfId="0" applyNumberFormat="1" applyFont="1" applyProtection="1"/>
    <xf numFmtId="0" fontId="20" fillId="0" borderId="0" xfId="0" applyFont="1" applyProtection="1"/>
    <xf numFmtId="0" fontId="20" fillId="0" borderId="0" xfId="0" applyFont="1" applyFill="1" applyBorder="1" applyProtection="1"/>
    <xf numFmtId="7" fontId="25" fillId="0" borderId="0" xfId="0" applyNumberFormat="1" applyFont="1" applyFill="1" applyBorder="1" applyProtection="1"/>
    <xf numFmtId="0" fontId="4" fillId="0" borderId="0" xfId="0" applyFont="1" applyFill="1" applyBorder="1" applyAlignment="1" applyProtection="1">
      <alignment horizontal="left"/>
    </xf>
    <xf numFmtId="0" fontId="25" fillId="0" borderId="14" xfId="0" applyFont="1" applyBorder="1" applyProtection="1"/>
    <xf numFmtId="0" fontId="4" fillId="0" borderId="0" xfId="0" applyFont="1" applyBorder="1" applyProtection="1"/>
    <xf numFmtId="0" fontId="5" fillId="0" borderId="19" xfId="0" applyFont="1" applyBorder="1" applyProtection="1"/>
    <xf numFmtId="7" fontId="4" fillId="0" borderId="0" xfId="0" applyNumberFormat="1" applyFont="1" applyFill="1" applyBorder="1" applyAlignment="1" applyProtection="1">
      <alignment horizontal="right"/>
    </xf>
    <xf numFmtId="0" fontId="5" fillId="0" borderId="14" xfId="0" applyFont="1" applyBorder="1" applyAlignment="1" applyProtection="1">
      <alignment horizontal="left" indent="1"/>
    </xf>
    <xf numFmtId="0" fontId="25" fillId="0" borderId="14" xfId="0" applyFont="1" applyBorder="1" applyAlignment="1" applyProtection="1">
      <alignment horizontal="left" indent="1"/>
    </xf>
    <xf numFmtId="7" fontId="25" fillId="0" borderId="0" xfId="0" applyNumberFormat="1" applyFont="1" applyBorder="1" applyProtection="1"/>
    <xf numFmtId="7" fontId="5" fillId="0" borderId="0" xfId="0" applyNumberFormat="1" applyFont="1" applyBorder="1" applyAlignment="1" applyProtection="1">
      <alignment horizontal="left"/>
    </xf>
    <xf numFmtId="0" fontId="25" fillId="0" borderId="0" xfId="0" applyFont="1" applyBorder="1" applyAlignment="1" applyProtection="1">
      <alignment horizontal="left"/>
    </xf>
    <xf numFmtId="0" fontId="5" fillId="0" borderId="16" xfId="0" applyFont="1" applyBorder="1" applyAlignment="1" applyProtection="1">
      <alignment horizontal="left" indent="1"/>
    </xf>
    <xf numFmtId="0" fontId="25" fillId="0" borderId="17" xfId="0" applyFont="1" applyBorder="1" applyProtection="1"/>
    <xf numFmtId="0" fontId="5" fillId="0" borderId="17" xfId="0" applyFont="1" applyBorder="1" applyProtection="1"/>
    <xf numFmtId="0" fontId="5" fillId="0" borderId="18" xfId="0" applyFont="1" applyBorder="1" applyProtection="1"/>
    <xf numFmtId="0" fontId="4" fillId="6" borderId="22" xfId="0" applyFont="1" applyFill="1" applyBorder="1" applyProtection="1"/>
    <xf numFmtId="0" fontId="5" fillId="6" borderId="22" xfId="0" applyFont="1" applyFill="1" applyBorder="1" applyProtection="1"/>
    <xf numFmtId="0" fontId="5" fillId="6" borderId="23" xfId="0" applyFont="1" applyFill="1" applyBorder="1" applyProtection="1"/>
    <xf numFmtId="0" fontId="4" fillId="0" borderId="14" xfId="0" applyFont="1" applyBorder="1" applyProtection="1"/>
    <xf numFmtId="0" fontId="5" fillId="0" borderId="14" xfId="0" applyFont="1" applyBorder="1" applyProtection="1"/>
    <xf numFmtId="0" fontId="25" fillId="0" borderId="19" xfId="0" applyFont="1" applyBorder="1" applyProtection="1"/>
    <xf numFmtId="7" fontId="25" fillId="0" borderId="0" xfId="0" applyNumberFormat="1" applyFont="1" applyProtection="1"/>
    <xf numFmtId="0" fontId="5" fillId="0" borderId="16" xfId="0" applyFont="1" applyBorder="1" applyProtection="1"/>
    <xf numFmtId="7" fontId="4" fillId="0" borderId="0" xfId="0" applyNumberFormat="1" applyFont="1" applyAlignment="1" applyProtection="1">
      <alignment horizontal="right"/>
    </xf>
    <xf numFmtId="0" fontId="5" fillId="0" borderId="12" xfId="0" applyFont="1" applyBorder="1" applyProtection="1"/>
    <xf numFmtId="0" fontId="32" fillId="0" borderId="14" xfId="0" applyFont="1" applyBorder="1" applyProtection="1"/>
    <xf numFmtId="7" fontId="4" fillId="0" borderId="0" xfId="0" applyNumberFormat="1" applyFont="1" applyFill="1" applyBorder="1" applyAlignment="1" applyProtection="1">
      <alignment horizontal="center"/>
    </xf>
    <xf numFmtId="0" fontId="11" fillId="0" borderId="0" xfId="0" applyFont="1" applyBorder="1" applyProtection="1"/>
    <xf numFmtId="0" fontId="5" fillId="0" borderId="0" xfId="0" applyFont="1" applyBorder="1" applyAlignment="1" applyProtection="1">
      <alignment horizontal="right"/>
    </xf>
    <xf numFmtId="2" fontId="5" fillId="0" borderId="0" xfId="0" applyNumberFormat="1" applyFont="1" applyBorder="1" applyAlignment="1" applyProtection="1">
      <alignment shrinkToFit="1"/>
    </xf>
    <xf numFmtId="0" fontId="11" fillId="0" borderId="0" xfId="0" applyFont="1" applyBorder="1" applyAlignment="1" applyProtection="1">
      <alignment horizontal="left"/>
    </xf>
    <xf numFmtId="0" fontId="5" fillId="0" borderId="0" xfId="0" applyFont="1" applyFill="1" applyBorder="1" applyAlignment="1" applyProtection="1">
      <alignment shrinkToFit="1"/>
    </xf>
    <xf numFmtId="2" fontId="5" fillId="0" borderId="0" xfId="0" applyNumberFormat="1" applyFont="1" applyFill="1" applyBorder="1" applyAlignment="1" applyProtection="1">
      <alignment shrinkToFit="1"/>
    </xf>
    <xf numFmtId="0" fontId="11" fillId="0" borderId="0" xfId="0" applyFont="1" applyFill="1" applyBorder="1" applyAlignment="1" applyProtection="1">
      <alignment horizontal="right"/>
    </xf>
    <xf numFmtId="7" fontId="5" fillId="0" borderId="0" xfId="0" applyNumberFormat="1" applyFont="1" applyFill="1" applyBorder="1" applyAlignment="1" applyProtection="1">
      <alignment shrinkToFit="1"/>
    </xf>
    <xf numFmtId="165" fontId="5" fillId="0" borderId="0" xfId="0" applyNumberFormat="1" applyFont="1" applyFill="1" applyBorder="1" applyAlignment="1" applyProtection="1">
      <alignment shrinkToFit="1"/>
    </xf>
    <xf numFmtId="44" fontId="5" fillId="0" borderId="0" xfId="5" applyFont="1" applyFill="1" applyBorder="1" applyAlignment="1" applyProtection="1">
      <alignment shrinkToFit="1"/>
    </xf>
    <xf numFmtId="44" fontId="12" fillId="0" borderId="0" xfId="5" applyFont="1" applyFill="1" applyBorder="1" applyAlignment="1" applyProtection="1">
      <alignment shrinkToFit="1"/>
    </xf>
    <xf numFmtId="0" fontId="4" fillId="0" borderId="14" xfId="0" applyFont="1" applyBorder="1" applyAlignment="1" applyProtection="1">
      <alignment horizontal="left" indent="1"/>
    </xf>
    <xf numFmtId="0" fontId="18" fillId="0" borderId="0" xfId="0" applyFont="1" applyBorder="1" applyProtection="1"/>
    <xf numFmtId="0" fontId="4" fillId="0" borderId="0" xfId="0" applyFont="1" applyBorder="1" applyAlignment="1" applyProtection="1">
      <alignment horizontal="right"/>
    </xf>
    <xf numFmtId="165" fontId="4" fillId="0" borderId="0" xfId="0" applyNumberFormat="1" applyFont="1" applyBorder="1" applyProtection="1"/>
    <xf numFmtId="0" fontId="18" fillId="0" borderId="0" xfId="0" applyFont="1" applyBorder="1" applyAlignment="1" applyProtection="1">
      <alignment horizontal="right"/>
    </xf>
    <xf numFmtId="2" fontId="4" fillId="0" borderId="0" xfId="0" applyNumberFormat="1" applyFont="1" applyBorder="1" applyProtection="1"/>
    <xf numFmtId="165" fontId="5" fillId="0" borderId="0" xfId="0" applyNumberFormat="1" applyFont="1" applyFill="1" applyBorder="1" applyProtection="1"/>
    <xf numFmtId="0" fontId="4" fillId="0" borderId="0" xfId="0" applyFont="1" applyFill="1" applyBorder="1" applyAlignment="1" applyProtection="1">
      <alignment horizontal="left" indent="1"/>
    </xf>
    <xf numFmtId="0" fontId="5" fillId="4" borderId="14" xfId="0" applyFont="1" applyFill="1" applyBorder="1" applyProtection="1"/>
    <xf numFmtId="0" fontId="11" fillId="4" borderId="0" xfId="0" applyFont="1" applyFill="1" applyBorder="1" applyProtection="1"/>
    <xf numFmtId="0" fontId="5" fillId="4" borderId="0" xfId="0" applyFont="1" applyFill="1" applyBorder="1" applyAlignment="1" applyProtection="1">
      <alignment horizontal="right"/>
    </xf>
    <xf numFmtId="165" fontId="5" fillId="4" borderId="0" xfId="0" applyNumberFormat="1" applyFont="1" applyFill="1" applyBorder="1" applyProtection="1"/>
    <xf numFmtId="0" fontId="11" fillId="4" borderId="0" xfId="0" applyFont="1" applyFill="1" applyBorder="1" applyAlignment="1" applyProtection="1">
      <alignment horizontal="right"/>
    </xf>
    <xf numFmtId="7" fontId="5" fillId="4" borderId="0" xfId="0" applyNumberFormat="1" applyFont="1" applyFill="1" applyBorder="1" applyProtection="1"/>
    <xf numFmtId="0" fontId="34" fillId="4" borderId="0" xfId="0" applyFont="1" applyFill="1" applyBorder="1" applyAlignment="1" applyProtection="1">
      <alignment horizontal="center"/>
    </xf>
    <xf numFmtId="7" fontId="8" fillId="4" borderId="0" xfId="0" applyNumberFormat="1" applyFont="1" applyFill="1" applyBorder="1" applyProtection="1"/>
    <xf numFmtId="0" fontId="34" fillId="4" borderId="19" xfId="0" applyFont="1" applyFill="1" applyBorder="1" applyAlignment="1" applyProtection="1">
      <alignment horizontal="center"/>
    </xf>
    <xf numFmtId="0" fontId="32" fillId="4" borderId="14" xfId="0" applyFont="1" applyFill="1" applyBorder="1" applyProtection="1"/>
    <xf numFmtId="0" fontId="4" fillId="4" borderId="0" xfId="0" applyFont="1" applyFill="1" applyBorder="1" applyProtection="1"/>
    <xf numFmtId="0" fontId="4" fillId="4" borderId="14" xfId="0" applyFont="1" applyFill="1" applyBorder="1" applyAlignment="1" applyProtection="1">
      <alignment horizontal="left" indent="1"/>
    </xf>
    <xf numFmtId="0" fontId="30" fillId="4" borderId="0" xfId="0" applyFont="1" applyFill="1" applyBorder="1" applyAlignment="1" applyProtection="1">
      <alignment horizontal="center"/>
    </xf>
    <xf numFmtId="0" fontId="30" fillId="4" borderId="19" xfId="0" applyFont="1" applyFill="1" applyBorder="1" applyAlignment="1" applyProtection="1">
      <alignment horizontal="center"/>
    </xf>
    <xf numFmtId="0" fontId="25" fillId="0" borderId="14" xfId="0" applyFont="1" applyBorder="1" applyAlignment="1" applyProtection="1">
      <alignment horizontal="left" indent="2"/>
    </xf>
    <xf numFmtId="44" fontId="25" fillId="0" borderId="0" xfId="5" applyFont="1" applyBorder="1" applyProtection="1"/>
    <xf numFmtId="44" fontId="5" fillId="0" borderId="0" xfId="5" applyFont="1" applyFill="1" applyBorder="1" applyProtection="1"/>
    <xf numFmtId="0" fontId="27" fillId="0" borderId="0" xfId="0" applyFont="1" applyBorder="1" applyProtection="1"/>
    <xf numFmtId="44" fontId="25" fillId="0" borderId="0" xfId="0" applyNumberFormat="1" applyFont="1" applyBorder="1" applyProtection="1"/>
    <xf numFmtId="44" fontId="25" fillId="0" borderId="0" xfId="5" applyFont="1" applyFill="1" applyBorder="1" applyProtection="1"/>
    <xf numFmtId="44" fontId="28" fillId="0" borderId="0" xfId="0" applyNumberFormat="1" applyFont="1" applyBorder="1" applyProtection="1"/>
    <xf numFmtId="0" fontId="17" fillId="0" borderId="0" xfId="0" applyFont="1" applyBorder="1" applyAlignment="1" applyProtection="1">
      <alignment horizontal="right"/>
    </xf>
    <xf numFmtId="44" fontId="4" fillId="0" borderId="0" xfId="5" applyFont="1" applyBorder="1" applyAlignment="1" applyProtection="1">
      <alignment shrinkToFit="1"/>
    </xf>
    <xf numFmtId="44" fontId="17" fillId="0" borderId="0" xfId="5" applyFont="1" applyFill="1" applyBorder="1" applyProtection="1"/>
    <xf numFmtId="10" fontId="25" fillId="0" borderId="19" xfId="0" applyNumberFormat="1" applyFont="1" applyFill="1" applyBorder="1" applyProtection="1"/>
    <xf numFmtId="0" fontId="31" fillId="4" borderId="14" xfId="0" applyFont="1" applyFill="1" applyBorder="1" applyProtection="1"/>
    <xf numFmtId="44" fontId="25" fillId="4" borderId="0" xfId="5" applyFont="1" applyFill="1" applyBorder="1" applyProtection="1"/>
    <xf numFmtId="2" fontId="25" fillId="4" borderId="19" xfId="0" applyNumberFormat="1" applyFont="1" applyFill="1" applyBorder="1" applyProtection="1"/>
    <xf numFmtId="39" fontId="5" fillId="0" borderId="0" xfId="0" applyNumberFormat="1" applyFont="1" applyFill="1" applyBorder="1" applyAlignment="1" applyProtection="1">
      <alignment shrinkToFit="1"/>
    </xf>
    <xf numFmtId="2" fontId="25" fillId="0" borderId="19" xfId="0" applyNumberFormat="1" applyFont="1" applyFill="1" applyBorder="1" applyProtection="1"/>
    <xf numFmtId="10" fontId="25" fillId="0" borderId="0" xfId="0" applyNumberFormat="1" applyFont="1" applyFill="1" applyBorder="1" applyProtection="1"/>
    <xf numFmtId="9" fontId="25" fillId="0" borderId="0" xfId="1" applyFont="1" applyFill="1" applyBorder="1" applyProtection="1"/>
    <xf numFmtId="0" fontId="25" fillId="0" borderId="19" xfId="0" applyFont="1" applyFill="1" applyBorder="1" applyProtection="1"/>
    <xf numFmtId="0" fontId="5" fillId="0" borderId="14" xfId="0" applyFont="1" applyFill="1" applyBorder="1" applyAlignment="1" applyProtection="1">
      <alignment horizontal="left" indent="1"/>
    </xf>
    <xf numFmtId="0" fontId="32" fillId="4" borderId="14" xfId="0" applyFont="1" applyFill="1" applyBorder="1" applyAlignment="1" applyProtection="1">
      <alignment horizontal="left"/>
    </xf>
    <xf numFmtId="44" fontId="5" fillId="4" borderId="0" xfId="5" applyFont="1" applyFill="1" applyBorder="1" applyAlignment="1" applyProtection="1">
      <alignment shrinkToFit="1"/>
    </xf>
    <xf numFmtId="0" fontId="25" fillId="4" borderId="19" xfId="0" applyFont="1" applyFill="1" applyBorder="1" applyProtection="1"/>
    <xf numFmtId="0" fontId="5" fillId="0" borderId="14" xfId="0" applyFont="1" applyFill="1" applyBorder="1" applyAlignment="1" applyProtection="1">
      <alignment horizontal="left" indent="2"/>
    </xf>
    <xf numFmtId="0" fontId="25" fillId="0" borderId="0" xfId="0" applyFont="1" applyFill="1" applyBorder="1" applyAlignment="1" applyProtection="1">
      <alignment horizontal="left" indent="1"/>
    </xf>
    <xf numFmtId="44" fontId="5" fillId="0" borderId="5" xfId="5" applyFont="1" applyFill="1" applyBorder="1" applyAlignment="1" applyProtection="1">
      <alignment shrinkToFit="1"/>
    </xf>
    <xf numFmtId="0" fontId="5" fillId="0" borderId="5" xfId="5" applyNumberFormat="1" applyFont="1" applyFill="1" applyBorder="1" applyAlignment="1" applyProtection="1">
      <alignment shrinkToFit="1"/>
    </xf>
    <xf numFmtId="0" fontId="11" fillId="0" borderId="19" xfId="0" applyFont="1" applyBorder="1" applyProtection="1"/>
    <xf numFmtId="0" fontId="5" fillId="0" borderId="0" xfId="5" applyNumberFormat="1" applyFont="1" applyFill="1" applyBorder="1" applyAlignment="1" applyProtection="1">
      <alignment shrinkToFit="1"/>
    </xf>
    <xf numFmtId="0" fontId="16" fillId="4" borderId="0" xfId="0" applyFont="1" applyFill="1" applyBorder="1" applyProtection="1"/>
    <xf numFmtId="0" fontId="25" fillId="4" borderId="0" xfId="0" applyFont="1" applyFill="1" applyProtection="1"/>
    <xf numFmtId="0" fontId="5" fillId="4" borderId="0" xfId="0" applyFont="1" applyFill="1" applyBorder="1" applyAlignment="1" applyProtection="1">
      <alignment horizontal="left" indent="1"/>
    </xf>
    <xf numFmtId="1" fontId="5" fillId="0" borderId="0" xfId="0" applyNumberFormat="1" applyFont="1" applyFill="1" applyBorder="1" applyAlignment="1" applyProtection="1">
      <alignment shrinkToFit="1"/>
    </xf>
    <xf numFmtId="0" fontId="25" fillId="0" borderId="14" xfId="0" applyFont="1" applyFill="1" applyBorder="1" applyProtection="1"/>
    <xf numFmtId="0" fontId="25" fillId="0" borderId="14" xfId="0" applyFont="1" applyBorder="1" applyAlignment="1" applyProtection="1"/>
    <xf numFmtId="44" fontId="25" fillId="0" borderId="19" xfId="5" applyFont="1" applyFill="1" applyBorder="1" applyProtection="1"/>
    <xf numFmtId="2" fontId="25" fillId="0" borderId="0" xfId="0" applyNumberFormat="1" applyFont="1" applyFill="1" applyBorder="1" applyProtection="1"/>
    <xf numFmtId="0" fontId="4" fillId="0" borderId="14" xfId="0" applyFont="1" applyBorder="1" applyAlignment="1" applyProtection="1">
      <alignment horizontal="left"/>
    </xf>
    <xf numFmtId="0" fontId="5" fillId="0" borderId="14" xfId="0" applyFont="1" applyBorder="1" applyAlignment="1" applyProtection="1">
      <alignment horizontal="left"/>
    </xf>
    <xf numFmtId="44" fontId="5" fillId="0" borderId="0" xfId="5" applyFont="1" applyBorder="1" applyProtection="1"/>
    <xf numFmtId="0" fontId="4" fillId="0" borderId="14" xfId="0" applyFont="1" applyBorder="1" applyAlignment="1" applyProtection="1"/>
    <xf numFmtId="0" fontId="5" fillId="0" borderId="19" xfId="0" applyFont="1" applyFill="1" applyBorder="1" applyAlignment="1" applyProtection="1">
      <alignment horizontal="right"/>
    </xf>
    <xf numFmtId="0" fontId="11" fillId="0" borderId="0" xfId="0" applyFont="1" applyFill="1" applyBorder="1" applyAlignment="1" applyProtection="1">
      <alignment horizontal="left"/>
    </xf>
    <xf numFmtId="44" fontId="4" fillId="0" borderId="0" xfId="0" applyNumberFormat="1" applyFont="1" applyFill="1" applyBorder="1" applyAlignment="1" applyProtection="1">
      <alignment shrinkToFit="1"/>
    </xf>
    <xf numFmtId="44" fontId="17" fillId="0" borderId="0" xfId="5" applyNumberFormat="1" applyFont="1" applyFill="1" applyBorder="1" applyProtection="1"/>
    <xf numFmtId="44" fontId="5" fillId="0" borderId="0" xfId="5" applyNumberFormat="1" applyFont="1" applyBorder="1" applyProtection="1"/>
    <xf numFmtId="44" fontId="5" fillId="0" borderId="19" xfId="0" applyNumberFormat="1" applyFont="1" applyFill="1" applyBorder="1" applyProtection="1"/>
    <xf numFmtId="0" fontId="17" fillId="0" borderId="14" xfId="0" applyFont="1" applyBorder="1" applyProtection="1"/>
    <xf numFmtId="44" fontId="25" fillId="0" borderId="19" xfId="0" applyNumberFormat="1" applyFont="1" applyFill="1" applyBorder="1" applyProtection="1"/>
    <xf numFmtId="0" fontId="11" fillId="0" borderId="0" xfId="0" applyFont="1" applyBorder="1" applyAlignment="1" applyProtection="1">
      <alignment horizontal="right"/>
    </xf>
    <xf numFmtId="44" fontId="11" fillId="0" borderId="0" xfId="5" applyFont="1" applyBorder="1" applyAlignment="1" applyProtection="1">
      <alignment shrinkToFit="1"/>
    </xf>
    <xf numFmtId="0" fontId="5" fillId="0" borderId="0" xfId="0" applyNumberFormat="1" applyFont="1" applyBorder="1" applyProtection="1"/>
    <xf numFmtId="0" fontId="25" fillId="0" borderId="0" xfId="0" applyNumberFormat="1" applyFont="1" applyFill="1" applyBorder="1" applyProtection="1"/>
    <xf numFmtId="44" fontId="11" fillId="0" borderId="19" xfId="5" applyFont="1" applyBorder="1" applyAlignment="1" applyProtection="1">
      <alignment shrinkToFit="1"/>
    </xf>
    <xf numFmtId="0" fontId="4" fillId="0" borderId="14" xfId="0" applyFont="1" applyFill="1" applyBorder="1" applyAlignment="1" applyProtection="1">
      <alignment horizontal="left" indent="1"/>
    </xf>
    <xf numFmtId="0" fontId="16" fillId="0" borderId="0" xfId="0" applyFont="1" applyFill="1" applyBorder="1" applyProtection="1"/>
    <xf numFmtId="7" fontId="5" fillId="0" borderId="0" xfId="5" applyNumberFormat="1" applyFont="1" applyBorder="1" applyAlignment="1" applyProtection="1">
      <alignment shrinkToFit="1"/>
    </xf>
    <xf numFmtId="9" fontId="5" fillId="0" borderId="0" xfId="1" applyFont="1" applyFill="1" applyBorder="1" applyProtection="1"/>
    <xf numFmtId="7" fontId="12" fillId="0" borderId="0" xfId="0" applyNumberFormat="1" applyFont="1" applyFill="1" applyBorder="1" applyAlignment="1" applyProtection="1">
      <alignment shrinkToFit="1"/>
    </xf>
    <xf numFmtId="0" fontId="20" fillId="0" borderId="16" xfId="0" applyFont="1" applyBorder="1" applyProtection="1"/>
    <xf numFmtId="0" fontId="20" fillId="0" borderId="17" xfId="0" applyFont="1" applyBorder="1" applyProtection="1"/>
    <xf numFmtId="49" fontId="5" fillId="0" borderId="17" xfId="0" applyNumberFormat="1" applyFont="1" applyFill="1" applyBorder="1" applyAlignment="1" applyProtection="1">
      <alignment horizontal="left" indent="1"/>
    </xf>
    <xf numFmtId="0" fontId="20" fillId="0" borderId="17" xfId="0" applyFont="1" applyFill="1" applyBorder="1" applyProtection="1"/>
    <xf numFmtId="0" fontId="5" fillId="0" borderId="17" xfId="0" applyFont="1" applyFill="1" applyBorder="1" applyProtection="1"/>
    <xf numFmtId="0" fontId="5" fillId="0" borderId="18" xfId="0" applyFont="1" applyFill="1" applyBorder="1" applyProtection="1"/>
    <xf numFmtId="49" fontId="5" fillId="0" borderId="0" xfId="0" applyNumberFormat="1" applyFont="1" applyFill="1" applyBorder="1" applyAlignment="1" applyProtection="1">
      <alignment horizontal="left" indent="1"/>
    </xf>
    <xf numFmtId="166" fontId="5" fillId="0" borderId="0" xfId="5" applyNumberFormat="1" applyFont="1" applyFill="1" applyBorder="1" applyProtection="1"/>
    <xf numFmtId="166" fontId="20" fillId="0" borderId="0" xfId="5" applyNumberFormat="1" applyFont="1" applyFill="1" applyBorder="1" applyProtection="1"/>
    <xf numFmtId="9" fontId="20" fillId="0" borderId="0" xfId="0" applyNumberFormat="1" applyFont="1" applyFill="1" applyBorder="1" applyProtection="1"/>
    <xf numFmtId="9" fontId="5" fillId="0" borderId="0" xfId="0" applyNumberFormat="1" applyFont="1" applyFill="1" applyBorder="1" applyProtection="1"/>
    <xf numFmtId="9" fontId="20" fillId="0" borderId="0" xfId="1" applyFont="1" applyFill="1" applyBorder="1" applyProtection="1"/>
    <xf numFmtId="7" fontId="20" fillId="0" borderId="0" xfId="0" applyNumberFormat="1" applyFont="1" applyProtection="1"/>
    <xf numFmtId="7" fontId="20" fillId="0" borderId="0" xfId="0" applyNumberFormat="1" applyFont="1" applyFill="1" applyBorder="1" applyProtection="1"/>
    <xf numFmtId="44" fontId="20" fillId="0" borderId="0" xfId="0" applyNumberFormat="1" applyFont="1" applyFill="1" applyBorder="1" applyProtection="1"/>
    <xf numFmtId="0" fontId="19" fillId="0" borderId="0" xfId="0" applyFont="1" applyFill="1" applyBorder="1" applyProtection="1"/>
    <xf numFmtId="7" fontId="5" fillId="0" borderId="0" xfId="0" applyNumberFormat="1" applyFont="1" applyFill="1" applyBorder="1" applyAlignment="1" applyProtection="1">
      <alignment horizontal="right" shrinkToFit="1"/>
    </xf>
    <xf numFmtId="8" fontId="20" fillId="0" borderId="0" xfId="0" applyNumberFormat="1" applyFont="1" applyFill="1" applyBorder="1" applyProtection="1"/>
    <xf numFmtId="0" fontId="14" fillId="0" borderId="0" xfId="0" applyFont="1" applyFill="1" applyBorder="1" applyProtection="1"/>
    <xf numFmtId="0" fontId="23" fillId="0" borderId="0" xfId="0" applyFont="1" applyAlignment="1" applyProtection="1">
      <alignment horizontal="left" wrapText="1"/>
    </xf>
    <xf numFmtId="44" fontId="25" fillId="5" borderId="5" xfId="5" applyFont="1" applyFill="1" applyBorder="1" applyProtection="1">
      <protection locked="0"/>
    </xf>
    <xf numFmtId="9" fontId="25" fillId="5" borderId="5" xfId="1" applyFont="1" applyFill="1" applyBorder="1" applyProtection="1">
      <protection locked="0"/>
    </xf>
    <xf numFmtId="0" fontId="5" fillId="5" borderId="5" xfId="5" applyNumberFormat="1" applyFont="1" applyFill="1" applyBorder="1" applyAlignment="1" applyProtection="1">
      <alignment shrinkToFit="1"/>
      <protection locked="0"/>
    </xf>
    <xf numFmtId="0" fontId="4" fillId="5" borderId="5" xfId="0" applyFont="1" applyFill="1" applyBorder="1" applyProtection="1">
      <protection locked="0"/>
    </xf>
    <xf numFmtId="0" fontId="4" fillId="5" borderId="5" xfId="0" applyFont="1" applyFill="1" applyBorder="1" applyAlignment="1" applyProtection="1">
      <protection locked="0"/>
    </xf>
    <xf numFmtId="0" fontId="5" fillId="5" borderId="15" xfId="0" applyFont="1" applyFill="1" applyBorder="1" applyProtection="1">
      <protection locked="0"/>
    </xf>
    <xf numFmtId="0" fontId="27" fillId="0" borderId="0" xfId="0" applyFont="1" applyProtection="1"/>
    <xf numFmtId="0" fontId="36" fillId="0" borderId="0" xfId="0" applyFont="1" applyProtection="1"/>
    <xf numFmtId="0" fontId="25" fillId="5" borderId="6" xfId="0" applyFont="1" applyFill="1" applyBorder="1" applyProtection="1"/>
    <xf numFmtId="0" fontId="25" fillId="5" borderId="10" xfId="0" applyFont="1" applyFill="1" applyBorder="1" applyProtection="1"/>
    <xf numFmtId="0" fontId="25" fillId="5" borderId="7" xfId="0" applyFont="1" applyFill="1" applyBorder="1" applyProtection="1"/>
    <xf numFmtId="0" fontId="17" fillId="6" borderId="2" xfId="0" applyFont="1" applyFill="1" applyBorder="1" applyAlignment="1" applyProtection="1">
      <alignment horizontal="center" wrapText="1"/>
    </xf>
    <xf numFmtId="0" fontId="17" fillId="6" borderId="3" xfId="0" applyFont="1" applyFill="1" applyBorder="1" applyAlignment="1" applyProtection="1">
      <alignment wrapText="1"/>
    </xf>
    <xf numFmtId="0" fontId="17" fillId="6" borderId="4" xfId="0" applyFont="1" applyFill="1" applyBorder="1" applyAlignment="1" applyProtection="1">
      <alignment wrapText="1"/>
    </xf>
    <xf numFmtId="0" fontId="38" fillId="6" borderId="21" xfId="0" applyFont="1" applyFill="1" applyBorder="1" applyProtection="1"/>
    <xf numFmtId="0" fontId="39" fillId="6" borderId="22" xfId="0" applyFont="1" applyFill="1" applyBorder="1" applyProtection="1"/>
    <xf numFmtId="0" fontId="39" fillId="6" borderId="23" xfId="0" applyFont="1" applyFill="1" applyBorder="1" applyProtection="1"/>
    <xf numFmtId="0" fontId="39" fillId="0" borderId="0" xfId="0" applyFont="1" applyProtection="1"/>
    <xf numFmtId="0" fontId="25" fillId="0" borderId="0" xfId="0" applyFont="1" applyAlignment="1" applyProtection="1">
      <alignment horizontal="center"/>
    </xf>
    <xf numFmtId="9" fontId="25" fillId="0" borderId="0" xfId="1" applyFont="1" applyFill="1" applyProtection="1"/>
    <xf numFmtId="0" fontId="25" fillId="0" borderId="0" xfId="0" applyFont="1" applyBorder="1" applyAlignment="1" applyProtection="1">
      <alignment horizontal="center"/>
    </xf>
    <xf numFmtId="0" fontId="25" fillId="0" borderId="19" xfId="0" applyFont="1" applyBorder="1" applyAlignment="1" applyProtection="1">
      <alignment horizontal="center"/>
    </xf>
    <xf numFmtId="44" fontId="25" fillId="0" borderId="19" xfId="5" applyFont="1" applyBorder="1" applyProtection="1"/>
    <xf numFmtId="44" fontId="28" fillId="0" borderId="19" xfId="5" applyFont="1" applyBorder="1" applyProtection="1"/>
    <xf numFmtId="9" fontId="25" fillId="0" borderId="0" xfId="1" applyFont="1" applyBorder="1" applyProtection="1"/>
    <xf numFmtId="44" fontId="25" fillId="0" borderId="0" xfId="5" applyNumberFormat="1" applyFont="1" applyBorder="1" applyProtection="1"/>
    <xf numFmtId="44" fontId="5" fillId="0" borderId="5" xfId="5" applyFont="1" applyBorder="1" applyAlignment="1" applyProtection="1">
      <alignment shrinkToFit="1"/>
    </xf>
    <xf numFmtId="44" fontId="5" fillId="0" borderId="0" xfId="5" applyFont="1" applyBorder="1" applyAlignment="1" applyProtection="1">
      <alignment shrinkToFit="1"/>
    </xf>
    <xf numFmtId="0" fontId="30" fillId="0" borderId="0" xfId="0" applyFont="1" applyAlignment="1" applyProtection="1">
      <alignment horizontal="right"/>
    </xf>
    <xf numFmtId="44" fontId="25" fillId="0" borderId="19" xfId="0" applyNumberFormat="1" applyFont="1" applyBorder="1" applyProtection="1"/>
    <xf numFmtId="0" fontId="4" fillId="0" borderId="0" xfId="0" applyFont="1" applyBorder="1" applyAlignment="1" applyProtection="1">
      <alignment horizontal="left" indent="1"/>
    </xf>
    <xf numFmtId="10" fontId="25" fillId="0" borderId="0" xfId="0" applyNumberFormat="1" applyFont="1" applyBorder="1" applyProtection="1"/>
    <xf numFmtId="0" fontId="16" fillId="0" borderId="0" xfId="0" applyFont="1" applyFill="1" applyBorder="1" applyAlignment="1" applyProtection="1">
      <alignment shrinkToFit="1"/>
    </xf>
    <xf numFmtId="44" fontId="11" fillId="0" borderId="0" xfId="0" applyNumberFormat="1" applyFont="1" applyBorder="1" applyProtection="1"/>
    <xf numFmtId="44" fontId="5" fillId="0" borderId="19" xfId="5" applyFont="1" applyBorder="1" applyAlignment="1" applyProtection="1">
      <alignment shrinkToFit="1"/>
    </xf>
    <xf numFmtId="0" fontId="17" fillId="6" borderId="21" xfId="0" applyFont="1" applyFill="1" applyBorder="1" applyProtection="1"/>
    <xf numFmtId="0" fontId="25" fillId="6" borderId="22" xfId="0" applyFont="1" applyFill="1" applyBorder="1" applyProtection="1"/>
    <xf numFmtId="0" fontId="25" fillId="6" borderId="23" xfId="0" applyFont="1" applyFill="1" applyBorder="1" applyProtection="1"/>
    <xf numFmtId="0" fontId="25" fillId="0" borderId="0" xfId="0" applyFont="1" applyBorder="1" applyAlignment="1" applyProtection="1">
      <alignment horizontal="right" indent="3"/>
    </xf>
    <xf numFmtId="0" fontId="25" fillId="0" borderId="16" xfId="0" applyFont="1" applyBorder="1" applyProtection="1"/>
    <xf numFmtId="0" fontId="25" fillId="0" borderId="17" xfId="0" applyFont="1" applyBorder="1" applyAlignment="1" applyProtection="1">
      <alignment horizontal="right" indent="3"/>
    </xf>
    <xf numFmtId="2" fontId="25" fillId="0" borderId="18" xfId="0" applyNumberFormat="1" applyFont="1" applyBorder="1" applyProtection="1"/>
    <xf numFmtId="49" fontId="25" fillId="0" borderId="0" xfId="0" applyNumberFormat="1" applyFont="1" applyBorder="1" applyAlignment="1" applyProtection="1">
      <alignment horizontal="center"/>
    </xf>
    <xf numFmtId="0" fontId="25" fillId="0" borderId="17" xfId="0" applyFont="1" applyBorder="1" applyAlignment="1" applyProtection="1">
      <alignment horizontal="center"/>
    </xf>
    <xf numFmtId="49" fontId="25" fillId="0" borderId="17" xfId="0" applyNumberFormat="1" applyFont="1" applyBorder="1" applyAlignment="1" applyProtection="1">
      <alignment horizontal="center"/>
    </xf>
    <xf numFmtId="0" fontId="25" fillId="0" borderId="18" xfId="0" applyFont="1" applyBorder="1" applyProtection="1"/>
    <xf numFmtId="0" fontId="25" fillId="6" borderId="11" xfId="0" applyFont="1" applyFill="1" applyBorder="1" applyProtection="1"/>
    <xf numFmtId="0" fontId="25" fillId="6" borderId="12" xfId="0" applyFont="1" applyFill="1" applyBorder="1" applyProtection="1"/>
    <xf numFmtId="0" fontId="17" fillId="6" borderId="13" xfId="0" applyFont="1" applyFill="1" applyBorder="1" applyAlignment="1" applyProtection="1">
      <alignment horizontal="center"/>
    </xf>
    <xf numFmtId="0" fontId="17" fillId="6" borderId="25" xfId="0" applyFont="1" applyFill="1" applyBorder="1" applyProtection="1"/>
    <xf numFmtId="1" fontId="5" fillId="6" borderId="24" xfId="6" applyNumberFormat="1" applyFont="1" applyFill="1" applyBorder="1" applyAlignment="1" applyProtection="1">
      <alignment horizontal="center"/>
    </xf>
    <xf numFmtId="165" fontId="5" fillId="6" borderId="24" xfId="6" applyNumberFormat="1" applyFont="1" applyFill="1" applyBorder="1" applyAlignment="1" applyProtection="1">
      <alignment horizontal="center"/>
    </xf>
    <xf numFmtId="0" fontId="17" fillId="6" borderId="24" xfId="0" applyFont="1" applyFill="1" applyBorder="1" applyAlignment="1" applyProtection="1">
      <alignment horizontal="center"/>
    </xf>
    <xf numFmtId="0" fontId="17" fillId="6" borderId="26" xfId="0" applyFont="1" applyFill="1" applyBorder="1" applyAlignment="1" applyProtection="1">
      <alignment horizontal="center"/>
    </xf>
    <xf numFmtId="0" fontId="18" fillId="0" borderId="14" xfId="6" applyFont="1" applyFill="1" applyBorder="1" applyAlignment="1" applyProtection="1"/>
    <xf numFmtId="0" fontId="17" fillId="0" borderId="0" xfId="0" applyFont="1" applyFill="1" applyBorder="1" applyAlignment="1" applyProtection="1">
      <alignment horizontal="center"/>
    </xf>
    <xf numFmtId="0" fontId="17" fillId="0" borderId="0" xfId="0" applyFont="1" applyFill="1" applyBorder="1" applyProtection="1"/>
    <xf numFmtId="0" fontId="11" fillId="0" borderId="14" xfId="6" applyFont="1" applyFill="1" applyBorder="1" applyAlignment="1" applyProtection="1"/>
    <xf numFmtId="1" fontId="5" fillId="0" borderId="0" xfId="6" applyNumberFormat="1" applyFont="1" applyFill="1" applyBorder="1" applyAlignment="1" applyProtection="1">
      <alignment horizontal="center"/>
    </xf>
    <xf numFmtId="165" fontId="5" fillId="0" borderId="0" xfId="6" applyNumberFormat="1" applyFont="1" applyFill="1" applyBorder="1" applyAlignment="1" applyProtection="1">
      <alignment horizontal="center"/>
    </xf>
    <xf numFmtId="9" fontId="25" fillId="0" borderId="0" xfId="0" applyNumberFormat="1" applyFont="1" applyBorder="1" applyAlignment="1" applyProtection="1">
      <alignment horizontal="center"/>
    </xf>
    <xf numFmtId="9" fontId="25" fillId="0" borderId="19" xfId="0" applyNumberFormat="1" applyFont="1" applyBorder="1" applyAlignment="1" applyProtection="1">
      <alignment horizontal="center"/>
    </xf>
    <xf numFmtId="0" fontId="25" fillId="0" borderId="0" xfId="0" applyFont="1" applyBorder="1" applyAlignment="1" applyProtection="1">
      <alignment horizontal="right"/>
    </xf>
    <xf numFmtId="0" fontId="16" fillId="0" borderId="0" xfId="0" applyFont="1" applyBorder="1" applyProtection="1"/>
    <xf numFmtId="0" fontId="17" fillId="0" borderId="0" xfId="0" applyFont="1" applyBorder="1" applyProtection="1"/>
    <xf numFmtId="44" fontId="17" fillId="0" borderId="19" xfId="0" applyNumberFormat="1" applyFont="1" applyBorder="1" applyProtection="1"/>
    <xf numFmtId="0" fontId="17" fillId="0" borderId="17" xfId="0" applyFont="1" applyBorder="1" applyAlignment="1" applyProtection="1">
      <alignment horizontal="right"/>
    </xf>
    <xf numFmtId="0" fontId="17" fillId="0" borderId="14" xfId="0" applyFont="1" applyFill="1" applyBorder="1" applyProtection="1"/>
    <xf numFmtId="0" fontId="26" fillId="0" borderId="14" xfId="6" applyFont="1" applyFill="1" applyBorder="1" applyAlignment="1" applyProtection="1"/>
    <xf numFmtId="10" fontId="25" fillId="0" borderId="0" xfId="0" applyNumberFormat="1" applyFont="1" applyProtection="1"/>
    <xf numFmtId="0" fontId="4" fillId="0" borderId="14" xfId="6" applyFont="1" applyFill="1" applyBorder="1" applyAlignment="1" applyProtection="1"/>
    <xf numFmtId="0" fontId="27" fillId="0" borderId="14" xfId="6" applyFont="1" applyFill="1" applyBorder="1" applyAlignment="1" applyProtection="1"/>
    <xf numFmtId="0" fontId="11" fillId="0" borderId="16" xfId="6" applyFont="1" applyFill="1" applyBorder="1" applyAlignment="1" applyProtection="1"/>
    <xf numFmtId="1" fontId="5" fillId="0" borderId="17" xfId="6" applyNumberFormat="1" applyFont="1" applyFill="1" applyBorder="1" applyAlignment="1" applyProtection="1">
      <alignment horizontal="center"/>
    </xf>
    <xf numFmtId="165" fontId="5" fillId="0" borderId="17" xfId="6" applyNumberFormat="1" applyFont="1" applyFill="1" applyBorder="1" applyAlignment="1" applyProtection="1">
      <alignment horizontal="center"/>
    </xf>
    <xf numFmtId="9" fontId="25" fillId="0" borderId="17" xfId="0" applyNumberFormat="1" applyFont="1" applyBorder="1" applyAlignment="1" applyProtection="1">
      <alignment horizontal="center"/>
    </xf>
    <xf numFmtId="9" fontId="25" fillId="0" borderId="18" xfId="0" applyNumberFormat="1" applyFont="1" applyBorder="1" applyAlignment="1" applyProtection="1">
      <alignment horizontal="center"/>
    </xf>
    <xf numFmtId="0" fontId="25" fillId="5" borderId="31" xfId="0" applyFont="1" applyFill="1" applyBorder="1" applyProtection="1">
      <protection locked="0"/>
    </xf>
    <xf numFmtId="44" fontId="25" fillId="5" borderId="31" xfId="5" applyFont="1" applyFill="1" applyBorder="1" applyProtection="1">
      <protection locked="0"/>
    </xf>
    <xf numFmtId="9" fontId="25" fillId="5" borderId="31" xfId="1" applyFont="1" applyFill="1" applyBorder="1" applyProtection="1">
      <protection locked="0"/>
    </xf>
    <xf numFmtId="0" fontId="25" fillId="5" borderId="5" xfId="0" applyFont="1" applyFill="1" applyBorder="1" applyProtection="1">
      <protection locked="0"/>
    </xf>
    <xf numFmtId="1" fontId="25" fillId="5" borderId="5" xfId="0" applyNumberFormat="1" applyFont="1" applyFill="1" applyBorder="1" applyProtection="1">
      <protection locked="0"/>
    </xf>
    <xf numFmtId="167" fontId="25" fillId="5" borderId="5" xfId="1" applyNumberFormat="1" applyFont="1" applyFill="1" applyBorder="1" applyProtection="1">
      <protection locked="0"/>
    </xf>
    <xf numFmtId="168" fontId="25" fillId="5" borderId="20" xfId="7" applyNumberFormat="1" applyFont="1" applyFill="1" applyBorder="1" applyProtection="1">
      <protection locked="0"/>
    </xf>
    <xf numFmtId="10" fontId="25" fillId="5" borderId="15" xfId="1" applyNumberFormat="1" applyFont="1" applyFill="1" applyBorder="1" applyProtection="1">
      <protection locked="0"/>
    </xf>
    <xf numFmtId="0" fontId="25" fillId="5" borderId="28" xfId="0" applyNumberFormat="1" applyFont="1" applyFill="1" applyBorder="1" applyProtection="1">
      <protection locked="0"/>
    </xf>
    <xf numFmtId="0" fontId="25" fillId="5" borderId="28" xfId="0" applyFont="1" applyFill="1" applyBorder="1" applyProtection="1">
      <protection locked="0"/>
    </xf>
    <xf numFmtId="0" fontId="5" fillId="5" borderId="28" xfId="0" applyFont="1" applyFill="1" applyBorder="1" applyProtection="1">
      <protection locked="0"/>
    </xf>
    <xf numFmtId="10" fontId="25" fillId="5" borderId="5" xfId="0" applyNumberFormat="1" applyFont="1" applyFill="1" applyBorder="1" applyProtection="1">
      <protection locked="0"/>
    </xf>
    <xf numFmtId="43" fontId="25" fillId="5" borderId="5" xfId="7" applyFont="1" applyFill="1" applyBorder="1" applyProtection="1">
      <protection locked="0"/>
    </xf>
    <xf numFmtId="44" fontId="25" fillId="5" borderId="28" xfId="5" applyFont="1" applyFill="1" applyBorder="1" applyProtection="1">
      <protection locked="0"/>
    </xf>
    <xf numFmtId="0" fontId="20" fillId="5" borderId="2" xfId="0" applyFont="1" applyFill="1" applyBorder="1" applyProtection="1">
      <protection locked="0"/>
    </xf>
    <xf numFmtId="0" fontId="20" fillId="5" borderId="3" xfId="0" applyFont="1" applyFill="1" applyBorder="1" applyProtection="1">
      <protection locked="0"/>
    </xf>
    <xf numFmtId="0" fontId="20" fillId="5" borderId="4" xfId="0" applyFont="1" applyFill="1" applyBorder="1" applyProtection="1">
      <protection locked="0"/>
    </xf>
    <xf numFmtId="49" fontId="5" fillId="5" borderId="27" xfId="0" applyNumberFormat="1" applyFont="1" applyFill="1" applyBorder="1" applyAlignment="1" applyProtection="1">
      <alignment horizontal="left" indent="2"/>
      <protection locked="0"/>
    </xf>
    <xf numFmtId="0" fontId="5" fillId="5" borderId="4" xfId="0" applyFont="1" applyFill="1" applyBorder="1" applyProtection="1">
      <protection locked="0"/>
    </xf>
    <xf numFmtId="166" fontId="5" fillId="5" borderId="4" xfId="5" applyNumberFormat="1" applyFont="1" applyFill="1" applyBorder="1" applyProtection="1">
      <protection locked="0"/>
    </xf>
    <xf numFmtId="9" fontId="5" fillId="5" borderId="5" xfId="1" applyFont="1" applyFill="1" applyBorder="1" applyProtection="1">
      <protection locked="0"/>
    </xf>
    <xf numFmtId="0" fontId="25" fillId="5" borderId="27" xfId="0" applyFont="1" applyFill="1" applyBorder="1" applyAlignment="1" applyProtection="1">
      <alignment horizontal="left" indent="1"/>
      <protection locked="0"/>
    </xf>
    <xf numFmtId="44" fontId="5" fillId="5" borderId="4" xfId="5" applyFont="1" applyFill="1" applyBorder="1" applyProtection="1">
      <protection locked="0"/>
    </xf>
    <xf numFmtId="0" fontId="25" fillId="5" borderId="4" xfId="0" applyFont="1" applyFill="1" applyBorder="1" applyAlignment="1" applyProtection="1">
      <alignment horizontal="left" indent="1"/>
      <protection locked="0"/>
    </xf>
    <xf numFmtId="166" fontId="25" fillId="5" borderId="4" xfId="5" applyNumberFormat="1" applyFont="1" applyFill="1" applyBorder="1" applyProtection="1">
      <protection locked="0"/>
    </xf>
    <xf numFmtId="0" fontId="25" fillId="5" borderId="4" xfId="0" applyFont="1" applyFill="1" applyBorder="1" applyProtection="1">
      <protection locked="0"/>
    </xf>
    <xf numFmtId="166" fontId="25" fillId="5" borderId="5" xfId="5" applyNumberFormat="1" applyFont="1" applyFill="1" applyBorder="1" applyProtection="1">
      <protection locked="0"/>
    </xf>
    <xf numFmtId="165" fontId="25" fillId="5" borderId="5" xfId="0" applyNumberFormat="1" applyFont="1" applyFill="1" applyBorder="1" applyProtection="1">
      <protection locked="0"/>
    </xf>
    <xf numFmtId="166" fontId="5" fillId="5" borderId="5" xfId="5" applyNumberFormat="1" applyFont="1" applyFill="1" applyBorder="1" applyProtection="1">
      <protection locked="0"/>
    </xf>
    <xf numFmtId="165" fontId="5" fillId="5" borderId="5" xfId="0" applyNumberFormat="1" applyFont="1" applyFill="1" applyBorder="1" applyProtection="1">
      <protection locked="0"/>
    </xf>
    <xf numFmtId="0" fontId="20" fillId="5" borderId="2" xfId="0" applyFont="1" applyFill="1" applyBorder="1" applyProtection="1"/>
    <xf numFmtId="0" fontId="20" fillId="5" borderId="3" xfId="0" applyFont="1" applyFill="1" applyBorder="1" applyProtection="1"/>
    <xf numFmtId="0" fontId="20" fillId="5" borderId="4" xfId="0" applyFont="1" applyFill="1" applyBorder="1" applyProtection="1"/>
    <xf numFmtId="0" fontId="3" fillId="4" borderId="21" xfId="0" applyFont="1" applyFill="1" applyBorder="1" applyProtection="1"/>
    <xf numFmtId="0" fontId="22" fillId="4" borderId="22" xfId="0" applyFont="1" applyFill="1" applyBorder="1" applyProtection="1"/>
    <xf numFmtId="0" fontId="5" fillId="4" borderId="22" xfId="0" applyFont="1" applyFill="1" applyBorder="1" applyProtection="1"/>
    <xf numFmtId="0" fontId="5" fillId="4" borderId="22" xfId="0" applyFont="1" applyFill="1" applyBorder="1" applyAlignment="1" applyProtection="1">
      <alignment horizontal="right"/>
    </xf>
    <xf numFmtId="0" fontId="5" fillId="4" borderId="23" xfId="0" applyFont="1" applyFill="1" applyBorder="1" applyProtection="1"/>
    <xf numFmtId="0" fontId="25" fillId="0" borderId="0" xfId="0" applyFont="1" applyBorder="1" applyAlignment="1" applyProtection="1">
      <alignment horizontal="center" vertical="center"/>
    </xf>
    <xf numFmtId="44" fontId="5" fillId="0" borderId="19" xfId="5" applyFont="1" applyBorder="1" applyAlignment="1" applyProtection="1">
      <alignment horizontal="center"/>
    </xf>
    <xf numFmtId="49" fontId="5" fillId="0" borderId="14" xfId="0" applyNumberFormat="1" applyFont="1" applyBorder="1" applyAlignment="1" applyProtection="1">
      <alignment horizontal="left" indent="1"/>
    </xf>
    <xf numFmtId="0" fontId="5" fillId="0" borderId="0" xfId="0" applyFont="1" applyBorder="1" applyAlignment="1" applyProtection="1">
      <alignment horizontal="center"/>
    </xf>
    <xf numFmtId="0" fontId="5" fillId="0" borderId="0" xfId="0" applyFont="1" applyBorder="1" applyAlignment="1" applyProtection="1">
      <alignment horizontal="center" vertical="center"/>
    </xf>
    <xf numFmtId="44" fontId="25" fillId="0" borderId="19" xfId="5" applyFont="1" applyBorder="1" applyAlignment="1" applyProtection="1">
      <alignment horizontal="center"/>
    </xf>
    <xf numFmtId="44" fontId="5" fillId="0" borderId="19" xfId="5" applyFont="1" applyFill="1" applyBorder="1" applyAlignment="1" applyProtection="1">
      <alignment shrinkToFit="1"/>
    </xf>
    <xf numFmtId="49" fontId="5" fillId="0" borderId="14" xfId="0" applyNumberFormat="1" applyFont="1" applyFill="1" applyBorder="1" applyAlignment="1" applyProtection="1">
      <alignment horizontal="left" indent="1"/>
    </xf>
    <xf numFmtId="0" fontId="25" fillId="0" borderId="8" xfId="0" applyFont="1" applyFill="1" applyBorder="1" applyProtection="1"/>
    <xf numFmtId="44" fontId="24" fillId="0" borderId="19" xfId="5" applyFont="1" applyFill="1" applyBorder="1" applyAlignment="1" applyProtection="1">
      <alignment shrinkToFit="1"/>
    </xf>
    <xf numFmtId="0" fontId="5" fillId="0" borderId="14" xfId="0" applyFont="1" applyBorder="1" applyAlignment="1" applyProtection="1"/>
    <xf numFmtId="49" fontId="5" fillId="0" borderId="14" xfId="0" applyNumberFormat="1" applyFont="1" applyFill="1" applyBorder="1" applyAlignment="1" applyProtection="1">
      <alignment horizontal="left" indent="2"/>
    </xf>
    <xf numFmtId="166" fontId="25" fillId="0" borderId="0" xfId="0" applyNumberFormat="1" applyFont="1" applyBorder="1" applyProtection="1"/>
    <xf numFmtId="44" fontId="28" fillId="0" borderId="19" xfId="0" applyNumberFormat="1" applyFont="1" applyBorder="1" applyProtection="1"/>
    <xf numFmtId="44" fontId="25" fillId="0" borderId="18" xfId="0" applyNumberFormat="1" applyFont="1" applyBorder="1" applyProtection="1"/>
    <xf numFmtId="0" fontId="19" fillId="0" borderId="0" xfId="0" applyFont="1" applyProtection="1"/>
    <xf numFmtId="0" fontId="20" fillId="0" borderId="0" xfId="0" applyFont="1" applyAlignment="1" applyProtection="1">
      <alignment horizontal="right"/>
    </xf>
    <xf numFmtId="0" fontId="19" fillId="6" borderId="6" xfId="0" applyFont="1" applyFill="1" applyBorder="1" applyProtection="1"/>
    <xf numFmtId="0" fontId="20" fillId="6" borderId="10" xfId="0" applyFont="1" applyFill="1" applyBorder="1" applyProtection="1"/>
    <xf numFmtId="0" fontId="20" fillId="6" borderId="10" xfId="0" applyFont="1" applyFill="1" applyBorder="1" applyAlignment="1" applyProtection="1">
      <alignment horizontal="center"/>
    </xf>
    <xf numFmtId="0" fontId="20" fillId="6" borderId="7" xfId="0" applyFont="1" applyFill="1" applyBorder="1" applyAlignment="1" applyProtection="1">
      <alignment horizontal="center"/>
    </xf>
    <xf numFmtId="0" fontId="19" fillId="6" borderId="29" xfId="0" applyFont="1" applyFill="1" applyBorder="1" applyProtection="1"/>
    <xf numFmtId="0" fontId="20" fillId="6" borderId="24" xfId="0" applyFont="1" applyFill="1" applyBorder="1" applyProtection="1"/>
    <xf numFmtId="0" fontId="20" fillId="6" borderId="24" xfId="0" applyFont="1" applyFill="1" applyBorder="1" applyAlignment="1" applyProtection="1">
      <alignment horizontal="center"/>
    </xf>
    <xf numFmtId="0" fontId="20" fillId="6" borderId="30" xfId="0" applyFont="1" applyFill="1" applyBorder="1" applyAlignment="1" applyProtection="1">
      <alignment horizontal="center"/>
    </xf>
    <xf numFmtId="166" fontId="20" fillId="0" borderId="5" xfId="0" applyNumberFormat="1" applyFont="1" applyFill="1" applyBorder="1" applyAlignment="1" applyProtection="1">
      <alignment horizontal="center"/>
    </xf>
    <xf numFmtId="166" fontId="20" fillId="0" borderId="5" xfId="5" applyNumberFormat="1" applyFont="1" applyBorder="1" applyAlignment="1" applyProtection="1">
      <alignment horizontal="center"/>
    </xf>
    <xf numFmtId="44" fontId="5" fillId="0" borderId="0" xfId="0" applyNumberFormat="1" applyFont="1" applyProtection="1"/>
    <xf numFmtId="44" fontId="20" fillId="0" borderId="0" xfId="0" applyNumberFormat="1" applyFont="1" applyProtection="1"/>
    <xf numFmtId="8" fontId="20" fillId="0" borderId="0" xfId="0" applyNumberFormat="1" applyFont="1" applyProtection="1"/>
    <xf numFmtId="0" fontId="20" fillId="0" borderId="0" xfId="0" applyFont="1" applyAlignment="1" applyProtection="1">
      <alignment horizontal="center"/>
    </xf>
    <xf numFmtId="0" fontId="19" fillId="6" borderId="2" xfId="0" applyFont="1" applyFill="1" applyBorder="1" applyProtection="1"/>
    <xf numFmtId="0" fontId="20" fillId="6" borderId="3" xfId="0" applyFont="1" applyFill="1" applyBorder="1" applyAlignment="1" applyProtection="1">
      <alignment horizontal="center"/>
    </xf>
    <xf numFmtId="0" fontId="20" fillId="6" borderId="3" xfId="0" applyFont="1" applyFill="1" applyBorder="1" applyProtection="1"/>
    <xf numFmtId="0" fontId="20" fillId="6" borderId="4" xfId="0" applyFont="1" applyFill="1" applyBorder="1" applyAlignment="1" applyProtection="1">
      <alignment horizontal="center"/>
    </xf>
    <xf numFmtId="166" fontId="20" fillId="0" borderId="31" xfId="5" applyNumberFormat="1" applyFont="1" applyBorder="1" applyAlignment="1" applyProtection="1">
      <alignment horizontal="center"/>
    </xf>
    <xf numFmtId="0" fontId="19" fillId="0" borderId="2" xfId="0" applyFont="1" applyBorder="1" applyAlignment="1" applyProtection="1">
      <alignment horizontal="left"/>
    </xf>
    <xf numFmtId="0" fontId="19" fillId="0" borderId="3" xfId="0" applyFont="1" applyBorder="1" applyProtection="1"/>
    <xf numFmtId="0" fontId="19" fillId="0" borderId="4" xfId="0" applyFont="1" applyBorder="1" applyProtection="1"/>
    <xf numFmtId="166" fontId="19" fillId="0" borderId="5" xfId="0" applyNumberFormat="1" applyFont="1" applyBorder="1" applyAlignment="1" applyProtection="1">
      <alignment horizontal="center"/>
    </xf>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19" fillId="0" borderId="4" xfId="0" applyFont="1" applyBorder="1" applyAlignment="1" applyProtection="1">
      <alignment horizontal="center"/>
    </xf>
    <xf numFmtId="166" fontId="19" fillId="0" borderId="5" xfId="5" applyNumberFormat="1" applyFont="1" applyBorder="1" applyAlignment="1" applyProtection="1">
      <alignment horizontal="center"/>
    </xf>
    <xf numFmtId="44" fontId="19" fillId="0" borderId="5" xfId="5" applyNumberFormat="1" applyFont="1" applyBorder="1" applyAlignment="1" applyProtection="1">
      <alignment horizontal="center"/>
    </xf>
    <xf numFmtId="166" fontId="20" fillId="5" borderId="5" xfId="5" applyNumberFormat="1" applyFont="1" applyFill="1" applyBorder="1" applyAlignment="1" applyProtection="1">
      <alignment horizontal="center"/>
      <protection locked="0"/>
    </xf>
    <xf numFmtId="0" fontId="20" fillId="5" borderId="5" xfId="0" applyFont="1" applyFill="1" applyBorder="1" applyAlignment="1" applyProtection="1">
      <alignment horizontal="center"/>
      <protection locked="0"/>
    </xf>
    <xf numFmtId="9" fontId="20" fillId="5" borderId="5" xfId="1" applyFont="1" applyFill="1" applyBorder="1" applyAlignment="1" applyProtection="1">
      <alignment horizontal="center"/>
      <protection locked="0"/>
    </xf>
    <xf numFmtId="0" fontId="20" fillId="5" borderId="2" xfId="0" applyFont="1" applyFill="1" applyBorder="1" applyAlignment="1" applyProtection="1">
      <alignment horizontal="center"/>
      <protection locked="0"/>
    </xf>
    <xf numFmtId="166" fontId="20" fillId="5" borderId="31" xfId="5" applyNumberFormat="1" applyFont="1" applyFill="1" applyBorder="1" applyAlignment="1" applyProtection="1">
      <alignment horizontal="center"/>
      <protection locked="0"/>
    </xf>
    <xf numFmtId="9" fontId="20" fillId="5" borderId="31" xfId="1" applyFont="1" applyFill="1" applyBorder="1" applyAlignment="1" applyProtection="1">
      <alignment horizontal="center"/>
      <protection locked="0"/>
    </xf>
    <xf numFmtId="0" fontId="20" fillId="5" borderId="29" xfId="0" applyFont="1" applyFill="1" applyBorder="1" applyAlignment="1" applyProtection="1">
      <alignment horizontal="center"/>
      <protection locked="0"/>
    </xf>
    <xf numFmtId="0" fontId="20" fillId="5" borderId="5" xfId="0" applyFont="1" applyFill="1" applyBorder="1" applyProtection="1">
      <protection locked="0"/>
    </xf>
    <xf numFmtId="0" fontId="35" fillId="0" borderId="0" xfId="2" applyFont="1" applyBorder="1" applyAlignment="1" applyProtection="1">
      <protection locked="0"/>
    </xf>
    <xf numFmtId="0" fontId="25" fillId="0" borderId="0" xfId="0" applyFont="1" applyBorder="1" applyProtection="1">
      <protection locked="0"/>
    </xf>
    <xf numFmtId="0" fontId="25" fillId="0" borderId="0" xfId="0" applyFont="1" applyFill="1" applyBorder="1" applyProtection="1">
      <protection locked="0"/>
    </xf>
    <xf numFmtId="0" fontId="37" fillId="0" borderId="0" xfId="2" applyFont="1" applyAlignment="1" applyProtection="1">
      <protection locked="0"/>
    </xf>
    <xf numFmtId="0" fontId="20" fillId="0" borderId="0" xfId="0" applyFont="1" applyProtection="1">
      <protection locked="0"/>
    </xf>
    <xf numFmtId="37" fontId="5" fillId="5" borderId="5" xfId="5" applyNumberFormat="1" applyFont="1" applyFill="1" applyBorder="1" applyProtection="1">
      <protection locked="0"/>
    </xf>
    <xf numFmtId="0" fontId="8" fillId="5" borderId="5" xfId="0" applyFont="1" applyFill="1" applyBorder="1" applyAlignment="1" applyProtection="1">
      <alignment horizontal="left"/>
    </xf>
    <xf numFmtId="0" fontId="41" fillId="0" borderId="0" xfId="2" applyFont="1" applyAlignment="1" applyProtection="1">
      <alignment horizontal="left"/>
    </xf>
    <xf numFmtId="0" fontId="6" fillId="0" borderId="0" xfId="2" applyFill="1" applyAlignment="1" applyProtection="1">
      <alignment horizontal="left"/>
    </xf>
    <xf numFmtId="0" fontId="5" fillId="0" borderId="14" xfId="0" applyFont="1" applyBorder="1" applyAlignment="1" applyProtection="1">
      <alignment horizontal="left"/>
    </xf>
    <xf numFmtId="0" fontId="5" fillId="0" borderId="0" xfId="0" applyFont="1" applyBorder="1" applyAlignment="1" applyProtection="1">
      <alignment horizontal="left"/>
    </xf>
    <xf numFmtId="0" fontId="32" fillId="6" borderId="34" xfId="0" applyFont="1" applyFill="1" applyBorder="1" applyAlignment="1" applyProtection="1">
      <alignment horizontal="center"/>
    </xf>
    <xf numFmtId="0" fontId="32" fillId="6" borderId="13" xfId="0" applyFont="1" applyFill="1" applyBorder="1" applyAlignment="1" applyProtection="1">
      <alignment horizontal="center"/>
    </xf>
    <xf numFmtId="0" fontId="3" fillId="6" borderId="29" xfId="0" applyFont="1" applyFill="1" applyBorder="1" applyAlignment="1" applyProtection="1">
      <alignment horizontal="center"/>
    </xf>
    <xf numFmtId="0" fontId="3" fillId="6" borderId="26" xfId="0" applyFont="1" applyFill="1" applyBorder="1" applyAlignment="1" applyProtection="1">
      <alignment horizontal="center"/>
    </xf>
    <xf numFmtId="164" fontId="33" fillId="6" borderId="21" xfId="3" applyFont="1" applyFill="1" applyBorder="1" applyAlignment="1" applyProtection="1">
      <alignment horizontal="left"/>
    </xf>
    <xf numFmtId="164" fontId="33" fillId="6" borderId="22" xfId="3" applyFont="1" applyFill="1" applyBorder="1" applyAlignment="1" applyProtection="1">
      <alignment horizontal="left"/>
    </xf>
    <xf numFmtId="164" fontId="33" fillId="6" borderId="33" xfId="3" applyFont="1" applyFill="1" applyBorder="1" applyAlignment="1" applyProtection="1">
      <alignment horizontal="left"/>
    </xf>
    <xf numFmtId="7" fontId="31" fillId="6" borderId="34" xfId="0" applyNumberFormat="1" applyFont="1" applyFill="1" applyBorder="1" applyAlignment="1" applyProtection="1">
      <alignment horizontal="center"/>
    </xf>
    <xf numFmtId="7" fontId="31" fillId="6" borderId="35" xfId="0" applyNumberFormat="1" applyFont="1" applyFill="1" applyBorder="1" applyAlignment="1" applyProtection="1">
      <alignment horizontal="center"/>
    </xf>
    <xf numFmtId="7" fontId="3" fillId="6" borderId="29" xfId="0" applyNumberFormat="1" applyFont="1" applyFill="1" applyBorder="1" applyAlignment="1" applyProtection="1">
      <alignment horizontal="center"/>
    </xf>
    <xf numFmtId="7" fontId="3" fillId="6" borderId="30" xfId="0" applyNumberFormat="1" applyFont="1" applyFill="1" applyBorder="1" applyAlignment="1" applyProtection="1">
      <alignment horizontal="center"/>
    </xf>
    <xf numFmtId="0" fontId="31" fillId="6" borderId="34" xfId="0" applyFont="1" applyFill="1" applyBorder="1" applyAlignment="1" applyProtection="1">
      <alignment horizontal="center"/>
    </xf>
    <xf numFmtId="0" fontId="31" fillId="6" borderId="35" xfId="0" applyFont="1" applyFill="1" applyBorder="1" applyAlignment="1" applyProtection="1">
      <alignment horizontal="center"/>
    </xf>
    <xf numFmtId="0" fontId="19" fillId="6" borderId="29" xfId="0" applyFont="1" applyFill="1" applyBorder="1" applyAlignment="1" applyProtection="1">
      <alignment horizontal="center"/>
    </xf>
    <xf numFmtId="0" fontId="19" fillId="6" borderId="30" xfId="0" applyFont="1" applyFill="1" applyBorder="1" applyAlignment="1" applyProtection="1">
      <alignment horizontal="center"/>
    </xf>
    <xf numFmtId="0" fontId="32" fillId="6" borderId="35" xfId="0" applyFont="1" applyFill="1" applyBorder="1" applyAlignment="1" applyProtection="1">
      <alignment horizontal="center"/>
    </xf>
    <xf numFmtId="0" fontId="3" fillId="6" borderId="30" xfId="0" applyFont="1" applyFill="1" applyBorder="1" applyAlignment="1" applyProtection="1">
      <alignment horizontal="center"/>
    </xf>
    <xf numFmtId="0" fontId="5" fillId="5" borderId="28" xfId="0" applyFont="1" applyFill="1" applyBorder="1" applyAlignment="1" applyProtection="1">
      <alignment horizontal="left" indent="1"/>
      <protection locked="0"/>
    </xf>
    <xf numFmtId="0" fontId="5" fillId="5" borderId="5" xfId="0" applyFont="1" applyFill="1" applyBorder="1" applyAlignment="1" applyProtection="1">
      <alignment horizontal="left" indent="1"/>
      <protection locked="0"/>
    </xf>
    <xf numFmtId="0" fontId="5" fillId="0" borderId="0" xfId="2" applyFont="1" applyFill="1" applyBorder="1" applyAlignment="1" applyProtection="1">
      <alignment horizontal="left" wrapText="1"/>
    </xf>
    <xf numFmtId="0" fontId="6" fillId="0" borderId="0" xfId="2" applyFont="1" applyFill="1" applyBorder="1" applyAlignment="1" applyProtection="1">
      <alignment horizontal="left" wrapText="1"/>
    </xf>
    <xf numFmtId="0" fontId="5"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5" fillId="0" borderId="0" xfId="2" applyFont="1" applyAlignment="1" applyProtection="1">
      <alignment horizontal="left" wrapText="1"/>
      <protection locked="0"/>
    </xf>
    <xf numFmtId="0" fontId="5" fillId="3" borderId="2" xfId="0" applyFont="1" applyFill="1" applyBorder="1" applyAlignment="1" applyProtection="1">
      <alignment horizontal="left"/>
    </xf>
    <xf numFmtId="0" fontId="5" fillId="3" borderId="3" xfId="0" applyFont="1" applyFill="1" applyBorder="1" applyAlignment="1" applyProtection="1">
      <alignment horizontal="left"/>
    </xf>
    <xf numFmtId="0" fontId="5" fillId="3" borderId="4" xfId="0" applyFont="1" applyFill="1" applyBorder="1" applyAlignment="1" applyProtection="1">
      <alignment horizontal="left"/>
    </xf>
    <xf numFmtId="0" fontId="25" fillId="5" borderId="28" xfId="0" applyFont="1" applyFill="1" applyBorder="1" applyAlignment="1" applyProtection="1">
      <alignment horizontal="left" indent="1"/>
      <protection locked="0"/>
    </xf>
    <xf numFmtId="0" fontId="25" fillId="5" borderId="5" xfId="0" applyFont="1" applyFill="1" applyBorder="1" applyAlignment="1" applyProtection="1">
      <alignment horizontal="left" indent="1"/>
      <protection locked="0"/>
    </xf>
    <xf numFmtId="0" fontId="4" fillId="5" borderId="5" xfId="0" applyFont="1" applyFill="1" applyBorder="1" applyAlignment="1" applyProtection="1">
      <alignment horizontal="left"/>
      <protection locked="0"/>
    </xf>
    <xf numFmtId="0" fontId="4" fillId="5" borderId="32" xfId="0" applyFont="1" applyFill="1" applyBorder="1" applyAlignment="1" applyProtection="1">
      <alignment horizontal="left"/>
      <protection locked="0"/>
    </xf>
    <xf numFmtId="0" fontId="37" fillId="0" borderId="0" xfId="2" applyFont="1" applyAlignment="1" applyProtection="1">
      <alignment horizontal="left"/>
      <protection locked="0"/>
    </xf>
    <xf numFmtId="0" fontId="42" fillId="0" borderId="0" xfId="0" applyFont="1" applyAlignment="1">
      <alignment horizontal="left" wrapText="1"/>
    </xf>
  </cellXfs>
  <cellStyles count="8">
    <cellStyle name="Comma" xfId="7" builtinId="3"/>
    <cellStyle name="Currency" xfId="5" builtinId="4"/>
    <cellStyle name="Hyperlink" xfId="2" builtinId="8"/>
    <cellStyle name="Normal" xfId="0" builtinId="0"/>
    <cellStyle name="Normal 2" xfId="6"/>
    <cellStyle name="Normal_2007 Livestock Budgets ann" xfId="4"/>
    <cellStyle name="Normal_A" xfId="3"/>
    <cellStyle name="Percent" xfId="1" builtinId="5"/>
  </cellStyles>
  <dxfs count="0"/>
  <tableStyles count="0" defaultTableStyle="TableStyleMedium2" defaultPivotStyle="PivotStyleLight16"/>
  <colors>
    <mruColors>
      <color rgb="FFFFFFCC"/>
      <color rgb="FFFFF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9</xdr:col>
      <xdr:colOff>488381</xdr:colOff>
      <xdr:row>22</xdr:row>
      <xdr:rowOff>84220</xdr:rowOff>
    </xdr:from>
    <xdr:ext cx="2926080" cy="52427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9056" y="4132345"/>
          <a:ext cx="2926080" cy="5242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120317</xdr:colOff>
      <xdr:row>4</xdr:row>
      <xdr:rowOff>92248</xdr:rowOff>
    </xdr:from>
    <xdr:to>
      <xdr:col>15</xdr:col>
      <xdr:colOff>721896</xdr:colOff>
      <xdr:row>18</xdr:row>
      <xdr:rowOff>161031</xdr:rowOff>
    </xdr:to>
    <xdr:pic>
      <xdr:nvPicPr>
        <xdr:cNvPr id="5" name="Picture 4" descr="https://dl.boxcloud.com/api/2.0/internal_files/350207117303/versions/370006196903/representations/jpg_paged_2048x2048/content/1.jpg?access_token=1!CtF70iqRbDPB1bk8F7oDLf-_GSPXYdnpxGBRTOI0QyT3AKByq9cq9Yrs4gFeP1wk59nddxM0Tp7Cl05ckGh8p-yuhbn5slV3AGDLffyvuTcK1jYR-K0I2ZTZ1W-FYL_AGwxqjM8ysFx7ACF05-FrISILvW5t0nqamJQ1gzPC36qN1E9ZftDnuHZGh8IbXgF0KeV-g0AWZyyZAfRMwyEt8prpq33UBEuozZSpLJM7Mb6i3IkqcYRwtmTCctRuX_5sIPCCMM9szIYQTZcsy2c5pO9UdmFSTDmr1VlTSUqVSWkkt5F9OF7uYHNR-EsTga_Qxpw6FQXv1UBrWD_b1tAxqzzbAJK1XV03fmMmzmp-2O0NiZi7rZWZTVlKuslTGB17C4UpZuq9TyZgvakYcV6mqGQHJJZQZsmDIGjt2Vq_-1ZmLSy8MYyLjQs_Re5xA3NkpjWlGBCpMg5-cxUBWJS3k8xZ1-ZkT3YbpF11w9EQmg-kWqRZPTyf_gNCuvPm_gAMSIKd0C5isj8t2Ir2oQZnQhkw0Dg1YwORhEPSe4LdpFbKrWKGCvez6NRf9ABFLOc6&amp;box_client_name=box-content-preview&amp;box_client_version=1.61.0">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2054" y="884327"/>
          <a:ext cx="4301289" cy="2404915"/>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932447</xdr:colOff>
      <xdr:row>4</xdr:row>
      <xdr:rowOff>81074</xdr:rowOff>
    </xdr:from>
    <xdr:to>
      <xdr:col>20</xdr:col>
      <xdr:colOff>151396</xdr:colOff>
      <xdr:row>22</xdr:row>
      <xdr:rowOff>120316</xdr:rowOff>
    </xdr:to>
    <xdr:pic>
      <xdr:nvPicPr>
        <xdr:cNvPr id="6" name="Picture 5" descr="https://dl.boxcloud.com/api/2.0/internal_files/350201845264/versions/369999067264/representations/jpg_paged_2048x2048/content/1.jpg?access_token=1!0h1TNXfADJBkAK3ipR4Dt6KaSFxxsSQboGV3vsNaWTpKtf3x52Zz0OCF2CUJXslsQzjUg5J__knwQE0U3Wsal0VzlpACW2lSJMZK0OuU1idanjhh2TQJ35hpgd7dWXunuIaBjZ_pmn5IlTokRJ0Fe5P1YkDd6movyefFvDgvnXriqeCYDMt3s7g9gue1q4uxgqD3vwaRVZrAKSWMAMjZBYzmRyWEOQvTyRAKvBkdj1ZDe9_z0XH6ytN4NiAkiXCCQfd7ny1YMAdoJbf7yuznKzqLrjfLsQQ2Fve0GxOsuY4XSMPSjHQjcG5lhOYdW-4QBeiGA6kl7JTCriCGKsAfkGAGO-4ZEn9aHhNCE5Vf8g-GSPE3K4pfXfuwxHu7rhYOiXtKd18N26_M5J201JPc2sG-PqhbOrySjdkg0dTllugK5pMOp6SST_h4BLcY7lnPVQISIetkqdLb55sp4ZY47tXKP2j4REPiJba3-rPbKIpa4y3rqkX4Sef1GyzPIrIDR72_JD8xTOFNgAd8LoSsU_l9SPXEWxJzcDGTJQpdygvsCB0FElb-pb8TgbLEucOH&amp;box_client_name=box-content-preview&amp;box_client_version=1.61.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3894" y="873153"/>
          <a:ext cx="2657976" cy="309726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SU color palette">
      <a:dk1>
        <a:sysClr val="windowText" lastClr="000000"/>
      </a:dk1>
      <a:lt1>
        <a:sysClr val="window" lastClr="FFFFFF"/>
      </a:lt1>
      <a:dk2>
        <a:srgbClr val="1F497D"/>
      </a:dk2>
      <a:lt2>
        <a:srgbClr val="EEECE1"/>
      </a:lt2>
      <a:accent1>
        <a:srgbClr val="C8102E"/>
      </a:accent1>
      <a:accent2>
        <a:srgbClr val="F1BE48"/>
      </a:accent2>
      <a:accent3>
        <a:srgbClr val="A9A393"/>
      </a:accent3>
      <a:accent4>
        <a:srgbClr val="006BA6"/>
      </a:accent4>
      <a:accent5>
        <a:srgbClr val="CAC7A7"/>
      </a:accent5>
      <a:accent6>
        <a:srgbClr val="F8DFA4"/>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euken@iastate.edu" TargetMode="External"/><Relationship Id="rId2" Type="http://schemas.openxmlformats.org/officeDocument/2006/relationships/hyperlink" Target="mailto:reuken@iastate.edu?subject=Cow%20herd%20budget%20model" TargetMode="External"/><Relationship Id="rId1" Type="http://schemas.openxmlformats.org/officeDocument/2006/relationships/hyperlink" Target="https://www.extension.iastate.edu/agdm/livestock/html/b1-21.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euken@iastate.edu?subject=Cow%20herd%20budget%20model"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xtension.iastate.edu/agdm/livestock/html/b1-21.html" TargetMode="External"/><Relationship Id="rId7" Type="http://schemas.openxmlformats.org/officeDocument/2006/relationships/vmlDrawing" Target="../drawings/vmlDrawing1.vm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extension.iastate.edu/agdm/livestock/html/b1-2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workbookViewId="0"/>
  </sheetViews>
  <sheetFormatPr defaultColWidth="9" defaultRowHeight="14.25"/>
  <cols>
    <col min="1" max="16384" width="9" style="25"/>
  </cols>
  <sheetData>
    <row r="1" spans="1:9" s="26" customFormat="1" ht="18.75" thickBot="1">
      <c r="A1" s="26" t="s">
        <v>265</v>
      </c>
    </row>
    <row r="2" spans="1:9" s="5" customFormat="1" ht="15.75" thickTop="1">
      <c r="A2" s="27" t="s">
        <v>0</v>
      </c>
      <c r="B2" s="6"/>
    </row>
    <row r="3" spans="1:9" s="5" customFormat="1" ht="12.75" customHeight="1">
      <c r="A3" s="422" t="s">
        <v>342</v>
      </c>
      <c r="B3" s="422"/>
      <c r="C3" s="422"/>
      <c r="D3" s="422"/>
      <c r="E3" s="422"/>
      <c r="F3" s="422"/>
      <c r="G3" s="422"/>
      <c r="H3" s="422"/>
      <c r="I3" s="422"/>
    </row>
    <row r="4" spans="1:9" s="5" customFormat="1" ht="12.75">
      <c r="A4" s="29"/>
      <c r="B4" s="28"/>
      <c r="C4" s="28"/>
      <c r="D4" s="28"/>
      <c r="E4" s="28"/>
      <c r="F4" s="28"/>
      <c r="G4" s="28"/>
      <c r="H4" s="28"/>
      <c r="I4" s="28"/>
    </row>
    <row r="5" spans="1:9" s="5" customFormat="1" ht="12.75">
      <c r="A5" s="420" t="s">
        <v>2</v>
      </c>
      <c r="B5" s="420"/>
      <c r="C5" s="420"/>
      <c r="D5" s="420"/>
    </row>
    <row r="7" spans="1:9" ht="15">
      <c r="A7" s="24" t="s">
        <v>252</v>
      </c>
    </row>
    <row r="8" spans="1:9">
      <c r="A8" s="25" t="s">
        <v>300</v>
      </c>
    </row>
    <row r="9" spans="1:9">
      <c r="A9" s="25" t="s">
        <v>266</v>
      </c>
    </row>
    <row r="11" spans="1:9" ht="15">
      <c r="A11" s="65" t="s">
        <v>333</v>
      </c>
      <c r="B11" s="63"/>
      <c r="C11" s="63"/>
      <c r="D11" s="63"/>
      <c r="E11" s="63"/>
      <c r="F11" s="63"/>
      <c r="G11" s="63"/>
    </row>
    <row r="12" spans="1:9">
      <c r="A12" s="65"/>
      <c r="B12" s="63"/>
      <c r="C12" s="63"/>
      <c r="D12" s="63"/>
      <c r="E12" s="63"/>
      <c r="F12" s="63"/>
      <c r="G12" s="63"/>
    </row>
    <row r="13" spans="1:9">
      <c r="A13" s="25" t="s">
        <v>331</v>
      </c>
    </row>
    <row r="14" spans="1:9">
      <c r="A14" s="25" t="s">
        <v>253</v>
      </c>
    </row>
    <row r="15" spans="1:9" ht="15">
      <c r="A15" s="66" t="s">
        <v>334</v>
      </c>
      <c r="B15" s="66"/>
      <c r="D15" s="66" t="s">
        <v>335</v>
      </c>
      <c r="E15" s="66"/>
      <c r="F15" s="66"/>
    </row>
    <row r="16" spans="1:9" ht="15">
      <c r="A16" s="66"/>
      <c r="B16" s="66"/>
      <c r="D16" s="66"/>
      <c r="E16" s="66"/>
      <c r="F16" s="66"/>
    </row>
    <row r="17" spans="1:16">
      <c r="A17" s="25" t="s">
        <v>301</v>
      </c>
    </row>
    <row r="18" spans="1:16">
      <c r="A18" s="25" t="s">
        <v>332</v>
      </c>
    </row>
    <row r="20" spans="1:16" ht="15">
      <c r="A20" s="65" t="s">
        <v>330</v>
      </c>
      <c r="B20" s="65"/>
      <c r="C20" s="65"/>
      <c r="D20" s="65"/>
      <c r="E20" s="65"/>
      <c r="F20" s="65"/>
      <c r="G20" s="65"/>
      <c r="H20" s="65"/>
      <c r="I20" s="65"/>
      <c r="J20" s="65"/>
      <c r="K20" s="65"/>
      <c r="L20" s="65"/>
      <c r="M20" s="65"/>
      <c r="N20" s="65"/>
      <c r="O20" s="65"/>
    </row>
    <row r="21" spans="1:16">
      <c r="A21" s="65" t="s">
        <v>267</v>
      </c>
      <c r="B21" s="65"/>
      <c r="C21" s="65"/>
      <c r="D21" s="65"/>
      <c r="E21" s="65"/>
      <c r="F21" s="65"/>
      <c r="G21" s="65"/>
      <c r="H21" s="65"/>
      <c r="I21" s="65"/>
      <c r="J21" s="65"/>
      <c r="K21" s="65"/>
      <c r="L21" s="65"/>
      <c r="M21" s="65"/>
      <c r="N21" s="65"/>
      <c r="O21" s="65"/>
    </row>
    <row r="23" spans="1:16">
      <c r="A23" s="43" t="s">
        <v>344</v>
      </c>
    </row>
    <row r="24" spans="1:16">
      <c r="A24" s="11" t="s">
        <v>336</v>
      </c>
      <c r="B24" s="36"/>
      <c r="C24" s="3"/>
      <c r="D24" s="3"/>
      <c r="E24" s="5"/>
      <c r="F24" s="3"/>
      <c r="G24" s="3"/>
      <c r="H24" s="3"/>
      <c r="I24" s="5"/>
      <c r="J24" s="5"/>
      <c r="K24" s="5"/>
      <c r="L24" s="4"/>
      <c r="P24" s="13"/>
    </row>
    <row r="25" spans="1:16">
      <c r="A25" s="29" t="s">
        <v>26</v>
      </c>
      <c r="B25" s="29"/>
      <c r="C25" s="5"/>
      <c r="D25" s="5"/>
      <c r="E25" s="5"/>
      <c r="F25" s="3"/>
      <c r="G25" s="3"/>
      <c r="H25" s="3"/>
      <c r="I25" s="5"/>
      <c r="J25" s="5"/>
      <c r="K25" s="5"/>
      <c r="L25" s="4"/>
      <c r="P25" s="13"/>
    </row>
    <row r="26" spans="1:16">
      <c r="A26" s="37">
        <f ca="1">TODAY()</f>
        <v>43619</v>
      </c>
      <c r="B26" s="37"/>
      <c r="C26" s="37"/>
      <c r="D26" s="3"/>
      <c r="E26" s="3"/>
      <c r="F26" s="3"/>
      <c r="G26" s="12"/>
      <c r="H26" s="3"/>
      <c r="I26" s="5"/>
      <c r="J26" s="5"/>
      <c r="K26" s="5"/>
      <c r="L26" s="4"/>
      <c r="M26" s="5"/>
      <c r="N26" s="5"/>
      <c r="P26" s="33"/>
    </row>
    <row r="27" spans="1:16">
      <c r="P27" s="33"/>
    </row>
    <row r="28" spans="1:16" ht="33.75" customHeight="1">
      <c r="A28" s="457" t="s">
        <v>343</v>
      </c>
      <c r="B28" s="457"/>
      <c r="C28" s="457"/>
      <c r="D28" s="457"/>
      <c r="E28" s="457"/>
      <c r="F28" s="457"/>
      <c r="G28" s="457"/>
      <c r="H28" s="457"/>
      <c r="I28" s="457"/>
      <c r="J28" s="457"/>
      <c r="K28" s="457"/>
      <c r="L28" s="457"/>
      <c r="M28" s="457"/>
      <c r="N28" s="457"/>
      <c r="O28" s="457"/>
      <c r="P28" s="13"/>
    </row>
    <row r="29" spans="1:16">
      <c r="M29" s="5"/>
      <c r="N29" s="5"/>
      <c r="P29" s="13"/>
    </row>
    <row r="32" spans="1:16" ht="20.25" customHeight="1">
      <c r="A32" s="421" t="s">
        <v>341</v>
      </c>
      <c r="B32" s="421"/>
      <c r="C32" s="421"/>
      <c r="D32" s="421"/>
      <c r="E32" s="421"/>
      <c r="F32" s="421"/>
      <c r="G32" s="421"/>
      <c r="H32" s="421"/>
      <c r="I32" s="421"/>
      <c r="J32" s="421"/>
      <c r="K32" s="421"/>
      <c r="L32" s="421"/>
      <c r="M32" s="421"/>
      <c r="N32" s="421"/>
      <c r="O32" s="421"/>
    </row>
  </sheetData>
  <sheetProtection sheet="1" objects="1" scenarios="1"/>
  <mergeCells count="4">
    <mergeCell ref="A5:D5"/>
    <mergeCell ref="A28:O28"/>
    <mergeCell ref="A32:O32"/>
    <mergeCell ref="A3:I3"/>
  </mergeCells>
  <hyperlinks>
    <hyperlink ref="A3" r:id="rId1"/>
    <hyperlink ref="A20:O21" location="'Investment analysis'!A1" display="The investment analysis tab provides a way to calculate overall total invesment, down payment, and annual principal and interest costs for "/>
    <hyperlink ref="A11:G11" location="'Budget comparison'!A1" display="The budget comparison tab shows all four budgets side-by-side. "/>
    <hyperlink ref="A15:B15" location="'Feed budgeting'!A1" display="Feed budgeting"/>
    <hyperlink ref="D15:F15" location="'Fixed cost budgeting'!A1" display="Fixed cost budgeting"/>
    <hyperlink ref="A24" r:id="rId2"/>
    <hyperlink ref="A32" r:id="rId3" display="mailto:reuken@iastate.edu"/>
    <hyperlink ref="A32:O32" r:id="rId4" display="This decision tool is in the testing phase. Please send questions, feedback, or suggestions for the final version to Russ Euken, reuken@iastate.edu"/>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23"/>
  <sheetViews>
    <sheetView showGridLines="0" zoomScale="90" zoomScaleNormal="90" workbookViewId="0">
      <selection activeCell="C11" sqref="C11:E11"/>
    </sheetView>
  </sheetViews>
  <sheetFormatPr defaultColWidth="9" defaultRowHeight="14.25"/>
  <cols>
    <col min="1" max="1" width="13.42578125" style="105" customWidth="1"/>
    <col min="2" max="2" width="9.42578125" style="105" customWidth="1"/>
    <col min="3" max="3" width="11.85546875" style="105" customWidth="1"/>
    <col min="4" max="4" width="8.42578125" style="105" customWidth="1"/>
    <col min="5" max="5" width="3.140625" style="105" customWidth="1"/>
    <col min="6" max="6" width="7.5703125" style="105" customWidth="1"/>
    <col min="7" max="7" width="4.85546875" style="105" customWidth="1"/>
    <col min="8" max="8" width="3.140625" style="105" customWidth="1"/>
    <col min="9" max="10" width="5.42578125" style="105" customWidth="1"/>
    <col min="11" max="11" width="3.42578125" style="105" customWidth="1"/>
    <col min="12" max="12" width="15.42578125" style="105" customWidth="1"/>
    <col min="13" max="13" width="14.42578125" style="105" customWidth="1"/>
    <col min="14" max="14" width="1.42578125" style="105" customWidth="1"/>
    <col min="15" max="15" width="14.85546875" style="105" customWidth="1"/>
    <col min="16" max="16" width="15.140625" style="105" customWidth="1"/>
    <col min="17" max="17" width="1.5703125" style="105" customWidth="1"/>
    <col min="18" max="19" width="16.42578125" style="105" customWidth="1"/>
    <col min="20" max="20" width="1.5703125" style="105" customWidth="1"/>
    <col min="21" max="21" width="15.5703125" style="105" customWidth="1"/>
    <col min="22" max="22" width="16.140625" style="105" customWidth="1"/>
    <col min="23" max="23" width="9" style="105"/>
    <col min="24" max="24" width="10" style="105" bestFit="1" customWidth="1"/>
    <col min="25" max="25" width="9" style="105"/>
    <col min="26" max="26" width="10.5703125" style="105" customWidth="1"/>
    <col min="27" max="27" width="9" style="105"/>
    <col min="28" max="28" width="11.42578125" style="105" customWidth="1"/>
    <col min="29" max="29" width="9.5703125" style="105" customWidth="1"/>
    <col min="30" max="31" width="9" style="105"/>
    <col min="32" max="32" width="12.42578125" style="105" customWidth="1"/>
    <col min="33" max="33" width="9" style="105"/>
    <col min="34" max="34" width="11.42578125" style="105" bestFit="1" customWidth="1"/>
    <col min="35" max="35" width="13.42578125" style="105" customWidth="1"/>
    <col min="36" max="39" width="9.140625" style="105" bestFit="1" customWidth="1"/>
    <col min="40" max="40" width="13.42578125" style="105" customWidth="1"/>
    <col min="41" max="41" width="11.42578125" style="105" customWidth="1"/>
    <col min="42" max="42" width="11.85546875" style="105" customWidth="1"/>
    <col min="43" max="46" width="9" style="105"/>
    <col min="47" max="47" width="9.140625" style="105" bestFit="1" customWidth="1"/>
    <col min="48" max="49" width="9" style="105"/>
    <col min="50" max="50" width="13.42578125" style="105" customWidth="1"/>
    <col min="51" max="54" width="9.140625" style="105" bestFit="1" customWidth="1"/>
    <col min="55" max="55" width="9.42578125" style="105" bestFit="1" customWidth="1"/>
    <col min="56" max="56" width="9.140625" style="105" bestFit="1" customWidth="1"/>
    <col min="57" max="57" width="11.5703125" style="105" bestFit="1" customWidth="1"/>
    <col min="58" max="16384" width="9" style="105"/>
  </cols>
  <sheetData>
    <row r="1" spans="1:59" s="103" customFormat="1" ht="18.75" thickBot="1">
      <c r="A1" s="103" t="s">
        <v>304</v>
      </c>
    </row>
    <row r="2" spans="1:59" ht="15.75" thickTop="1">
      <c r="A2" s="1" t="s">
        <v>0</v>
      </c>
      <c r="B2" s="1"/>
      <c r="C2" s="2"/>
      <c r="D2" s="3"/>
      <c r="E2" s="3"/>
      <c r="F2" s="3"/>
      <c r="G2" s="3"/>
      <c r="H2" s="3"/>
      <c r="I2" s="3"/>
      <c r="J2" s="3"/>
      <c r="K2" s="3"/>
      <c r="L2" s="104"/>
      <c r="M2" s="3"/>
      <c r="N2" s="3"/>
      <c r="P2" s="19"/>
      <c r="Q2" s="19"/>
      <c r="R2" s="19"/>
      <c r="S2" s="20"/>
      <c r="T2" s="20"/>
      <c r="U2" s="15"/>
      <c r="V2" s="15"/>
      <c r="W2" s="15"/>
      <c r="X2" s="15"/>
      <c r="Y2" s="15"/>
      <c r="Z2" s="15"/>
      <c r="AA2" s="15"/>
      <c r="AB2" s="15"/>
      <c r="AC2" s="21"/>
      <c r="AD2" s="15"/>
      <c r="AE2" s="106"/>
      <c r="AF2" s="19"/>
      <c r="AG2" s="19"/>
      <c r="AH2" s="20"/>
      <c r="AI2" s="15"/>
      <c r="AJ2" s="15"/>
      <c r="AK2" s="15"/>
      <c r="AL2" s="15"/>
      <c r="AM2" s="15"/>
      <c r="AN2" s="15"/>
      <c r="AO2" s="15"/>
      <c r="AP2" s="15"/>
      <c r="AQ2" s="21"/>
      <c r="AR2" s="15"/>
      <c r="AS2" s="106"/>
      <c r="AT2" s="106"/>
      <c r="AU2" s="19"/>
      <c r="AV2" s="19"/>
      <c r="AW2" s="20"/>
      <c r="AX2" s="15"/>
      <c r="AY2" s="15"/>
      <c r="AZ2" s="15"/>
      <c r="BA2" s="15"/>
      <c r="BB2" s="15"/>
      <c r="BC2" s="15"/>
      <c r="BD2" s="15"/>
      <c r="BE2" s="15"/>
      <c r="BF2" s="21"/>
      <c r="BG2" s="15"/>
    </row>
    <row r="3" spans="1:59" ht="15" customHeight="1">
      <c r="A3" s="448" t="s">
        <v>283</v>
      </c>
      <c r="B3" s="448"/>
      <c r="C3" s="448"/>
      <c r="D3" s="448"/>
      <c r="E3" s="448"/>
      <c r="F3" s="448"/>
      <c r="G3" s="448"/>
      <c r="H3" s="448"/>
      <c r="I3" s="448"/>
      <c r="J3" s="448"/>
      <c r="K3" s="448"/>
      <c r="L3" s="3"/>
      <c r="M3" s="3"/>
      <c r="N3" s="3"/>
      <c r="P3" s="47"/>
      <c r="Q3" s="47"/>
      <c r="U3" s="48"/>
      <c r="V3" s="48"/>
      <c r="W3" s="48"/>
      <c r="X3" s="48"/>
      <c r="Y3" s="48"/>
      <c r="Z3" s="48"/>
      <c r="AA3" s="48"/>
      <c r="AB3" s="48"/>
      <c r="AC3" s="15"/>
      <c r="AD3" s="15"/>
      <c r="AE3" s="106"/>
      <c r="AF3" s="444"/>
      <c r="AG3" s="445"/>
      <c r="AH3" s="445"/>
      <c r="AI3" s="445"/>
      <c r="AJ3" s="445"/>
      <c r="AK3" s="445"/>
      <c r="AL3" s="445"/>
      <c r="AM3" s="445"/>
      <c r="AN3" s="445"/>
      <c r="AO3" s="445"/>
      <c r="AP3" s="445"/>
      <c r="AQ3" s="15"/>
      <c r="AR3" s="15"/>
      <c r="AS3" s="106"/>
      <c r="AT3" s="106"/>
      <c r="AU3" s="15"/>
      <c r="AV3" s="15"/>
    </row>
    <row r="4" spans="1:59" s="76" customFormat="1" ht="12.75">
      <c r="A4" s="3"/>
      <c r="B4" s="3"/>
      <c r="C4" s="3"/>
      <c r="D4" s="3"/>
      <c r="E4" s="3"/>
      <c r="F4" s="3"/>
      <c r="G4" s="3"/>
      <c r="H4" s="3"/>
      <c r="I4" s="3"/>
      <c r="J4" s="3"/>
      <c r="U4" s="15"/>
      <c r="V4" s="15"/>
      <c r="W4" s="15"/>
      <c r="X4" s="15"/>
      <c r="Y4" s="15"/>
      <c r="Z4" s="15"/>
      <c r="AA4" s="15"/>
      <c r="AB4" s="15"/>
      <c r="AC4" s="21"/>
      <c r="AD4" s="15"/>
      <c r="AE4" s="72"/>
      <c r="AF4" s="15"/>
      <c r="AG4" s="15"/>
      <c r="AH4" s="15"/>
      <c r="AI4" s="15"/>
      <c r="AJ4" s="15"/>
      <c r="AK4" s="15"/>
      <c r="AL4" s="15"/>
      <c r="AM4" s="15"/>
      <c r="AN4" s="15"/>
      <c r="AO4" s="15"/>
      <c r="AP4" s="15"/>
      <c r="AQ4" s="21"/>
      <c r="AR4" s="15"/>
      <c r="AS4" s="72"/>
      <c r="AT4" s="72"/>
      <c r="AU4" s="21"/>
      <c r="AV4" s="15"/>
    </row>
    <row r="5" spans="1:59" s="76" customFormat="1" ht="12.75">
      <c r="A5" s="60" t="s">
        <v>1</v>
      </c>
      <c r="B5" s="60"/>
      <c r="C5" s="60"/>
      <c r="D5" s="60"/>
      <c r="E5" s="44"/>
      <c r="F5" s="44"/>
      <c r="G5" s="44"/>
      <c r="H5" s="44"/>
      <c r="I5" s="44"/>
      <c r="J5" s="44"/>
      <c r="U5" s="45"/>
      <c r="V5" s="45"/>
      <c r="W5" s="45"/>
      <c r="X5" s="45"/>
      <c r="Y5" s="45"/>
      <c r="Z5" s="45"/>
      <c r="AA5" s="45"/>
      <c r="AB5" s="72"/>
      <c r="AC5" s="107"/>
      <c r="AD5" s="72"/>
      <c r="AE5" s="72"/>
      <c r="AF5" s="446"/>
      <c r="AG5" s="446"/>
      <c r="AH5" s="446"/>
      <c r="AI5" s="446"/>
      <c r="AJ5" s="45"/>
      <c r="AK5" s="45"/>
      <c r="AL5" s="45"/>
      <c r="AM5" s="45"/>
      <c r="AN5" s="45"/>
      <c r="AO5" s="45"/>
      <c r="AP5" s="72"/>
      <c r="AQ5" s="107"/>
      <c r="AR5" s="72"/>
      <c r="AS5" s="72"/>
      <c r="AT5" s="72"/>
      <c r="AU5" s="107"/>
      <c r="AV5" s="72"/>
    </row>
    <row r="6" spans="1:59" s="76" customFormat="1" ht="12.75">
      <c r="A6" s="449" t="s">
        <v>2</v>
      </c>
      <c r="B6" s="450"/>
      <c r="C6" s="451"/>
      <c r="D6" s="45"/>
      <c r="E6" s="45"/>
      <c r="F6" s="45"/>
      <c r="U6" s="45"/>
      <c r="V6" s="45"/>
      <c r="W6" s="45"/>
      <c r="X6" s="72"/>
      <c r="Y6" s="72"/>
      <c r="Z6" s="72"/>
      <c r="AA6" s="72"/>
      <c r="AB6" s="72"/>
      <c r="AC6" s="107"/>
      <c r="AD6" s="72"/>
      <c r="AE6" s="72"/>
      <c r="AF6" s="446"/>
      <c r="AG6" s="446"/>
      <c r="AH6" s="446"/>
      <c r="AI6" s="45"/>
      <c r="AJ6" s="45"/>
      <c r="AK6" s="45"/>
      <c r="AL6" s="72"/>
      <c r="AM6" s="72"/>
      <c r="AN6" s="72"/>
      <c r="AO6" s="72"/>
      <c r="AP6" s="72"/>
      <c r="AQ6" s="107"/>
      <c r="AR6" s="72"/>
      <c r="AS6" s="72"/>
      <c r="AT6" s="72"/>
      <c r="AU6" s="107"/>
      <c r="AV6" s="72"/>
    </row>
    <row r="7" spans="1:59" s="76" customFormat="1" ht="12.75">
      <c r="A7" s="3"/>
      <c r="B7" s="3"/>
      <c r="C7" s="3"/>
      <c r="D7" s="2"/>
      <c r="G7" s="2"/>
      <c r="H7" s="2"/>
      <c r="I7" s="3"/>
      <c r="J7" s="3"/>
      <c r="U7" s="20"/>
      <c r="V7" s="72"/>
      <c r="W7" s="72"/>
      <c r="X7" s="20"/>
      <c r="Y7" s="20"/>
      <c r="Z7" s="15"/>
      <c r="AA7" s="15"/>
      <c r="AB7" s="15"/>
      <c r="AC7" s="21"/>
      <c r="AD7" s="15"/>
      <c r="AE7" s="72"/>
      <c r="AF7" s="15"/>
      <c r="AG7" s="15"/>
      <c r="AH7" s="15"/>
      <c r="AI7" s="20"/>
      <c r="AJ7" s="72"/>
      <c r="AK7" s="72"/>
      <c r="AL7" s="20"/>
      <c r="AM7" s="20"/>
      <c r="AN7" s="15"/>
      <c r="AO7" s="15"/>
      <c r="AP7" s="15"/>
      <c r="AQ7" s="21"/>
      <c r="AR7" s="15"/>
      <c r="AS7" s="72"/>
      <c r="AT7" s="72"/>
      <c r="AU7" s="21"/>
      <c r="AV7" s="15"/>
    </row>
    <row r="8" spans="1:59" s="76" customFormat="1" ht="13.5" thickBot="1">
      <c r="E8" s="7"/>
      <c r="F8" s="3"/>
      <c r="G8" s="23"/>
      <c r="H8" s="3"/>
      <c r="I8" s="3"/>
      <c r="J8" s="3"/>
      <c r="U8" s="108"/>
      <c r="V8" s="7"/>
      <c r="W8" s="15"/>
      <c r="X8" s="15"/>
      <c r="Y8" s="15"/>
      <c r="Z8" s="15"/>
      <c r="AA8" s="15"/>
      <c r="AB8" s="15"/>
      <c r="AC8" s="21"/>
      <c r="AD8" s="15"/>
      <c r="AE8" s="72"/>
      <c r="AF8" s="447"/>
      <c r="AG8" s="447"/>
      <c r="AH8" s="447"/>
      <c r="AI8" s="447"/>
      <c r="AJ8" s="7"/>
      <c r="AK8" s="15"/>
      <c r="AL8" s="15"/>
      <c r="AM8" s="15"/>
      <c r="AN8" s="15"/>
      <c r="AO8" s="15"/>
      <c r="AP8" s="15"/>
      <c r="AQ8" s="21"/>
      <c r="AR8" s="15"/>
      <c r="AS8" s="72"/>
      <c r="AT8" s="72"/>
      <c r="AU8" s="21"/>
      <c r="AV8" s="15"/>
    </row>
    <row r="9" spans="1:59" s="76" customFormat="1" ht="18">
      <c r="A9" s="51" t="s">
        <v>302</v>
      </c>
      <c r="B9" s="52"/>
      <c r="C9" s="53"/>
      <c r="D9" s="54"/>
      <c r="E9" s="54"/>
      <c r="F9" s="52"/>
      <c r="G9" s="52"/>
      <c r="H9" s="55"/>
      <c r="I9" s="8"/>
      <c r="J9" s="8"/>
      <c r="U9" s="18"/>
      <c r="V9" s="18"/>
      <c r="W9" s="16"/>
      <c r="X9" s="16"/>
      <c r="Y9" s="16"/>
      <c r="Z9" s="16"/>
      <c r="AA9" s="16"/>
      <c r="AB9" s="16"/>
      <c r="AC9" s="34"/>
      <c r="AD9" s="35"/>
      <c r="AE9" s="72"/>
      <c r="AF9" s="16"/>
      <c r="AG9" s="16"/>
      <c r="AH9" s="17"/>
      <c r="AI9" s="18"/>
      <c r="AJ9" s="18"/>
      <c r="AK9" s="16"/>
      <c r="AL9" s="16"/>
      <c r="AM9" s="16"/>
      <c r="AN9" s="16"/>
      <c r="AO9" s="16"/>
      <c r="AP9" s="16"/>
      <c r="AQ9" s="34"/>
      <c r="AR9" s="35"/>
      <c r="AS9" s="72"/>
      <c r="AT9" s="72"/>
      <c r="AU9" s="34"/>
      <c r="AV9" s="35"/>
    </row>
    <row r="10" spans="1:59" s="76" customFormat="1" ht="12.75">
      <c r="A10" s="109"/>
      <c r="B10" s="110"/>
      <c r="C10" s="71"/>
      <c r="D10" s="71"/>
      <c r="E10" s="71"/>
      <c r="F10" s="50" t="s">
        <v>284</v>
      </c>
      <c r="G10" s="71"/>
      <c r="H10" s="111"/>
      <c r="I10" s="3"/>
      <c r="J10" s="3"/>
      <c r="U10" s="15"/>
      <c r="V10" s="15"/>
      <c r="W10" s="15"/>
      <c r="X10" s="15"/>
      <c r="Y10" s="15"/>
      <c r="Z10" s="15"/>
      <c r="AA10" s="15"/>
      <c r="AB10" s="15"/>
      <c r="AC10" s="112"/>
      <c r="AD10" s="15"/>
      <c r="AE10" s="72"/>
      <c r="AF10" s="20"/>
      <c r="AG10" s="20"/>
      <c r="AH10" s="15"/>
      <c r="AI10" s="15"/>
      <c r="AJ10" s="15"/>
      <c r="AK10" s="15"/>
      <c r="AL10" s="15"/>
      <c r="AM10" s="15"/>
      <c r="AN10" s="15"/>
      <c r="AO10" s="15"/>
      <c r="AP10" s="15"/>
      <c r="AQ10" s="112"/>
      <c r="AR10" s="15"/>
      <c r="AS10" s="72"/>
      <c r="AT10" s="72"/>
      <c r="AU10" s="112"/>
      <c r="AV10" s="15"/>
    </row>
    <row r="11" spans="1:59" s="76" customFormat="1" ht="12.75">
      <c r="A11" s="113" t="s">
        <v>84</v>
      </c>
      <c r="B11" s="73"/>
      <c r="C11" s="454" t="s">
        <v>129</v>
      </c>
      <c r="D11" s="454"/>
      <c r="E11" s="454"/>
      <c r="F11" s="68">
        <v>100</v>
      </c>
      <c r="G11" s="71"/>
      <c r="H11" s="111"/>
      <c r="I11" s="3"/>
      <c r="J11" s="3"/>
      <c r="K11" s="3"/>
      <c r="U11" s="15"/>
      <c r="V11" s="15"/>
      <c r="W11" s="15"/>
      <c r="X11" s="15"/>
      <c r="Y11" s="15"/>
      <c r="Z11" s="15"/>
      <c r="AA11" s="15"/>
      <c r="AB11" s="15"/>
      <c r="AC11" s="112"/>
      <c r="AD11" s="15"/>
      <c r="AE11" s="72"/>
      <c r="AF11" s="20"/>
      <c r="AG11" s="20"/>
      <c r="AH11" s="15"/>
      <c r="AI11" s="15"/>
      <c r="AJ11" s="15"/>
      <c r="AK11" s="15"/>
      <c r="AL11" s="15"/>
      <c r="AM11" s="15"/>
      <c r="AN11" s="15"/>
      <c r="AO11" s="15"/>
      <c r="AP11" s="15"/>
      <c r="AQ11" s="112"/>
      <c r="AR11" s="15"/>
      <c r="AS11" s="72"/>
      <c r="AT11" s="72"/>
      <c r="AU11" s="112"/>
      <c r="AV11" s="15"/>
    </row>
    <row r="12" spans="1:59" s="76" customFormat="1" ht="12.75">
      <c r="A12" s="114"/>
      <c r="B12" s="73"/>
      <c r="C12" s="115"/>
      <c r="D12" s="73"/>
      <c r="E12" s="45"/>
      <c r="F12" s="45"/>
      <c r="G12" s="71"/>
      <c r="H12" s="111"/>
      <c r="I12" s="3"/>
      <c r="J12" s="3"/>
      <c r="K12" s="3"/>
      <c r="U12" s="15"/>
      <c r="V12" s="15"/>
      <c r="W12" s="15"/>
      <c r="X12" s="15"/>
      <c r="Y12" s="15"/>
      <c r="Z12" s="15"/>
      <c r="AA12" s="15"/>
      <c r="AB12" s="15"/>
      <c r="AC12" s="112"/>
      <c r="AD12" s="15"/>
      <c r="AE12" s="72"/>
      <c r="AF12" s="20"/>
      <c r="AG12" s="20"/>
      <c r="AH12" s="15"/>
      <c r="AI12" s="15"/>
      <c r="AJ12" s="15"/>
      <c r="AK12" s="15"/>
      <c r="AL12" s="15"/>
      <c r="AM12" s="15"/>
      <c r="AN12" s="15"/>
      <c r="AO12" s="15"/>
      <c r="AP12" s="15"/>
      <c r="AQ12" s="112"/>
      <c r="AR12" s="15"/>
      <c r="AS12" s="72"/>
      <c r="AT12" s="72"/>
      <c r="AU12" s="112"/>
      <c r="AV12" s="15"/>
    </row>
    <row r="13" spans="1:59" s="76" customFormat="1" ht="12.75">
      <c r="A13" s="113" t="s">
        <v>75</v>
      </c>
      <c r="B13" s="73"/>
      <c r="C13" s="454" t="s">
        <v>127</v>
      </c>
      <c r="D13" s="454"/>
      <c r="E13" s="454"/>
      <c r="F13" s="68">
        <v>100</v>
      </c>
      <c r="G13" s="71"/>
      <c r="H13" s="111"/>
      <c r="I13" s="3"/>
      <c r="J13" s="3"/>
      <c r="K13" s="3"/>
      <c r="U13" s="15"/>
      <c r="V13" s="15"/>
      <c r="W13" s="15"/>
      <c r="X13" s="15"/>
      <c r="Y13" s="15"/>
      <c r="Z13" s="15"/>
      <c r="AA13" s="15"/>
      <c r="AB13" s="15"/>
      <c r="AC13" s="112"/>
      <c r="AD13" s="15"/>
      <c r="AE13" s="72"/>
      <c r="AF13" s="20"/>
      <c r="AG13" s="20"/>
      <c r="AH13" s="15"/>
      <c r="AI13" s="15"/>
      <c r="AJ13" s="15"/>
      <c r="AK13" s="15"/>
      <c r="AL13" s="15"/>
      <c r="AM13" s="15"/>
      <c r="AN13" s="15"/>
      <c r="AO13" s="15"/>
      <c r="AP13" s="15"/>
      <c r="AQ13" s="112"/>
      <c r="AR13" s="15"/>
      <c r="AS13" s="72"/>
      <c r="AT13" s="72"/>
      <c r="AU13" s="112"/>
      <c r="AV13" s="15"/>
    </row>
    <row r="14" spans="1:59" s="76" customFormat="1" ht="12.75">
      <c r="A14" s="113"/>
      <c r="B14" s="73"/>
      <c r="C14" s="116"/>
      <c r="D14" s="117"/>
      <c r="E14" s="67"/>
      <c r="F14" s="15"/>
      <c r="G14" s="71"/>
      <c r="H14" s="111"/>
      <c r="I14" s="3"/>
      <c r="J14" s="3"/>
      <c r="K14" s="3"/>
      <c r="U14" s="15"/>
      <c r="V14" s="15"/>
      <c r="W14" s="15"/>
      <c r="X14" s="15"/>
      <c r="Y14" s="15"/>
      <c r="Z14" s="15"/>
      <c r="AA14" s="15"/>
      <c r="AB14" s="15"/>
      <c r="AC14" s="112"/>
      <c r="AD14" s="15"/>
      <c r="AE14" s="72"/>
      <c r="AF14" s="20"/>
      <c r="AG14" s="20"/>
      <c r="AH14" s="15"/>
      <c r="AI14" s="15"/>
      <c r="AJ14" s="15"/>
      <c r="AK14" s="15"/>
      <c r="AL14" s="15"/>
      <c r="AM14" s="15"/>
      <c r="AN14" s="15"/>
      <c r="AO14" s="15"/>
      <c r="AP14" s="15"/>
      <c r="AQ14" s="112"/>
      <c r="AR14" s="15"/>
      <c r="AS14" s="72"/>
      <c r="AT14" s="72"/>
      <c r="AU14" s="112"/>
      <c r="AV14" s="15"/>
    </row>
    <row r="15" spans="1:59" s="76" customFormat="1" ht="12.75">
      <c r="A15" s="113" t="s">
        <v>76</v>
      </c>
      <c r="B15" s="73"/>
      <c r="C15" s="454" t="s">
        <v>128</v>
      </c>
      <c r="D15" s="454"/>
      <c r="E15" s="454"/>
      <c r="F15" s="68">
        <v>100</v>
      </c>
      <c r="G15" s="71"/>
      <c r="H15" s="111"/>
      <c r="I15" s="3"/>
      <c r="J15" s="3"/>
      <c r="K15" s="3"/>
      <c r="U15" s="15"/>
      <c r="V15" s="15"/>
      <c r="W15" s="15"/>
      <c r="X15" s="15"/>
      <c r="Y15" s="15"/>
      <c r="Z15" s="15"/>
      <c r="AA15" s="15"/>
      <c r="AB15" s="15"/>
      <c r="AC15" s="112"/>
      <c r="AD15" s="15"/>
      <c r="AE15" s="72"/>
      <c r="AF15" s="20"/>
      <c r="AG15" s="20"/>
      <c r="AH15" s="15"/>
      <c r="AI15" s="15"/>
      <c r="AJ15" s="15"/>
      <c r="AK15" s="15"/>
      <c r="AL15" s="15"/>
      <c r="AM15" s="15"/>
      <c r="AN15" s="15"/>
      <c r="AO15" s="15"/>
      <c r="AP15" s="15"/>
      <c r="AQ15" s="112"/>
      <c r="AR15" s="15"/>
      <c r="AS15" s="72"/>
      <c r="AT15" s="72"/>
      <c r="AU15" s="112"/>
      <c r="AV15" s="15"/>
    </row>
    <row r="16" spans="1:59" s="76" customFormat="1" ht="12.75">
      <c r="A16" s="56"/>
      <c r="B16" s="73"/>
      <c r="C16" s="57"/>
      <c r="D16" s="117"/>
      <c r="E16" s="18"/>
      <c r="F16" s="17"/>
      <c r="G16" s="71"/>
      <c r="H16" s="111"/>
      <c r="I16" s="3"/>
      <c r="J16" s="3"/>
      <c r="K16" s="3"/>
      <c r="U16" s="15"/>
      <c r="V16" s="15"/>
      <c r="W16" s="15"/>
      <c r="X16" s="15"/>
      <c r="Y16" s="15"/>
      <c r="Z16" s="15"/>
      <c r="AA16" s="15"/>
      <c r="AB16" s="15"/>
      <c r="AC16" s="112"/>
      <c r="AD16" s="15"/>
      <c r="AE16" s="72"/>
      <c r="AF16" s="20"/>
      <c r="AG16" s="20"/>
      <c r="AH16" s="15"/>
      <c r="AI16" s="15"/>
      <c r="AJ16" s="15"/>
      <c r="AK16" s="15"/>
      <c r="AL16" s="15"/>
      <c r="AM16" s="15"/>
      <c r="AN16" s="15"/>
      <c r="AO16" s="15"/>
      <c r="AP16" s="15"/>
      <c r="AQ16" s="112"/>
      <c r="AR16" s="15"/>
      <c r="AS16" s="72"/>
      <c r="AT16" s="72"/>
      <c r="AU16" s="112"/>
      <c r="AV16" s="15"/>
    </row>
    <row r="17" spans="1:48" s="76" customFormat="1" ht="13.5" thickBot="1">
      <c r="A17" s="118" t="s">
        <v>73</v>
      </c>
      <c r="B17" s="119"/>
      <c r="C17" s="455" t="s">
        <v>242</v>
      </c>
      <c r="D17" s="455"/>
      <c r="E17" s="455"/>
      <c r="F17" s="69">
        <v>100</v>
      </c>
      <c r="G17" s="120"/>
      <c r="H17" s="121"/>
      <c r="I17" s="3"/>
      <c r="J17" s="3"/>
      <c r="K17" s="3"/>
      <c r="U17" s="15"/>
      <c r="V17" s="15"/>
      <c r="W17" s="15"/>
      <c r="X17" s="15"/>
      <c r="Y17" s="15"/>
      <c r="Z17" s="15"/>
      <c r="AA17" s="15"/>
      <c r="AB17" s="15"/>
      <c r="AC17" s="112"/>
      <c r="AD17" s="15"/>
      <c r="AE17" s="72"/>
      <c r="AF17" s="20"/>
      <c r="AG17" s="20"/>
      <c r="AH17" s="15"/>
      <c r="AI17" s="15"/>
      <c r="AJ17" s="15"/>
      <c r="AK17" s="15"/>
      <c r="AL17" s="15"/>
      <c r="AM17" s="15"/>
      <c r="AN17" s="15"/>
      <c r="AO17" s="15"/>
      <c r="AP17" s="15"/>
      <c r="AQ17" s="112"/>
      <c r="AR17" s="15"/>
      <c r="AS17" s="72"/>
      <c r="AT17" s="72"/>
      <c r="AU17" s="112"/>
      <c r="AV17" s="15"/>
    </row>
    <row r="18" spans="1:48" s="76" customFormat="1" ht="12.75">
      <c r="A18" s="2"/>
      <c r="B18" s="2"/>
      <c r="C18" s="3"/>
      <c r="D18" s="3"/>
      <c r="E18" s="3"/>
      <c r="F18" s="3"/>
      <c r="G18" s="3"/>
      <c r="H18" s="3"/>
      <c r="I18" s="3"/>
      <c r="J18" s="3"/>
      <c r="K18" s="3"/>
      <c r="U18" s="15"/>
      <c r="V18" s="15"/>
      <c r="W18" s="15"/>
      <c r="X18" s="15"/>
      <c r="Y18" s="15"/>
      <c r="Z18" s="15"/>
      <c r="AA18" s="15"/>
      <c r="AB18" s="15"/>
      <c r="AC18" s="112"/>
      <c r="AD18" s="15"/>
      <c r="AE18" s="72"/>
      <c r="AF18" s="20"/>
      <c r="AG18" s="20"/>
      <c r="AH18" s="15"/>
      <c r="AI18" s="15"/>
      <c r="AJ18" s="15"/>
      <c r="AK18" s="15"/>
      <c r="AL18" s="15"/>
      <c r="AM18" s="15"/>
      <c r="AN18" s="15"/>
      <c r="AO18" s="15"/>
      <c r="AP18" s="15"/>
      <c r="AQ18" s="112"/>
      <c r="AR18" s="15"/>
      <c r="AS18" s="72"/>
      <c r="AT18" s="72"/>
      <c r="AU18" s="112"/>
      <c r="AV18" s="15"/>
    </row>
    <row r="19" spans="1:48" s="76" customFormat="1" ht="13.5" thickBot="1">
      <c r="A19" s="2"/>
      <c r="B19" s="2"/>
      <c r="C19" s="3"/>
      <c r="D19" s="3"/>
      <c r="E19" s="3"/>
      <c r="F19" s="3"/>
      <c r="G19" s="3"/>
      <c r="H19" s="3"/>
      <c r="I19" s="3"/>
      <c r="J19" s="3"/>
      <c r="K19" s="3"/>
      <c r="U19" s="15"/>
      <c r="V19" s="15"/>
      <c r="W19" s="15"/>
      <c r="X19" s="15"/>
      <c r="Y19" s="15"/>
      <c r="Z19" s="15"/>
      <c r="AA19" s="15"/>
      <c r="AB19" s="15"/>
      <c r="AC19" s="112"/>
      <c r="AD19" s="15"/>
      <c r="AE19" s="72"/>
      <c r="AF19" s="20"/>
      <c r="AG19" s="20"/>
      <c r="AH19" s="15"/>
      <c r="AI19" s="15"/>
      <c r="AJ19" s="15"/>
      <c r="AK19" s="15"/>
      <c r="AL19" s="15"/>
      <c r="AM19" s="15"/>
      <c r="AN19" s="15"/>
      <c r="AO19" s="15"/>
      <c r="AP19" s="15"/>
      <c r="AQ19" s="112"/>
      <c r="AR19" s="15"/>
      <c r="AS19" s="72"/>
      <c r="AT19" s="72"/>
      <c r="AU19" s="112"/>
      <c r="AV19" s="15"/>
    </row>
    <row r="20" spans="1:48" s="76" customFormat="1" ht="18">
      <c r="A20" s="51" t="s">
        <v>303</v>
      </c>
      <c r="B20" s="122"/>
      <c r="C20" s="123"/>
      <c r="D20" s="123"/>
      <c r="E20" s="123"/>
      <c r="F20" s="123"/>
      <c r="G20" s="123"/>
      <c r="H20" s="124"/>
      <c r="I20" s="3"/>
      <c r="J20" s="3"/>
      <c r="K20" s="3"/>
      <c r="U20" s="15"/>
      <c r="V20" s="15"/>
      <c r="W20" s="15"/>
      <c r="X20" s="15"/>
      <c r="Y20" s="15"/>
      <c r="Z20" s="15"/>
      <c r="AA20" s="15"/>
      <c r="AB20" s="15"/>
      <c r="AC20" s="112"/>
      <c r="AD20" s="15"/>
      <c r="AE20" s="72"/>
      <c r="AF20" s="20"/>
      <c r="AG20" s="20"/>
      <c r="AH20" s="15"/>
      <c r="AI20" s="15"/>
      <c r="AJ20" s="15"/>
      <c r="AK20" s="15"/>
      <c r="AL20" s="15"/>
      <c r="AM20" s="15"/>
      <c r="AN20" s="15"/>
      <c r="AO20" s="15"/>
      <c r="AP20" s="15"/>
      <c r="AQ20" s="112"/>
      <c r="AR20" s="15"/>
      <c r="AS20" s="72"/>
      <c r="AT20" s="72"/>
      <c r="AU20" s="112"/>
      <c r="AV20" s="15"/>
    </row>
    <row r="21" spans="1:48" s="76" customFormat="1" ht="12.75">
      <c r="A21" s="125"/>
      <c r="B21" s="110"/>
      <c r="C21" s="71"/>
      <c r="D21" s="71"/>
      <c r="E21" s="71"/>
      <c r="F21" s="71"/>
      <c r="G21" s="71"/>
      <c r="H21" s="111"/>
      <c r="I21" s="3"/>
      <c r="J21" s="3"/>
      <c r="K21" s="3"/>
      <c r="U21" s="15"/>
      <c r="V21" s="15"/>
      <c r="W21" s="15"/>
      <c r="X21" s="15"/>
      <c r="Y21" s="15"/>
      <c r="Z21" s="15"/>
      <c r="AA21" s="15"/>
      <c r="AB21" s="15"/>
      <c r="AC21" s="112"/>
      <c r="AD21" s="15"/>
      <c r="AE21" s="72"/>
      <c r="AF21" s="20"/>
      <c r="AG21" s="20"/>
      <c r="AH21" s="15"/>
      <c r="AI21" s="15"/>
      <c r="AJ21" s="15"/>
      <c r="AK21" s="15"/>
      <c r="AL21" s="15"/>
      <c r="AM21" s="15"/>
      <c r="AN21" s="15"/>
      <c r="AO21" s="15"/>
      <c r="AP21" s="15"/>
      <c r="AQ21" s="112"/>
      <c r="AR21" s="15"/>
      <c r="AS21" s="72"/>
      <c r="AT21" s="72"/>
      <c r="AU21" s="112"/>
      <c r="AV21" s="15"/>
    </row>
    <row r="22" spans="1:48" s="76" customFormat="1" ht="12.75">
      <c r="A22" s="126" t="s">
        <v>3</v>
      </c>
      <c r="B22" s="71"/>
      <c r="C22" s="30">
        <v>0.95</v>
      </c>
      <c r="D22" s="71"/>
      <c r="E22" s="71"/>
      <c r="F22" s="71"/>
      <c r="G22" s="71"/>
      <c r="H22" s="111"/>
      <c r="I22" s="3"/>
      <c r="J22" s="3"/>
      <c r="K22" s="3"/>
      <c r="U22" s="15"/>
      <c r="V22" s="15"/>
      <c r="W22" s="15"/>
      <c r="X22" s="15"/>
      <c r="Y22" s="15"/>
      <c r="Z22" s="15"/>
      <c r="AA22" s="15"/>
      <c r="AB22" s="15"/>
      <c r="AC22" s="112"/>
      <c r="AD22" s="15"/>
      <c r="AE22" s="72"/>
      <c r="AF22" s="20"/>
      <c r="AG22" s="20"/>
      <c r="AH22" s="15"/>
      <c r="AI22" s="15"/>
      <c r="AJ22" s="15"/>
      <c r="AK22" s="15"/>
      <c r="AL22" s="15"/>
      <c r="AM22" s="15"/>
      <c r="AN22" s="15"/>
      <c r="AO22" s="15"/>
      <c r="AP22" s="15"/>
      <c r="AQ22" s="112"/>
      <c r="AR22" s="15"/>
      <c r="AS22" s="72"/>
      <c r="AT22" s="72"/>
      <c r="AU22" s="112"/>
      <c r="AV22" s="15"/>
    </row>
    <row r="23" spans="1:48" s="76" customFormat="1" ht="15">
      <c r="A23" s="126" t="s">
        <v>4</v>
      </c>
      <c r="B23" s="71"/>
      <c r="C23" s="30">
        <v>0.02</v>
      </c>
      <c r="D23" s="71"/>
      <c r="E23" s="71"/>
      <c r="F23" s="71"/>
      <c r="G23" s="71"/>
      <c r="H23" s="111"/>
      <c r="I23" s="3"/>
      <c r="J23" s="3"/>
      <c r="K23" s="3"/>
      <c r="P23" s="75"/>
      <c r="U23" s="15"/>
      <c r="V23" s="15"/>
      <c r="W23" s="15"/>
      <c r="X23" s="15"/>
      <c r="Y23" s="15"/>
      <c r="Z23" s="15"/>
      <c r="AA23" s="15"/>
      <c r="AB23" s="15"/>
      <c r="AC23" s="112"/>
      <c r="AD23" s="15"/>
      <c r="AE23" s="72"/>
      <c r="AF23" s="20"/>
      <c r="AG23" s="20"/>
      <c r="AH23" s="15"/>
      <c r="AI23" s="15"/>
      <c r="AJ23" s="15"/>
      <c r="AK23" s="15"/>
      <c r="AL23" s="15"/>
      <c r="AM23" s="15"/>
      <c r="AN23" s="15"/>
      <c r="AO23" s="15"/>
      <c r="AP23" s="15"/>
      <c r="AQ23" s="112"/>
      <c r="AR23" s="15"/>
      <c r="AS23" s="72"/>
      <c r="AT23" s="72"/>
      <c r="AU23" s="112"/>
      <c r="AV23" s="15"/>
    </row>
    <row r="24" spans="1:48" s="76" customFormat="1" ht="12.75">
      <c r="A24" s="126" t="s">
        <v>5</v>
      </c>
      <c r="B24" s="71"/>
      <c r="C24" s="30">
        <v>0.01</v>
      </c>
      <c r="D24" s="71"/>
      <c r="E24" s="71"/>
      <c r="F24" s="73"/>
      <c r="G24" s="71"/>
      <c r="H24" s="127"/>
      <c r="L24" s="128"/>
      <c r="M24" s="3"/>
      <c r="N24" s="3"/>
      <c r="P24" s="15"/>
      <c r="Q24" s="15"/>
      <c r="R24" s="82"/>
      <c r="S24" s="81"/>
      <c r="T24" s="81"/>
      <c r="U24" s="15"/>
      <c r="V24" s="15"/>
      <c r="W24" s="72"/>
      <c r="X24" s="15"/>
      <c r="Y24" s="72"/>
      <c r="Z24" s="72"/>
      <c r="AA24" s="72"/>
      <c r="AB24" s="72"/>
      <c r="AC24" s="107"/>
      <c r="AD24" s="15"/>
      <c r="AE24" s="72"/>
      <c r="AF24" s="15"/>
      <c r="AG24" s="15"/>
      <c r="AH24" s="81"/>
      <c r="AI24" s="15"/>
      <c r="AJ24" s="15"/>
      <c r="AK24" s="72"/>
      <c r="AL24" s="15"/>
      <c r="AM24" s="72"/>
      <c r="AN24" s="72"/>
      <c r="AO24" s="72"/>
      <c r="AP24" s="72"/>
      <c r="AQ24" s="107"/>
      <c r="AR24" s="15"/>
      <c r="AS24" s="72"/>
      <c r="AT24" s="72"/>
      <c r="AU24" s="107"/>
      <c r="AV24" s="15"/>
    </row>
    <row r="25" spans="1:48" s="76" customFormat="1" ht="13.5" thickBot="1">
      <c r="A25" s="129" t="s">
        <v>6</v>
      </c>
      <c r="B25" s="120"/>
      <c r="C25" s="58">
        <v>0.15</v>
      </c>
      <c r="D25" s="120"/>
      <c r="E25" s="120"/>
      <c r="F25" s="119"/>
      <c r="G25" s="119"/>
      <c r="H25" s="121"/>
      <c r="I25" s="3"/>
      <c r="J25" s="3"/>
      <c r="K25" s="3"/>
      <c r="L25" s="130"/>
      <c r="M25" s="3"/>
      <c r="N25" s="3"/>
      <c r="P25" s="15"/>
      <c r="Q25" s="15"/>
      <c r="R25" s="15"/>
      <c r="S25" s="81"/>
      <c r="T25" s="81"/>
      <c r="U25" s="15"/>
      <c r="V25" s="15"/>
      <c r="W25" s="72"/>
      <c r="X25" s="72"/>
      <c r="Y25" s="15"/>
      <c r="Z25" s="15"/>
      <c r="AA25" s="15"/>
      <c r="AB25" s="15"/>
      <c r="AC25" s="112"/>
      <c r="AD25" s="15"/>
      <c r="AE25" s="72"/>
      <c r="AF25" s="15"/>
      <c r="AG25" s="15"/>
      <c r="AH25" s="81"/>
      <c r="AI25" s="15"/>
      <c r="AJ25" s="15"/>
      <c r="AK25" s="72"/>
      <c r="AL25" s="72"/>
      <c r="AM25" s="15"/>
      <c r="AN25" s="15"/>
      <c r="AO25" s="15"/>
      <c r="AP25" s="15"/>
      <c r="AQ25" s="112"/>
      <c r="AR25" s="15"/>
      <c r="AS25" s="72"/>
      <c r="AT25" s="72"/>
      <c r="AU25" s="112"/>
      <c r="AV25" s="15"/>
    </row>
    <row r="26" spans="1:48" s="76" customFormat="1" ht="12.75">
      <c r="A26" s="3"/>
      <c r="B26" s="3"/>
      <c r="C26" s="3"/>
      <c r="D26" s="3"/>
      <c r="E26" s="3"/>
      <c r="H26" s="3"/>
      <c r="I26" s="3"/>
      <c r="J26" s="3"/>
      <c r="K26" s="3"/>
      <c r="L26" s="130"/>
      <c r="M26" s="3"/>
      <c r="N26" s="3"/>
      <c r="P26" s="15"/>
      <c r="Q26" s="15"/>
      <c r="R26" s="15"/>
      <c r="S26" s="81"/>
      <c r="T26" s="81"/>
      <c r="U26" s="15"/>
      <c r="V26" s="15"/>
      <c r="W26" s="72"/>
      <c r="X26" s="72"/>
      <c r="Y26" s="15"/>
      <c r="Z26" s="15"/>
      <c r="AA26" s="15"/>
      <c r="AB26" s="15"/>
      <c r="AC26" s="112"/>
      <c r="AD26" s="15"/>
      <c r="AE26" s="72"/>
      <c r="AF26" s="15"/>
      <c r="AG26" s="15"/>
      <c r="AH26" s="81"/>
      <c r="AI26" s="15"/>
      <c r="AJ26" s="15"/>
      <c r="AK26" s="72"/>
      <c r="AL26" s="72"/>
      <c r="AM26" s="15"/>
      <c r="AN26" s="15"/>
      <c r="AO26" s="15"/>
      <c r="AP26" s="15"/>
      <c r="AQ26" s="112"/>
      <c r="AR26" s="15"/>
      <c r="AS26" s="72"/>
      <c r="AT26" s="72"/>
      <c r="AU26" s="112"/>
      <c r="AV26" s="15"/>
    </row>
    <row r="27" spans="1:48" s="76" customFormat="1" ht="13.5" thickBot="1">
      <c r="A27" s="3"/>
      <c r="B27" s="3"/>
      <c r="C27" s="3"/>
      <c r="D27" s="3"/>
      <c r="E27" s="3"/>
      <c r="H27" s="3"/>
      <c r="I27" s="3"/>
      <c r="J27" s="3"/>
      <c r="K27" s="3"/>
      <c r="L27" s="130"/>
      <c r="M27" s="3"/>
      <c r="N27" s="3"/>
      <c r="P27" s="15"/>
      <c r="Q27" s="15"/>
      <c r="R27" s="15"/>
      <c r="S27" s="81"/>
      <c r="T27" s="81"/>
      <c r="U27" s="15"/>
      <c r="V27" s="15"/>
      <c r="W27" s="72"/>
      <c r="X27" s="72"/>
      <c r="Y27" s="15"/>
      <c r="Z27" s="15"/>
      <c r="AA27" s="15"/>
      <c r="AB27" s="15"/>
      <c r="AC27" s="112"/>
      <c r="AD27" s="15"/>
      <c r="AE27" s="72"/>
      <c r="AF27" s="15"/>
      <c r="AG27" s="15"/>
      <c r="AH27" s="81"/>
      <c r="AI27" s="15"/>
      <c r="AJ27" s="15"/>
      <c r="AK27" s="72"/>
      <c r="AL27" s="72"/>
      <c r="AM27" s="15"/>
      <c r="AN27" s="15"/>
      <c r="AO27" s="15"/>
      <c r="AP27" s="15"/>
      <c r="AQ27" s="112"/>
      <c r="AR27" s="15"/>
      <c r="AS27" s="72"/>
      <c r="AT27" s="72"/>
      <c r="AU27" s="112"/>
      <c r="AV27" s="15"/>
    </row>
    <row r="28" spans="1:48" s="76" customFormat="1" ht="18" customHeight="1">
      <c r="A28" s="429" t="s">
        <v>306</v>
      </c>
      <c r="B28" s="430"/>
      <c r="C28" s="430"/>
      <c r="D28" s="430"/>
      <c r="E28" s="430"/>
      <c r="F28" s="430"/>
      <c r="G28" s="430"/>
      <c r="H28" s="431"/>
      <c r="I28" s="131"/>
      <c r="J28" s="131"/>
      <c r="K28" s="131"/>
      <c r="L28" s="432" t="s">
        <v>84</v>
      </c>
      <c r="M28" s="433"/>
      <c r="N28" s="85"/>
      <c r="O28" s="436" t="s">
        <v>75</v>
      </c>
      <c r="P28" s="437"/>
      <c r="Q28" s="85"/>
      <c r="R28" s="425" t="s">
        <v>76</v>
      </c>
      <c r="S28" s="440"/>
      <c r="T28" s="85"/>
      <c r="U28" s="425" t="s">
        <v>73</v>
      </c>
      <c r="V28" s="426"/>
      <c r="W28" s="72"/>
      <c r="X28" s="72"/>
      <c r="Y28" s="15"/>
      <c r="Z28" s="15"/>
      <c r="AA28" s="15"/>
      <c r="AB28" s="15"/>
      <c r="AC28" s="112"/>
      <c r="AD28" s="15"/>
      <c r="AE28" s="72"/>
      <c r="AF28" s="15"/>
      <c r="AG28" s="15"/>
      <c r="AH28" s="81"/>
      <c r="AI28" s="15"/>
      <c r="AJ28" s="72"/>
      <c r="AK28" s="72"/>
      <c r="AL28" s="72"/>
      <c r="AM28" s="15"/>
      <c r="AN28" s="15"/>
      <c r="AO28" s="15"/>
      <c r="AP28" s="15"/>
      <c r="AQ28" s="112"/>
      <c r="AR28" s="15"/>
      <c r="AS28" s="72"/>
      <c r="AT28" s="72"/>
      <c r="AU28" s="112"/>
      <c r="AV28" s="15"/>
    </row>
    <row r="29" spans="1:48" s="76" customFormat="1" ht="15" customHeight="1">
      <c r="A29" s="109"/>
      <c r="B29" s="73"/>
      <c r="C29" s="73"/>
      <c r="D29" s="71"/>
      <c r="E29" s="71"/>
      <c r="F29" s="73"/>
      <c r="G29" s="73"/>
      <c r="H29" s="71"/>
      <c r="I29" s="71"/>
      <c r="J29" s="71"/>
      <c r="K29" s="71"/>
      <c r="L29" s="434" t="str">
        <f>C11</f>
        <v>Summer grazing</v>
      </c>
      <c r="M29" s="435"/>
      <c r="N29" s="86"/>
      <c r="O29" s="438" t="str">
        <f>C13</f>
        <v>Confined</v>
      </c>
      <c r="P29" s="439"/>
      <c r="Q29" s="86"/>
      <c r="R29" s="427" t="str">
        <f>C15</f>
        <v>Extended grazing</v>
      </c>
      <c r="S29" s="441"/>
      <c r="T29" s="87"/>
      <c r="U29" s="427" t="str">
        <f>C17</f>
        <v>Combination</v>
      </c>
      <c r="V29" s="428"/>
      <c r="W29" s="72"/>
      <c r="X29" s="72"/>
      <c r="Y29" s="15"/>
      <c r="Z29" s="15"/>
      <c r="AA29" s="15"/>
      <c r="AB29" s="15"/>
      <c r="AC29" s="112"/>
      <c r="AD29" s="15"/>
      <c r="AE29" s="72"/>
      <c r="AF29" s="15"/>
      <c r="AG29" s="15"/>
      <c r="AH29" s="81"/>
      <c r="AI29" s="15"/>
      <c r="AJ29" s="15"/>
      <c r="AK29" s="72"/>
      <c r="AL29" s="72"/>
      <c r="AM29" s="15"/>
      <c r="AN29" s="15"/>
      <c r="AO29" s="15"/>
      <c r="AP29" s="15"/>
      <c r="AQ29" s="112"/>
      <c r="AR29" s="15"/>
      <c r="AS29" s="72"/>
      <c r="AT29" s="72"/>
      <c r="AU29" s="112"/>
      <c r="AV29" s="15"/>
    </row>
    <row r="30" spans="1:48" s="76" customFormat="1" ht="12.75">
      <c r="A30" s="126"/>
      <c r="B30" s="71"/>
      <c r="C30" s="71"/>
      <c r="D30" s="71"/>
      <c r="E30" s="71"/>
      <c r="F30" s="71"/>
      <c r="G30" s="71"/>
      <c r="H30" s="71"/>
      <c r="I30" s="71"/>
      <c r="J30" s="71"/>
      <c r="K30" s="71"/>
      <c r="L30" s="73"/>
      <c r="M30" s="73"/>
      <c r="N30" s="15"/>
      <c r="O30" s="73"/>
      <c r="P30" s="73"/>
      <c r="Q30" s="72"/>
      <c r="R30" s="73"/>
      <c r="S30" s="73"/>
      <c r="T30" s="72"/>
      <c r="U30" s="73"/>
      <c r="V30" s="88"/>
      <c r="W30" s="15"/>
      <c r="X30" s="15"/>
      <c r="Y30" s="15"/>
      <c r="Z30" s="15"/>
      <c r="AA30" s="15"/>
      <c r="AB30" s="15"/>
      <c r="AC30" s="107"/>
      <c r="AD30" s="15"/>
      <c r="AE30" s="72"/>
      <c r="AF30" s="15"/>
      <c r="AG30" s="15"/>
      <c r="AH30" s="15"/>
      <c r="AI30" s="15"/>
      <c r="AJ30" s="15"/>
      <c r="AK30" s="15"/>
      <c r="AL30" s="15"/>
      <c r="AM30" s="15"/>
      <c r="AN30" s="15"/>
      <c r="AO30" s="15"/>
      <c r="AP30" s="15"/>
      <c r="AQ30" s="107"/>
      <c r="AR30" s="15"/>
      <c r="AS30" s="72"/>
      <c r="AT30" s="72"/>
      <c r="AU30" s="107"/>
      <c r="AV30" s="15"/>
    </row>
    <row r="31" spans="1:48" s="76" customFormat="1" ht="15.75">
      <c r="A31" s="132" t="s">
        <v>7</v>
      </c>
      <c r="B31" s="110"/>
      <c r="C31" s="9" t="s">
        <v>8</v>
      </c>
      <c r="D31" s="9" t="s">
        <v>9</v>
      </c>
      <c r="E31" s="9"/>
      <c r="F31" s="9" t="s">
        <v>10</v>
      </c>
      <c r="G31" s="10" t="s">
        <v>9</v>
      </c>
      <c r="H31" s="71"/>
      <c r="I31" s="71"/>
      <c r="J31" s="71"/>
      <c r="K31" s="71"/>
      <c r="L31" s="89" t="s">
        <v>11</v>
      </c>
      <c r="M31" s="71"/>
      <c r="N31" s="15"/>
      <c r="O31" s="89" t="s">
        <v>11</v>
      </c>
      <c r="P31" s="20"/>
      <c r="Q31" s="20"/>
      <c r="R31" s="89" t="s">
        <v>11</v>
      </c>
      <c r="S31" s="10"/>
      <c r="T31" s="10"/>
      <c r="U31" s="89" t="s">
        <v>11</v>
      </c>
      <c r="V31" s="59"/>
      <c r="W31" s="10"/>
      <c r="X31" s="10"/>
      <c r="Y31" s="15"/>
      <c r="Z31" s="15"/>
      <c r="AA31" s="15"/>
      <c r="AB31" s="15"/>
      <c r="AC31" s="133"/>
      <c r="AD31" s="15"/>
      <c r="AE31" s="72"/>
      <c r="AF31" s="20"/>
      <c r="AG31" s="20"/>
      <c r="AH31" s="10"/>
      <c r="AI31" s="10"/>
      <c r="AJ31" s="10"/>
      <c r="AK31" s="10"/>
      <c r="AL31" s="10"/>
      <c r="AM31" s="15"/>
      <c r="AN31" s="15"/>
      <c r="AO31" s="15"/>
      <c r="AP31" s="15"/>
      <c r="AQ31" s="133"/>
      <c r="AR31" s="15"/>
      <c r="AS31" s="72"/>
      <c r="AT31" s="72"/>
      <c r="AU31" s="133"/>
      <c r="AV31" s="15"/>
    </row>
    <row r="32" spans="1:48" s="76" customFormat="1" ht="12.75">
      <c r="A32" s="113" t="s">
        <v>12</v>
      </c>
      <c r="B32" s="71"/>
      <c r="C32" s="31">
        <v>1.6</v>
      </c>
      <c r="D32" s="134" t="s">
        <v>13</v>
      </c>
      <c r="E32" s="135" t="s">
        <v>14</v>
      </c>
      <c r="F32" s="32">
        <v>600</v>
      </c>
      <c r="G32" s="134" t="s">
        <v>15</v>
      </c>
      <c r="H32" s="135" t="s">
        <v>14</v>
      </c>
      <c r="I32" s="136">
        <f>(0.5*(C22)*(1-C23)-(C25)/(1-C24))</f>
        <v>0.31398484848484842</v>
      </c>
      <c r="J32" s="134" t="s">
        <v>16</v>
      </c>
      <c r="K32" s="137" t="s">
        <v>17</v>
      </c>
      <c r="L32" s="90">
        <f>$F32*$C32*$I32</f>
        <v>301.4254545454545</v>
      </c>
      <c r="M32" s="91"/>
      <c r="N32" s="92"/>
      <c r="O32" s="93">
        <f>$F32*$C32*$I32</f>
        <v>301.4254545454545</v>
      </c>
      <c r="P32" s="94"/>
      <c r="Q32" s="94"/>
      <c r="R32" s="93">
        <f>$F32*$C32*$I32</f>
        <v>301.4254545454545</v>
      </c>
      <c r="S32" s="95"/>
      <c r="T32" s="95"/>
      <c r="U32" s="93">
        <f>$F32*$C32*$I32</f>
        <v>301.4254545454545</v>
      </c>
      <c r="V32" s="96"/>
      <c r="W32" s="138"/>
      <c r="X32" s="77"/>
      <c r="Y32" s="82"/>
      <c r="Z32" s="139"/>
      <c r="AA32" s="77"/>
      <c r="AB32" s="140"/>
      <c r="AC32" s="141"/>
      <c r="AD32" s="15"/>
      <c r="AE32" s="72"/>
      <c r="AF32" s="78"/>
      <c r="AG32" s="15"/>
      <c r="AH32" s="142"/>
      <c r="AI32" s="77"/>
      <c r="AJ32" s="82"/>
      <c r="AK32" s="138"/>
      <c r="AL32" s="77"/>
      <c r="AM32" s="82"/>
      <c r="AN32" s="139"/>
      <c r="AO32" s="77"/>
      <c r="AP32" s="140"/>
      <c r="AQ32" s="141"/>
      <c r="AR32" s="15"/>
      <c r="AS32" s="72"/>
      <c r="AT32" s="72"/>
      <c r="AU32" s="141"/>
      <c r="AV32" s="15"/>
    </row>
    <row r="33" spans="1:59" s="76" customFormat="1" ht="12.75">
      <c r="A33" s="113" t="s">
        <v>18</v>
      </c>
      <c r="B33" s="71"/>
      <c r="C33" s="31">
        <v>1.65</v>
      </c>
      <c r="D33" s="134" t="s">
        <v>13</v>
      </c>
      <c r="E33" s="135" t="s">
        <v>14</v>
      </c>
      <c r="F33" s="32">
        <v>650</v>
      </c>
      <c r="G33" s="134" t="s">
        <v>15</v>
      </c>
      <c r="H33" s="135" t="s">
        <v>14</v>
      </c>
      <c r="I33" s="136">
        <f>C22*(1-C23)*0.5</f>
        <v>0.46549999999999997</v>
      </c>
      <c r="J33" s="134" t="s">
        <v>16</v>
      </c>
      <c r="K33" s="44" t="s">
        <v>17</v>
      </c>
      <c r="L33" s="90">
        <f>$F33*$C33*$I33</f>
        <v>499.24874999999997</v>
      </c>
      <c r="M33" s="91"/>
      <c r="N33" s="92"/>
      <c r="O33" s="90">
        <f>$F33*$C33*$I33</f>
        <v>499.24874999999997</v>
      </c>
      <c r="P33" s="94"/>
      <c r="Q33" s="94"/>
      <c r="R33" s="90">
        <f>$F33*$C33*$I33</f>
        <v>499.24874999999997</v>
      </c>
      <c r="S33" s="95"/>
      <c r="T33" s="95"/>
      <c r="U33" s="90">
        <f>$F33*$C33*$I33</f>
        <v>499.24874999999997</v>
      </c>
      <c r="V33" s="96"/>
      <c r="W33" s="138"/>
      <c r="X33" s="77"/>
      <c r="Y33" s="82"/>
      <c r="Z33" s="139"/>
      <c r="AA33" s="77"/>
      <c r="AB33" s="15"/>
      <c r="AC33" s="143"/>
      <c r="AD33" s="15"/>
      <c r="AE33" s="72"/>
      <c r="AF33" s="78"/>
      <c r="AG33" s="15"/>
      <c r="AH33" s="142"/>
      <c r="AI33" s="77"/>
      <c r="AJ33" s="82"/>
      <c r="AK33" s="138"/>
      <c r="AL33" s="77"/>
      <c r="AM33" s="82"/>
      <c r="AN33" s="139"/>
      <c r="AO33" s="77"/>
      <c r="AP33" s="15"/>
      <c r="AQ33" s="143"/>
      <c r="AR33" s="15"/>
      <c r="AS33" s="72"/>
      <c r="AT33" s="72"/>
      <c r="AU33" s="143"/>
      <c r="AV33" s="15"/>
    </row>
    <row r="34" spans="1:59" s="76" customFormat="1" ht="15">
      <c r="A34" s="113" t="s">
        <v>19</v>
      </c>
      <c r="B34" s="71"/>
      <c r="C34" s="31">
        <v>0.4</v>
      </c>
      <c r="D34" s="134" t="s">
        <v>13</v>
      </c>
      <c r="E34" s="135" t="s">
        <v>14</v>
      </c>
      <c r="F34" s="32">
        <v>1300</v>
      </c>
      <c r="G34" s="134" t="s">
        <v>15</v>
      </c>
      <c r="H34" s="135" t="s">
        <v>14</v>
      </c>
      <c r="I34" s="136">
        <f>(C25-C24)</f>
        <v>0.13999999999999999</v>
      </c>
      <c r="J34" s="134" t="s">
        <v>16</v>
      </c>
      <c r="K34" s="137" t="s">
        <v>17</v>
      </c>
      <c r="L34" s="97">
        <f>$F34*$C34*$I34</f>
        <v>72.8</v>
      </c>
      <c r="M34" s="91"/>
      <c r="N34" s="92"/>
      <c r="O34" s="97">
        <f>$F34*$C34*$I34</f>
        <v>72.8</v>
      </c>
      <c r="P34" s="94"/>
      <c r="Q34" s="94"/>
      <c r="R34" s="97">
        <f>$F34*$C34*$I34</f>
        <v>72.8</v>
      </c>
      <c r="S34" s="95"/>
      <c r="T34" s="95"/>
      <c r="U34" s="97">
        <f>$F34*$C34*$I34</f>
        <v>72.8</v>
      </c>
      <c r="V34" s="96"/>
      <c r="W34" s="138"/>
      <c r="X34" s="77"/>
      <c r="Y34" s="82"/>
      <c r="Z34" s="139"/>
      <c r="AA34" s="77"/>
      <c r="AB34" s="140"/>
      <c r="AC34" s="144"/>
      <c r="AD34" s="15"/>
      <c r="AE34" s="72"/>
      <c r="AF34" s="78"/>
      <c r="AG34" s="15"/>
      <c r="AH34" s="142"/>
      <c r="AI34" s="77"/>
      <c r="AJ34" s="82"/>
      <c r="AK34" s="138"/>
      <c r="AL34" s="77"/>
      <c r="AM34" s="82"/>
      <c r="AN34" s="139"/>
      <c r="AO34" s="77"/>
      <c r="AP34" s="140"/>
      <c r="AQ34" s="144"/>
      <c r="AR34" s="15"/>
      <c r="AS34" s="72"/>
      <c r="AT34" s="72"/>
      <c r="AU34" s="144"/>
      <c r="AV34" s="15"/>
    </row>
    <row r="35" spans="1:59" s="76" customFormat="1" ht="12.75">
      <c r="A35" s="145" t="s">
        <v>315</v>
      </c>
      <c r="B35" s="110"/>
      <c r="C35" s="110"/>
      <c r="D35" s="146"/>
      <c r="E35" s="147"/>
      <c r="F35" s="148"/>
      <c r="G35" s="146"/>
      <c r="H35" s="149"/>
      <c r="I35" s="150"/>
      <c r="J35" s="146"/>
      <c r="K35" s="149"/>
      <c r="L35" s="98">
        <f>SUM(L32:L34)</f>
        <v>873.47420454545443</v>
      </c>
      <c r="M35" s="99"/>
      <c r="N35" s="100"/>
      <c r="O35" s="98">
        <f>SUM(O32:O34)</f>
        <v>873.47420454545443</v>
      </c>
      <c r="P35" s="101"/>
      <c r="Q35" s="101"/>
      <c r="R35" s="98">
        <f>SUM(R32:R34)</f>
        <v>873.47420454545443</v>
      </c>
      <c r="S35" s="100"/>
      <c r="T35" s="100"/>
      <c r="U35" s="98">
        <f>SUM(U32:U34)</f>
        <v>873.47420454545443</v>
      </c>
      <c r="V35" s="102"/>
      <c r="W35" s="151"/>
      <c r="X35" s="77"/>
      <c r="Y35" s="140"/>
      <c r="Z35" s="80"/>
      <c r="AA35" s="77"/>
      <c r="AB35" s="140"/>
      <c r="AC35" s="141"/>
      <c r="AD35" s="15"/>
      <c r="AE35" s="72"/>
      <c r="AF35" s="152"/>
      <c r="AG35" s="20"/>
      <c r="AH35" s="15"/>
      <c r="AI35" s="77"/>
      <c r="AJ35" s="82"/>
      <c r="AK35" s="151"/>
      <c r="AL35" s="77"/>
      <c r="AM35" s="140"/>
      <c r="AN35" s="80"/>
      <c r="AO35" s="77"/>
      <c r="AP35" s="140"/>
      <c r="AQ35" s="141"/>
      <c r="AR35" s="15"/>
      <c r="AS35" s="72"/>
      <c r="AT35" s="72"/>
      <c r="AU35" s="141"/>
      <c r="AV35" s="15"/>
    </row>
    <row r="36" spans="1:59" s="76" customFormat="1" ht="12.75">
      <c r="A36" s="153"/>
      <c r="B36" s="74"/>
      <c r="C36" s="74"/>
      <c r="D36" s="154"/>
      <c r="E36" s="155"/>
      <c r="F36" s="156"/>
      <c r="G36" s="154"/>
      <c r="H36" s="157"/>
      <c r="I36" s="74"/>
      <c r="J36" s="154"/>
      <c r="K36" s="157"/>
      <c r="L36" s="158"/>
      <c r="M36" s="159" t="s">
        <v>84</v>
      </c>
      <c r="N36" s="159"/>
      <c r="O36" s="160"/>
      <c r="P36" s="159" t="s">
        <v>75</v>
      </c>
      <c r="Q36" s="159"/>
      <c r="R36" s="160"/>
      <c r="S36" s="159" t="s">
        <v>76</v>
      </c>
      <c r="T36" s="159"/>
      <c r="U36" s="160"/>
      <c r="V36" s="161" t="s">
        <v>73</v>
      </c>
      <c r="W36" s="151"/>
      <c r="X36" s="77"/>
      <c r="Y36" s="140"/>
      <c r="Z36" s="15"/>
      <c r="AA36" s="77"/>
      <c r="AB36" s="140"/>
      <c r="AC36" s="21"/>
      <c r="AD36" s="15"/>
      <c r="AE36" s="72"/>
      <c r="AF36" s="15"/>
      <c r="AG36" s="15"/>
      <c r="AH36" s="15"/>
      <c r="AI36" s="77"/>
      <c r="AJ36" s="82"/>
      <c r="AK36" s="151"/>
      <c r="AL36" s="77"/>
      <c r="AM36" s="140"/>
      <c r="AN36" s="15"/>
      <c r="AO36" s="77"/>
      <c r="AP36" s="140"/>
      <c r="AQ36" s="21"/>
      <c r="AR36" s="15"/>
      <c r="AS36" s="72"/>
      <c r="AT36" s="72"/>
      <c r="AU36" s="21"/>
      <c r="AV36" s="15"/>
    </row>
    <row r="37" spans="1:59" s="76" customFormat="1" ht="15.75">
      <c r="A37" s="162" t="s">
        <v>313</v>
      </c>
      <c r="B37" s="163"/>
      <c r="C37" s="74"/>
      <c r="D37" s="74"/>
      <c r="E37" s="74"/>
      <c r="F37" s="74"/>
      <c r="G37" s="74"/>
      <c r="H37" s="74"/>
      <c r="I37" s="74"/>
      <c r="J37" s="74"/>
      <c r="K37" s="74"/>
      <c r="L37" s="158" t="s">
        <v>20</v>
      </c>
      <c r="M37" s="159" t="s">
        <v>308</v>
      </c>
      <c r="N37" s="159"/>
      <c r="O37" s="160"/>
      <c r="P37" s="159" t="s">
        <v>308</v>
      </c>
      <c r="Q37" s="159"/>
      <c r="R37" s="160" t="s">
        <v>20</v>
      </c>
      <c r="S37" s="159" t="s">
        <v>308</v>
      </c>
      <c r="T37" s="159"/>
      <c r="U37" s="160" t="s">
        <v>20</v>
      </c>
      <c r="V37" s="161" t="s">
        <v>308</v>
      </c>
      <c r="W37" s="15"/>
      <c r="X37" s="15"/>
      <c r="Y37" s="15"/>
      <c r="Z37" s="15"/>
      <c r="AA37" s="15"/>
      <c r="AB37" s="15"/>
      <c r="AC37" s="21"/>
      <c r="AD37" s="15"/>
      <c r="AE37" s="72"/>
      <c r="AF37" s="20"/>
      <c r="AG37" s="20"/>
      <c r="AH37" s="15"/>
      <c r="AI37" s="15"/>
      <c r="AJ37" s="15"/>
      <c r="AK37" s="15"/>
      <c r="AL37" s="15"/>
      <c r="AM37" s="15"/>
      <c r="AN37" s="15"/>
      <c r="AO37" s="15"/>
      <c r="AP37" s="15"/>
      <c r="AQ37" s="21"/>
      <c r="AR37" s="15"/>
      <c r="AS37" s="72"/>
      <c r="AT37" s="72"/>
      <c r="AU37" s="21"/>
      <c r="AV37" s="15"/>
    </row>
    <row r="38" spans="1:59" s="76" customFormat="1" ht="12.75">
      <c r="A38" s="164" t="s">
        <v>314</v>
      </c>
      <c r="B38" s="163"/>
      <c r="C38" s="61"/>
      <c r="D38" s="61"/>
      <c r="E38" s="61"/>
      <c r="F38" s="61"/>
      <c r="G38" s="62"/>
      <c r="H38" s="74"/>
      <c r="I38" s="74"/>
      <c r="J38" s="74"/>
      <c r="K38" s="154"/>
      <c r="L38" s="158"/>
      <c r="M38" s="165" t="s">
        <v>307</v>
      </c>
      <c r="N38" s="159"/>
      <c r="O38" s="160"/>
      <c r="P38" s="165" t="s">
        <v>307</v>
      </c>
      <c r="Q38" s="165"/>
      <c r="R38" s="160"/>
      <c r="S38" s="165" t="s">
        <v>307</v>
      </c>
      <c r="T38" s="165"/>
      <c r="U38" s="160"/>
      <c r="V38" s="166" t="s">
        <v>307</v>
      </c>
      <c r="W38" s="10"/>
      <c r="X38" s="10"/>
      <c r="Y38" s="15"/>
      <c r="Z38" s="15"/>
      <c r="AA38" s="77"/>
      <c r="AB38" s="77"/>
      <c r="AC38" s="21"/>
      <c r="AD38" s="15"/>
      <c r="AE38" s="72"/>
      <c r="AF38" s="152"/>
      <c r="AG38" s="20"/>
      <c r="AH38" s="10"/>
      <c r="AI38" s="10"/>
      <c r="AJ38" s="10"/>
      <c r="AK38" s="10"/>
      <c r="AL38" s="10"/>
      <c r="AM38" s="15"/>
      <c r="AN38" s="15"/>
      <c r="AO38" s="77"/>
      <c r="AP38" s="77"/>
      <c r="AQ38" s="21"/>
      <c r="AR38" s="15"/>
      <c r="AS38" s="72"/>
      <c r="AT38" s="72"/>
      <c r="AU38" s="21"/>
      <c r="AV38" s="15"/>
    </row>
    <row r="39" spans="1:59" s="76" customFormat="1" ht="12.75">
      <c r="A39" s="167" t="s">
        <v>259</v>
      </c>
      <c r="B39" s="73"/>
      <c r="C39" s="414" t="s">
        <v>305</v>
      </c>
      <c r="D39" s="415"/>
      <c r="E39" s="416"/>
      <c r="F39" s="416"/>
      <c r="G39" s="416"/>
      <c r="H39" s="416"/>
      <c r="I39" s="72"/>
      <c r="J39" s="72"/>
      <c r="K39" s="73"/>
      <c r="L39" s="168">
        <f>'Feed budgeting'!P13</f>
        <v>150</v>
      </c>
      <c r="M39" s="83"/>
      <c r="N39" s="169"/>
      <c r="O39" s="168">
        <f>'Feed budgeting'!Z13</f>
        <v>0</v>
      </c>
      <c r="P39" s="83"/>
      <c r="Q39" s="169"/>
      <c r="R39" s="168">
        <f>'Feed budgeting'!AJ13</f>
        <v>262.5</v>
      </c>
      <c r="S39" s="83"/>
      <c r="T39" s="169"/>
      <c r="U39" s="168">
        <f>'Feed budgeting'!AT13</f>
        <v>75</v>
      </c>
      <c r="V39" s="84"/>
      <c r="W39" s="72"/>
      <c r="X39" s="72"/>
      <c r="Y39" s="72"/>
      <c r="Z39" s="72"/>
      <c r="AA39" s="72"/>
      <c r="AB39" s="72"/>
      <c r="AC39" s="72"/>
      <c r="AD39" s="15"/>
      <c r="AE39" s="72"/>
      <c r="AF39" s="72"/>
      <c r="AG39" s="72"/>
      <c r="AH39" s="72"/>
      <c r="AI39" s="72"/>
      <c r="AJ39" s="72"/>
      <c r="AK39" s="72"/>
      <c r="AL39" s="72"/>
      <c r="AM39" s="72"/>
      <c r="AN39" s="72"/>
      <c r="AO39" s="72"/>
      <c r="AP39" s="72"/>
      <c r="AQ39" s="72"/>
      <c r="AR39" s="15"/>
      <c r="AS39" s="72"/>
      <c r="AT39" s="72"/>
      <c r="AU39" s="72"/>
      <c r="AV39" s="15"/>
    </row>
    <row r="40" spans="1:59" s="76" customFormat="1" ht="12.75">
      <c r="A40" s="167" t="s">
        <v>258</v>
      </c>
      <c r="B40" s="73"/>
      <c r="C40" s="170" t="s">
        <v>285</v>
      </c>
      <c r="D40" s="73"/>
      <c r="E40" s="73"/>
      <c r="F40" s="73"/>
      <c r="G40" s="73"/>
      <c r="H40" s="73"/>
      <c r="I40" s="73"/>
      <c r="J40" s="73"/>
      <c r="K40" s="73"/>
      <c r="L40" s="171">
        <f>'Feed budgeting'!P56</f>
        <v>228.88000021008406</v>
      </c>
      <c r="M40" s="83"/>
      <c r="N40" s="169"/>
      <c r="O40" s="171">
        <f>'Feed budgeting'!Z56</f>
        <v>505.82706617647062</v>
      </c>
      <c r="P40" s="83"/>
      <c r="Q40" s="169"/>
      <c r="R40" s="171">
        <f>'Feed budgeting'!AJ56</f>
        <v>61.489191176470591</v>
      </c>
      <c r="S40" s="83"/>
      <c r="T40" s="169"/>
      <c r="U40" s="171">
        <f>'Feed budgeting'!AT56</f>
        <v>374.40761029411772</v>
      </c>
      <c r="V40" s="84"/>
      <c r="W40" s="72"/>
      <c r="X40" s="72"/>
      <c r="Y40" s="72"/>
      <c r="Z40" s="72"/>
      <c r="AA40" s="72"/>
      <c r="AB40" s="72"/>
      <c r="AC40" s="72"/>
      <c r="AD40" s="15"/>
      <c r="AE40" s="72"/>
      <c r="AF40" s="72"/>
      <c r="AG40" s="72"/>
      <c r="AH40" s="72"/>
      <c r="AI40" s="72"/>
      <c r="AJ40" s="72"/>
      <c r="AK40" s="72"/>
      <c r="AL40" s="72"/>
      <c r="AM40" s="72"/>
      <c r="AN40" s="72"/>
      <c r="AO40" s="72"/>
      <c r="AP40" s="72"/>
      <c r="AQ40" s="172"/>
      <c r="AR40" s="15"/>
      <c r="AS40" s="72"/>
      <c r="AT40" s="72"/>
      <c r="AU40" s="172"/>
      <c r="AV40" s="15"/>
    </row>
    <row r="41" spans="1:59" s="76" customFormat="1" ht="12.75">
      <c r="A41" s="167" t="s">
        <v>69</v>
      </c>
      <c r="B41" s="73"/>
      <c r="C41" s="73"/>
      <c r="D41" s="73"/>
      <c r="E41" s="73"/>
      <c r="F41" s="73"/>
      <c r="G41" s="73"/>
      <c r="H41" s="73"/>
      <c r="I41" s="73"/>
      <c r="J41" s="73"/>
      <c r="K41" s="73"/>
      <c r="L41" s="171">
        <f>'Feed budgeting'!P63</f>
        <v>15</v>
      </c>
      <c r="M41" s="83"/>
      <c r="N41" s="169"/>
      <c r="O41" s="171">
        <f>'Feed budgeting'!Z63</f>
        <v>15</v>
      </c>
      <c r="P41" s="83"/>
      <c r="Q41" s="169"/>
      <c r="R41" s="171">
        <f>'Feed budgeting'!AJ63</f>
        <v>15</v>
      </c>
      <c r="S41" s="83"/>
      <c r="T41" s="169"/>
      <c r="U41" s="171">
        <f>'Feed budgeting'!AT63</f>
        <v>15</v>
      </c>
      <c r="V41" s="84"/>
      <c r="W41" s="138"/>
      <c r="X41" s="77"/>
      <c r="Y41" s="72"/>
      <c r="Z41" s="72"/>
      <c r="AA41" s="72"/>
      <c r="AB41" s="140"/>
      <c r="AC41" s="143"/>
      <c r="AD41" s="15"/>
      <c r="AE41" s="72"/>
      <c r="AF41" s="72"/>
      <c r="AG41" s="72"/>
      <c r="AH41" s="72"/>
      <c r="AI41" s="72"/>
      <c r="AJ41" s="72"/>
      <c r="AK41" s="72"/>
      <c r="AL41" s="72"/>
      <c r="AM41" s="72"/>
      <c r="AN41" s="72"/>
      <c r="AO41" s="72"/>
      <c r="AP41" s="72"/>
      <c r="AQ41" s="172"/>
      <c r="AR41" s="15"/>
      <c r="AS41" s="72"/>
      <c r="AT41" s="72"/>
      <c r="AU41" s="172"/>
      <c r="AV41" s="15"/>
    </row>
    <row r="42" spans="1:59" s="76" customFormat="1" ht="15">
      <c r="A42" s="167" t="s">
        <v>43</v>
      </c>
      <c r="B42" s="73"/>
      <c r="C42" s="73"/>
      <c r="D42" s="73"/>
      <c r="E42" s="73"/>
      <c r="F42" s="73"/>
      <c r="G42" s="73"/>
      <c r="H42" s="73"/>
      <c r="I42" s="73"/>
      <c r="J42" s="73"/>
      <c r="K42" s="73"/>
      <c r="L42" s="173">
        <f>'Feed budgeting'!P69</f>
        <v>27.375</v>
      </c>
      <c r="M42" s="83"/>
      <c r="N42" s="169"/>
      <c r="O42" s="173">
        <f>'Feed budgeting'!Z69</f>
        <v>27.375</v>
      </c>
      <c r="P42" s="83"/>
      <c r="Q42" s="169"/>
      <c r="R42" s="173">
        <f>'Feed budgeting'!AJ69</f>
        <v>27.375</v>
      </c>
      <c r="S42" s="83"/>
      <c r="T42" s="169"/>
      <c r="U42" s="173">
        <f>'Feed budgeting'!AT69</f>
        <v>27.375</v>
      </c>
      <c r="V42" s="84"/>
      <c r="W42" s="72"/>
      <c r="X42" s="72"/>
      <c r="Y42" s="72"/>
      <c r="Z42" s="72"/>
      <c r="AA42" s="72"/>
      <c r="AB42" s="72"/>
      <c r="AC42" s="143"/>
      <c r="AD42" s="15"/>
      <c r="AE42" s="72"/>
      <c r="AF42" s="72"/>
      <c r="AG42" s="72"/>
      <c r="AH42" s="72"/>
      <c r="AI42" s="72"/>
      <c r="AJ42" s="72"/>
      <c r="AK42" s="72"/>
      <c r="AL42" s="72"/>
      <c r="AM42" s="72"/>
      <c r="AN42" s="72"/>
      <c r="AO42" s="72"/>
      <c r="AP42" s="72"/>
      <c r="AQ42" s="72"/>
      <c r="AR42" s="15"/>
      <c r="AS42" s="72"/>
      <c r="AT42" s="72"/>
      <c r="AU42" s="72"/>
      <c r="AV42" s="15"/>
    </row>
    <row r="43" spans="1:59" s="76" customFormat="1" ht="12.75">
      <c r="A43" s="109"/>
      <c r="B43" s="73"/>
      <c r="C43" s="73"/>
      <c r="D43" s="73"/>
      <c r="E43" s="73"/>
      <c r="F43" s="73"/>
      <c r="G43" s="73"/>
      <c r="H43" s="73"/>
      <c r="I43" s="73"/>
      <c r="J43" s="73"/>
      <c r="K43" s="174" t="s">
        <v>30</v>
      </c>
      <c r="L43" s="175">
        <f>IF(M39="",L39,M39)+IF(M40="",L40,M40)+IF(M41="",L41,M41)+IF(M42="",L42,M42)</f>
        <v>421.25500021008406</v>
      </c>
      <c r="M43" s="110"/>
      <c r="N43" s="110"/>
      <c r="O43" s="175">
        <f>IF(P39="",O39,P39)+IF(P40="",O40,P40)+IF(P41="",O41,P41)+IF(P42="",O42,P42)</f>
        <v>548.20206617647068</v>
      </c>
      <c r="P43" s="20"/>
      <c r="Q43" s="20"/>
      <c r="R43" s="175">
        <f>IF(S39="",R39,S39)+IF(S40="",R40,S40)+IF(S41="",R41,S41)+IF(S42="",R42,S42)</f>
        <v>366.36419117647057</v>
      </c>
      <c r="S43" s="176"/>
      <c r="T43" s="176"/>
      <c r="U43" s="175">
        <f>IF(V39="",U39,V39)+IF(V40="",U40,V40)+IF(V41="",U41,V41)+IF(V42="",U42,V42)</f>
        <v>491.78261029411772</v>
      </c>
      <c r="V43" s="177"/>
      <c r="W43" s="72"/>
      <c r="X43" s="72"/>
      <c r="Y43" s="72"/>
      <c r="Z43" s="72"/>
      <c r="AA43" s="72"/>
      <c r="AB43" s="72"/>
      <c r="AC43" s="143"/>
      <c r="AD43" s="15"/>
      <c r="AE43" s="72"/>
      <c r="AF43" s="72"/>
      <c r="AG43" s="72"/>
      <c r="AH43" s="72"/>
      <c r="AI43" s="72"/>
      <c r="AJ43" s="72"/>
      <c r="AK43" s="72"/>
      <c r="AL43" s="72"/>
      <c r="AM43" s="72"/>
      <c r="AN43" s="72"/>
      <c r="AO43" s="72"/>
      <c r="AP43" s="72"/>
      <c r="AQ43" s="172"/>
      <c r="AR43" s="15"/>
      <c r="AS43" s="72"/>
      <c r="AT43" s="72"/>
      <c r="AU43" s="172"/>
      <c r="AV43" s="15"/>
    </row>
    <row r="44" spans="1:59" s="76" customFormat="1" ht="15.75">
      <c r="A44" s="178" t="s">
        <v>260</v>
      </c>
      <c r="B44" s="70"/>
      <c r="C44" s="70"/>
      <c r="D44" s="70"/>
      <c r="E44" s="70"/>
      <c r="F44" s="70"/>
      <c r="G44" s="70"/>
      <c r="H44" s="70"/>
      <c r="I44" s="70"/>
      <c r="J44" s="70"/>
      <c r="K44" s="70"/>
      <c r="L44" s="179"/>
      <c r="M44" s="74"/>
      <c r="N44" s="74"/>
      <c r="O44" s="179"/>
      <c r="P44" s="74"/>
      <c r="Q44" s="74"/>
      <c r="R44" s="179"/>
      <c r="S44" s="179"/>
      <c r="T44" s="179"/>
      <c r="U44" s="179"/>
      <c r="V44" s="180"/>
      <c r="W44" s="72"/>
      <c r="X44" s="72"/>
      <c r="Y44" s="72"/>
      <c r="Z44" s="72"/>
      <c r="AA44" s="72"/>
      <c r="AB44" s="140"/>
      <c r="AC44" s="181"/>
      <c r="AD44" s="15"/>
      <c r="AE44" s="72"/>
      <c r="AF44" s="72"/>
      <c r="AG44" s="72"/>
      <c r="AH44" s="72"/>
      <c r="AI44" s="72"/>
      <c r="AJ44" s="72"/>
      <c r="AK44" s="138"/>
      <c r="AL44" s="172"/>
      <c r="AM44" s="15"/>
      <c r="AN44" s="72"/>
      <c r="AO44" s="72"/>
      <c r="AP44" s="72"/>
      <c r="AQ44" s="143"/>
      <c r="AR44" s="15"/>
      <c r="AS44" s="72"/>
      <c r="AT44" s="72"/>
      <c r="AU44" s="143"/>
      <c r="AV44" s="15"/>
    </row>
    <row r="45" spans="1:59" s="76" customFormat="1" ht="12.75">
      <c r="A45" s="442" t="s">
        <v>22</v>
      </c>
      <c r="B45" s="443"/>
      <c r="C45" s="443"/>
      <c r="D45" s="15"/>
      <c r="E45" s="15"/>
      <c r="F45" s="71"/>
      <c r="G45" s="71"/>
      <c r="H45" s="71"/>
      <c r="I45" s="71"/>
      <c r="J45" s="71"/>
      <c r="K45" s="71"/>
      <c r="L45" s="41">
        <v>40</v>
      </c>
      <c r="M45" s="71"/>
      <c r="N45" s="71"/>
      <c r="O45" s="41">
        <v>40</v>
      </c>
      <c r="P45" s="15"/>
      <c r="Q45" s="15"/>
      <c r="R45" s="41">
        <v>40</v>
      </c>
      <c r="S45" s="172"/>
      <c r="T45" s="172"/>
      <c r="U45" s="41">
        <v>15</v>
      </c>
      <c r="V45" s="182"/>
      <c r="W45" s="72"/>
      <c r="X45" s="72"/>
      <c r="Y45" s="72"/>
      <c r="Z45" s="72"/>
      <c r="AA45" s="72"/>
      <c r="AB45" s="140"/>
      <c r="AC45" s="181"/>
      <c r="AD45" s="15"/>
      <c r="AE45" s="72"/>
      <c r="AF45" s="72"/>
      <c r="AG45" s="15"/>
      <c r="AH45" s="172"/>
      <c r="AI45" s="183"/>
      <c r="AJ45" s="183"/>
      <c r="AK45" s="81"/>
      <c r="AL45" s="72"/>
      <c r="AM45" s="72"/>
      <c r="AN45" s="72"/>
      <c r="AO45" s="184"/>
      <c r="AP45" s="72"/>
      <c r="AQ45" s="143"/>
      <c r="AR45" s="15"/>
      <c r="AS45" s="72"/>
      <c r="AT45" s="72"/>
      <c r="AU45" s="72"/>
      <c r="AV45" s="15"/>
      <c r="AW45" s="172"/>
      <c r="AX45" s="183"/>
      <c r="AY45" s="183"/>
      <c r="AZ45" s="81"/>
      <c r="BA45" s="72"/>
      <c r="BB45" s="72"/>
      <c r="BC45" s="72"/>
      <c r="BD45" s="184"/>
      <c r="BE45" s="72"/>
      <c r="BF45" s="143"/>
      <c r="BG45" s="15"/>
    </row>
    <row r="46" spans="1:59" s="76" customFormat="1" ht="12.75">
      <c r="A46" s="442" t="s">
        <v>39</v>
      </c>
      <c r="B46" s="443"/>
      <c r="C46" s="443"/>
      <c r="D46" s="15"/>
      <c r="E46" s="15"/>
      <c r="F46" s="71"/>
      <c r="G46" s="71"/>
      <c r="H46" s="71"/>
      <c r="I46" s="71"/>
      <c r="J46" s="71"/>
      <c r="K46" s="71"/>
      <c r="L46" s="41">
        <v>20</v>
      </c>
      <c r="M46" s="71"/>
      <c r="N46" s="71"/>
      <c r="O46" s="41">
        <v>80</v>
      </c>
      <c r="P46" s="72"/>
      <c r="Q46" s="72"/>
      <c r="R46" s="41">
        <v>10</v>
      </c>
      <c r="S46" s="72"/>
      <c r="T46" s="72"/>
      <c r="U46" s="41">
        <v>40</v>
      </c>
      <c r="V46" s="185"/>
      <c r="W46" s="72"/>
      <c r="X46" s="72"/>
      <c r="Y46" s="72"/>
      <c r="Z46" s="72"/>
      <c r="AA46" s="72"/>
      <c r="AB46" s="140"/>
      <c r="AC46" s="181"/>
      <c r="AD46" s="15"/>
      <c r="AE46" s="15"/>
      <c r="AF46" s="72"/>
      <c r="AG46" s="15"/>
      <c r="AH46" s="172"/>
      <c r="AI46" s="183"/>
      <c r="AJ46" s="183"/>
      <c r="AK46" s="81"/>
      <c r="AL46" s="72"/>
      <c r="AM46" s="72"/>
      <c r="AN46" s="72"/>
      <c r="AO46" s="72"/>
      <c r="AP46" s="140"/>
      <c r="AQ46" s="143"/>
      <c r="AR46" s="15"/>
      <c r="AS46" s="72"/>
      <c r="AT46" s="72"/>
      <c r="AU46" s="72"/>
      <c r="AV46" s="15"/>
      <c r="AW46" s="172"/>
      <c r="AX46" s="183"/>
      <c r="AY46" s="183"/>
      <c r="AZ46" s="81"/>
      <c r="BA46" s="72"/>
      <c r="BB46" s="72"/>
      <c r="BC46" s="72"/>
      <c r="BD46" s="72"/>
      <c r="BE46" s="140"/>
      <c r="BF46" s="143"/>
      <c r="BG46" s="15"/>
    </row>
    <row r="47" spans="1:59" s="76" customFormat="1" ht="12.75">
      <c r="A47" s="442" t="s">
        <v>23</v>
      </c>
      <c r="B47" s="443"/>
      <c r="C47" s="443"/>
      <c r="D47" s="15"/>
      <c r="E47" s="72"/>
      <c r="F47" s="71"/>
      <c r="G47" s="71"/>
      <c r="H47" s="71"/>
      <c r="I47" s="71"/>
      <c r="J47" s="71"/>
      <c r="K47" s="71"/>
      <c r="L47" s="41">
        <v>10</v>
      </c>
      <c r="M47" s="71"/>
      <c r="N47" s="71"/>
      <c r="O47" s="41">
        <v>20</v>
      </c>
      <c r="P47" s="72"/>
      <c r="Q47" s="72"/>
      <c r="R47" s="41">
        <v>10</v>
      </c>
      <c r="S47" s="72"/>
      <c r="T47" s="72"/>
      <c r="U47" s="41">
        <v>10</v>
      </c>
      <c r="V47" s="185"/>
      <c r="W47" s="72"/>
      <c r="X47" s="72"/>
      <c r="Y47" s="72"/>
      <c r="Z47" s="72"/>
      <c r="AA47" s="72"/>
      <c r="AB47" s="72"/>
      <c r="AC47" s="72"/>
      <c r="AD47" s="15"/>
      <c r="AE47" s="72"/>
      <c r="AF47" s="72"/>
      <c r="AG47" s="72"/>
      <c r="AH47" s="172"/>
      <c r="AI47" s="183"/>
      <c r="AJ47" s="183"/>
      <c r="AK47" s="81"/>
      <c r="AL47" s="77"/>
      <c r="AM47" s="72"/>
      <c r="AN47" s="72"/>
      <c r="AO47" s="72"/>
      <c r="AP47" s="140"/>
      <c r="AQ47" s="143"/>
      <c r="AR47" s="15"/>
      <c r="AS47" s="72"/>
      <c r="AT47" s="72"/>
      <c r="AU47" s="72"/>
      <c r="AV47" s="72"/>
      <c r="AW47" s="172"/>
      <c r="AX47" s="183"/>
      <c r="AY47" s="183"/>
      <c r="AZ47" s="81"/>
      <c r="BA47" s="77"/>
      <c r="BB47" s="72"/>
      <c r="BC47" s="72"/>
      <c r="BD47" s="72"/>
      <c r="BE47" s="140"/>
      <c r="BF47" s="143"/>
      <c r="BG47" s="15"/>
    </row>
    <row r="48" spans="1:59" s="76" customFormat="1" ht="12.75">
      <c r="A48" s="442" t="s">
        <v>24</v>
      </c>
      <c r="B48" s="443"/>
      <c r="C48" s="443"/>
      <c r="D48" s="15"/>
      <c r="E48" s="72"/>
      <c r="F48" s="71"/>
      <c r="G48" s="71"/>
      <c r="H48" s="71"/>
      <c r="I48" s="71"/>
      <c r="J48" s="71"/>
      <c r="K48" s="71"/>
      <c r="L48" s="42">
        <v>10</v>
      </c>
      <c r="M48" s="71"/>
      <c r="N48" s="71"/>
      <c r="O48" s="41">
        <v>10</v>
      </c>
      <c r="P48" s="15"/>
      <c r="Q48" s="15"/>
      <c r="R48" s="41">
        <v>10</v>
      </c>
      <c r="S48" s="172"/>
      <c r="T48" s="172"/>
      <c r="U48" s="41">
        <v>10</v>
      </c>
      <c r="V48" s="182"/>
      <c r="W48" s="72"/>
      <c r="X48" s="72"/>
      <c r="Y48" s="72"/>
      <c r="Z48" s="72"/>
      <c r="AA48" s="72"/>
      <c r="AB48" s="72"/>
      <c r="AC48" s="72"/>
      <c r="AD48" s="15"/>
      <c r="AE48" s="72"/>
      <c r="AF48" s="72"/>
      <c r="AG48" s="15"/>
      <c r="AH48" s="172"/>
      <c r="AI48" s="183"/>
      <c r="AJ48" s="183"/>
      <c r="AK48" s="81"/>
      <c r="AL48" s="77"/>
      <c r="AM48" s="72"/>
      <c r="AN48" s="72"/>
      <c r="AO48" s="72"/>
      <c r="AP48" s="140"/>
      <c r="AQ48" s="143"/>
      <c r="AR48" s="15"/>
      <c r="AS48" s="72"/>
      <c r="AT48" s="72"/>
      <c r="AU48" s="72"/>
      <c r="AV48" s="15"/>
      <c r="AW48" s="172"/>
      <c r="AX48" s="183"/>
      <c r="AY48" s="183"/>
      <c r="AZ48" s="81"/>
      <c r="BA48" s="77"/>
      <c r="BB48" s="72"/>
      <c r="BC48" s="72"/>
      <c r="BD48" s="72"/>
      <c r="BE48" s="140"/>
      <c r="BF48" s="143"/>
      <c r="BG48" s="15"/>
    </row>
    <row r="49" spans="1:59" s="76" customFormat="1" ht="12.75">
      <c r="A49" s="442"/>
      <c r="B49" s="443"/>
      <c r="C49" s="443"/>
      <c r="D49" s="15"/>
      <c r="E49" s="72"/>
      <c r="F49" s="71"/>
      <c r="G49" s="73"/>
      <c r="H49" s="73"/>
      <c r="I49" s="73"/>
      <c r="J49" s="73"/>
      <c r="K49" s="71"/>
      <c r="L49" s="41"/>
      <c r="M49" s="71"/>
      <c r="N49" s="71"/>
      <c r="O49" s="41"/>
      <c r="P49" s="72"/>
      <c r="Q49" s="72"/>
      <c r="R49" s="41"/>
      <c r="S49" s="72"/>
      <c r="T49" s="72"/>
      <c r="U49" s="41"/>
      <c r="V49" s="185"/>
      <c r="W49" s="72"/>
      <c r="X49" s="72"/>
      <c r="Y49" s="72"/>
      <c r="Z49" s="72"/>
      <c r="AA49" s="72"/>
      <c r="AB49" s="72"/>
      <c r="AC49" s="72"/>
      <c r="AD49" s="15"/>
      <c r="AE49" s="72"/>
      <c r="AF49" s="15"/>
      <c r="AG49" s="15"/>
      <c r="AH49" s="172"/>
      <c r="AI49" s="183"/>
      <c r="AJ49" s="183"/>
      <c r="AK49" s="81"/>
      <c r="AL49" s="77"/>
      <c r="AM49" s="72"/>
      <c r="AN49" s="72"/>
      <c r="AO49" s="72"/>
      <c r="AP49" s="140"/>
      <c r="AQ49" s="143"/>
      <c r="AR49" s="15"/>
      <c r="AS49" s="72"/>
      <c r="AT49" s="72"/>
      <c r="AU49" s="15"/>
      <c r="AV49" s="15"/>
      <c r="AW49" s="172"/>
      <c r="AX49" s="183"/>
      <c r="AY49" s="183"/>
      <c r="AZ49" s="81"/>
      <c r="BA49" s="77"/>
      <c r="BB49" s="72"/>
      <c r="BC49" s="72"/>
      <c r="BD49" s="72"/>
      <c r="BE49" s="140"/>
      <c r="BF49" s="143"/>
      <c r="BG49" s="15"/>
    </row>
    <row r="50" spans="1:59" s="76" customFormat="1" ht="12.75">
      <c r="A50" s="186"/>
      <c r="B50" s="78"/>
      <c r="C50" s="78"/>
      <c r="D50" s="15"/>
      <c r="E50" s="72"/>
      <c r="F50" s="71"/>
      <c r="G50" s="73"/>
      <c r="H50" s="73"/>
      <c r="I50" s="73"/>
      <c r="J50" s="73"/>
      <c r="K50" s="71"/>
      <c r="L50" s="143"/>
      <c r="M50" s="15"/>
      <c r="N50" s="15"/>
      <c r="O50" s="143"/>
      <c r="P50" s="72"/>
      <c r="Q50" s="72"/>
      <c r="R50" s="143"/>
      <c r="S50" s="72"/>
      <c r="T50" s="72"/>
      <c r="U50" s="143"/>
      <c r="V50" s="185"/>
      <c r="W50" s="72"/>
      <c r="X50" s="72"/>
      <c r="Y50" s="72"/>
      <c r="Z50" s="72"/>
      <c r="AA50" s="72"/>
      <c r="AB50" s="72"/>
      <c r="AC50" s="72"/>
      <c r="AD50" s="15"/>
      <c r="AE50" s="72"/>
      <c r="AF50" s="15"/>
      <c r="AG50" s="15"/>
      <c r="AH50" s="172"/>
      <c r="AI50" s="183"/>
      <c r="AJ50" s="183"/>
      <c r="AK50" s="81"/>
      <c r="AL50" s="77"/>
      <c r="AM50" s="72"/>
      <c r="AN50" s="72"/>
      <c r="AO50" s="72"/>
      <c r="AP50" s="140"/>
      <c r="AQ50" s="143"/>
      <c r="AR50" s="15"/>
      <c r="AS50" s="72"/>
      <c r="AT50" s="72"/>
      <c r="AU50" s="15"/>
      <c r="AV50" s="15"/>
      <c r="AW50" s="172"/>
      <c r="AX50" s="183"/>
      <c r="AY50" s="183"/>
      <c r="AZ50" s="81"/>
      <c r="BA50" s="77"/>
      <c r="BB50" s="72"/>
      <c r="BC50" s="72"/>
      <c r="BD50" s="72"/>
      <c r="BE50" s="140"/>
      <c r="BF50" s="143"/>
      <c r="BG50" s="15"/>
    </row>
    <row r="51" spans="1:59" s="76" customFormat="1" ht="15.75">
      <c r="A51" s="187" t="s">
        <v>312</v>
      </c>
      <c r="B51" s="70"/>
      <c r="C51" s="70"/>
      <c r="D51" s="70"/>
      <c r="E51" s="70"/>
      <c r="F51" s="74"/>
      <c r="G51" s="74"/>
      <c r="H51" s="74"/>
      <c r="I51" s="74"/>
      <c r="J51" s="70"/>
      <c r="K51" s="74"/>
      <c r="L51" s="188"/>
      <c r="M51" s="74"/>
      <c r="N51" s="74"/>
      <c r="O51" s="188"/>
      <c r="P51" s="70"/>
      <c r="Q51" s="70"/>
      <c r="R51" s="188"/>
      <c r="S51" s="70"/>
      <c r="T51" s="70"/>
      <c r="U51" s="188"/>
      <c r="V51" s="189"/>
      <c r="W51" s="72"/>
      <c r="X51" s="72"/>
      <c r="Y51" s="72"/>
      <c r="Z51" s="72"/>
      <c r="AA51" s="72"/>
      <c r="AB51" s="72"/>
      <c r="AC51" s="72"/>
      <c r="AD51" s="15"/>
      <c r="AE51" s="72"/>
      <c r="AF51" s="15"/>
      <c r="AG51" s="15"/>
      <c r="AH51" s="172"/>
      <c r="AI51" s="183"/>
      <c r="AJ51" s="183"/>
      <c r="AK51" s="81"/>
      <c r="AL51" s="77"/>
      <c r="AM51" s="72"/>
      <c r="AN51" s="72"/>
      <c r="AO51" s="72"/>
      <c r="AP51" s="72"/>
      <c r="AQ51" s="172"/>
      <c r="AR51" s="15"/>
      <c r="AS51" s="72"/>
      <c r="AT51" s="72"/>
      <c r="AU51" s="15"/>
      <c r="AV51" s="15"/>
      <c r="AW51" s="172"/>
      <c r="AX51" s="183"/>
      <c r="AY51" s="183"/>
      <c r="AZ51" s="81"/>
      <c r="BA51" s="77"/>
      <c r="BB51" s="72"/>
      <c r="BC51" s="72"/>
      <c r="BD51" s="72"/>
      <c r="BE51" s="72"/>
      <c r="BF51" s="172"/>
      <c r="BG51" s="15"/>
    </row>
    <row r="52" spans="1:59" s="76" customFormat="1" ht="15">
      <c r="A52" s="442" t="s">
        <v>316</v>
      </c>
      <c r="B52" s="443"/>
      <c r="C52" s="443"/>
      <c r="D52" s="15"/>
      <c r="E52" s="15"/>
      <c r="F52" s="15"/>
      <c r="G52" s="15"/>
      <c r="H52" s="75"/>
      <c r="I52" s="15"/>
      <c r="J52" s="71"/>
      <c r="K52" s="71"/>
      <c r="L52" s="41"/>
      <c r="M52" s="71"/>
      <c r="N52" s="71"/>
      <c r="O52" s="41">
        <v>1000</v>
      </c>
      <c r="P52" s="78"/>
      <c r="Q52" s="78"/>
      <c r="R52" s="41"/>
      <c r="S52" s="15"/>
      <c r="T52" s="15"/>
      <c r="U52" s="41"/>
      <c r="V52" s="88"/>
      <c r="W52" s="15"/>
      <c r="X52" s="15"/>
      <c r="Y52" s="15"/>
      <c r="Z52" s="15"/>
      <c r="AA52" s="15"/>
      <c r="AB52" s="72"/>
      <c r="AC52" s="72"/>
      <c r="AD52" s="15"/>
      <c r="AE52" s="72"/>
      <c r="AF52" s="152"/>
      <c r="AG52" s="72"/>
      <c r="AH52" s="72"/>
      <c r="AI52" s="183"/>
      <c r="AJ52" s="72"/>
      <c r="AK52" s="138"/>
      <c r="AL52" s="77"/>
      <c r="AM52" s="72"/>
      <c r="AN52" s="72"/>
      <c r="AO52" s="72"/>
      <c r="AP52" s="140"/>
      <c r="AQ52" s="143"/>
      <c r="AR52" s="15"/>
      <c r="AS52" s="72"/>
      <c r="AT52" s="72"/>
      <c r="AU52" s="152"/>
      <c r="AV52" s="72"/>
      <c r="AW52" s="72"/>
      <c r="AX52" s="183"/>
      <c r="AY52" s="72"/>
      <c r="AZ52" s="138"/>
      <c r="BA52" s="77"/>
      <c r="BB52" s="72"/>
      <c r="BC52" s="72"/>
      <c r="BD52" s="72"/>
      <c r="BE52" s="140"/>
      <c r="BF52" s="143"/>
      <c r="BG52" s="15"/>
    </row>
    <row r="53" spans="1:59" s="76" customFormat="1" ht="12.75">
      <c r="A53" s="190"/>
      <c r="B53" s="191"/>
      <c r="C53" s="78"/>
      <c r="D53" s="15"/>
      <c r="E53" s="15"/>
      <c r="F53" s="15"/>
      <c r="G53" s="15"/>
      <c r="H53" s="15"/>
      <c r="I53" s="15"/>
      <c r="K53" s="71"/>
      <c r="L53" s="192">
        <f>L52/$F$11</f>
        <v>0</v>
      </c>
      <c r="M53" s="134" t="s">
        <v>240</v>
      </c>
      <c r="N53" s="15"/>
      <c r="O53" s="192">
        <f>O52/$F$13</f>
        <v>10</v>
      </c>
      <c r="P53" s="134" t="s">
        <v>240</v>
      </c>
      <c r="Q53" s="78"/>
      <c r="R53" s="192">
        <f>R52/$F$15</f>
        <v>0</v>
      </c>
      <c r="S53" s="134" t="s">
        <v>240</v>
      </c>
      <c r="T53" s="15"/>
      <c r="U53" s="193">
        <f>U52/$F$17</f>
        <v>0</v>
      </c>
      <c r="V53" s="194" t="s">
        <v>240</v>
      </c>
      <c r="W53" s="15"/>
      <c r="X53" s="15"/>
      <c r="Y53" s="15"/>
      <c r="Z53" s="15"/>
      <c r="AA53" s="15"/>
      <c r="AB53" s="72"/>
      <c r="AC53" s="72"/>
      <c r="AD53" s="15"/>
      <c r="AE53" s="72"/>
      <c r="AF53" s="152"/>
      <c r="AG53" s="72"/>
      <c r="AH53" s="72"/>
      <c r="AI53" s="183"/>
      <c r="AJ53" s="72"/>
      <c r="AK53" s="138"/>
      <c r="AL53" s="77"/>
      <c r="AM53" s="72"/>
      <c r="AN53" s="72"/>
      <c r="AO53" s="72"/>
      <c r="AP53" s="140"/>
      <c r="AQ53" s="143"/>
      <c r="AR53" s="15"/>
      <c r="AS53" s="72"/>
      <c r="AT53" s="72"/>
      <c r="AU53" s="152"/>
      <c r="AV53" s="72"/>
      <c r="AW53" s="72"/>
      <c r="AX53" s="183"/>
      <c r="AY53" s="72"/>
      <c r="AZ53" s="138"/>
      <c r="BA53" s="77"/>
      <c r="BB53" s="72"/>
      <c r="BC53" s="72"/>
      <c r="BD53" s="72"/>
      <c r="BE53" s="140"/>
      <c r="BF53" s="143"/>
      <c r="BG53" s="15"/>
    </row>
    <row r="54" spans="1:59" s="76" customFormat="1" ht="12.75">
      <c r="A54" s="442" t="s">
        <v>311</v>
      </c>
      <c r="B54" s="443"/>
      <c r="C54" s="443"/>
      <c r="D54" s="15"/>
      <c r="E54" s="15"/>
      <c r="F54" s="15"/>
      <c r="G54" s="15"/>
      <c r="H54" s="15"/>
      <c r="I54" s="15"/>
      <c r="K54" s="71"/>
      <c r="L54" s="41"/>
      <c r="M54" s="71"/>
      <c r="N54" s="71"/>
      <c r="O54" s="41"/>
      <c r="P54" s="71"/>
      <c r="Q54" s="78"/>
      <c r="R54" s="41"/>
      <c r="S54" s="71"/>
      <c r="T54" s="15"/>
      <c r="U54" s="41"/>
      <c r="V54" s="111"/>
      <c r="W54" s="15"/>
      <c r="X54" s="15"/>
      <c r="Y54" s="15"/>
      <c r="Z54" s="15"/>
      <c r="AA54" s="15"/>
      <c r="AB54" s="72"/>
      <c r="AC54" s="172"/>
      <c r="AD54" s="15"/>
      <c r="AE54" s="72"/>
      <c r="AF54" s="72"/>
      <c r="AG54" s="72"/>
      <c r="AH54" s="72"/>
      <c r="AI54" s="72"/>
      <c r="AJ54" s="72"/>
      <c r="AK54" s="138"/>
      <c r="AL54" s="172"/>
      <c r="AM54" s="15"/>
      <c r="AN54" s="72"/>
      <c r="AO54" s="72"/>
      <c r="AP54" s="72"/>
      <c r="AQ54" s="143"/>
      <c r="AR54" s="15"/>
      <c r="AS54" s="72"/>
      <c r="AT54" s="72"/>
      <c r="AU54" s="72"/>
      <c r="AV54" s="72"/>
      <c r="AW54" s="72"/>
      <c r="AX54" s="72"/>
      <c r="AY54" s="72"/>
      <c r="AZ54" s="138"/>
      <c r="BA54" s="172"/>
      <c r="BB54" s="15"/>
      <c r="BC54" s="72"/>
      <c r="BD54" s="72"/>
      <c r="BE54" s="72"/>
      <c r="BF54" s="143"/>
      <c r="BG54" s="15"/>
    </row>
    <row r="55" spans="1:59" s="76" customFormat="1" ht="12.75">
      <c r="A55" s="190"/>
      <c r="B55" s="191"/>
      <c r="C55" s="78"/>
      <c r="D55" s="15"/>
      <c r="E55" s="15"/>
      <c r="F55" s="15"/>
      <c r="G55" s="15"/>
      <c r="H55" s="15"/>
      <c r="I55" s="15"/>
      <c r="K55" s="71"/>
      <c r="L55" s="192">
        <f>L54/$F$11</f>
        <v>0</v>
      </c>
      <c r="M55" s="134" t="s">
        <v>240</v>
      </c>
      <c r="N55" s="15"/>
      <c r="O55" s="192">
        <f>O54/$F$13</f>
        <v>0</v>
      </c>
      <c r="P55" s="134" t="s">
        <v>240</v>
      </c>
      <c r="Q55" s="78"/>
      <c r="R55" s="192">
        <f>R54/$F$15</f>
        <v>0</v>
      </c>
      <c r="S55" s="134" t="s">
        <v>240</v>
      </c>
      <c r="T55" s="15"/>
      <c r="U55" s="193">
        <f>U54/$F$17</f>
        <v>0</v>
      </c>
      <c r="V55" s="194" t="s">
        <v>240</v>
      </c>
      <c r="W55" s="15"/>
      <c r="X55" s="15"/>
      <c r="Y55" s="15"/>
      <c r="Z55" s="15"/>
      <c r="AA55" s="15"/>
      <c r="AB55" s="72"/>
      <c r="AC55" s="172"/>
      <c r="AD55" s="15"/>
      <c r="AE55" s="72"/>
      <c r="AF55" s="72"/>
      <c r="AG55" s="72"/>
      <c r="AH55" s="72"/>
      <c r="AI55" s="72"/>
      <c r="AJ55" s="72"/>
      <c r="AK55" s="138"/>
      <c r="AL55" s="172"/>
      <c r="AM55" s="15"/>
      <c r="AN55" s="72"/>
      <c r="AO55" s="72"/>
      <c r="AP55" s="72"/>
      <c r="AQ55" s="143"/>
      <c r="AR55" s="15"/>
      <c r="AS55" s="72"/>
      <c r="AT55" s="72"/>
      <c r="AU55" s="72"/>
      <c r="AV55" s="72"/>
      <c r="AW55" s="72"/>
      <c r="AX55" s="72"/>
      <c r="AY55" s="72"/>
      <c r="AZ55" s="138"/>
      <c r="BA55" s="172"/>
      <c r="BB55" s="15"/>
      <c r="BC55" s="72"/>
      <c r="BD55" s="72"/>
      <c r="BE55" s="72"/>
      <c r="BF55" s="143"/>
      <c r="BG55" s="15"/>
    </row>
    <row r="56" spans="1:59" s="76" customFormat="1" ht="12.75">
      <c r="A56" s="442"/>
      <c r="B56" s="443"/>
      <c r="C56" s="443"/>
      <c r="D56" s="15"/>
      <c r="E56" s="15"/>
      <c r="F56" s="15"/>
      <c r="G56" s="15"/>
      <c r="H56" s="15"/>
      <c r="I56" s="15"/>
      <c r="K56" s="71"/>
      <c r="L56" s="41"/>
      <c r="M56" s="71"/>
      <c r="N56" s="71"/>
      <c r="O56" s="41"/>
      <c r="P56" s="71"/>
      <c r="Q56" s="78"/>
      <c r="R56" s="41"/>
      <c r="S56" s="71"/>
      <c r="T56" s="15"/>
      <c r="U56" s="41"/>
      <c r="V56" s="111"/>
      <c r="W56" s="15"/>
      <c r="X56" s="15"/>
      <c r="Y56" s="15"/>
      <c r="Z56" s="15"/>
      <c r="AA56" s="15"/>
      <c r="AB56" s="72"/>
      <c r="AC56" s="172"/>
      <c r="AD56" s="15"/>
      <c r="AE56" s="72"/>
      <c r="AF56" s="72"/>
      <c r="AG56" s="15"/>
      <c r="AH56" s="172"/>
      <c r="AI56" s="183"/>
      <c r="AJ56" s="183"/>
      <c r="AK56" s="81"/>
      <c r="AL56" s="72"/>
      <c r="AM56" s="72"/>
      <c r="AN56" s="72"/>
      <c r="AO56" s="184"/>
      <c r="AP56" s="72"/>
      <c r="AQ56" s="143"/>
      <c r="AR56" s="15"/>
      <c r="AS56" s="72"/>
      <c r="AT56" s="72"/>
      <c r="AU56" s="72"/>
      <c r="AV56" s="15"/>
      <c r="AW56" s="172"/>
      <c r="AX56" s="183"/>
      <c r="AY56" s="183"/>
      <c r="AZ56" s="81"/>
      <c r="BA56" s="72"/>
      <c r="BB56" s="72"/>
      <c r="BC56" s="72"/>
      <c r="BD56" s="184"/>
      <c r="BE56" s="72"/>
      <c r="BF56" s="143"/>
      <c r="BG56" s="15"/>
    </row>
    <row r="57" spans="1:59" s="76" customFormat="1" ht="12.75">
      <c r="A57" s="190"/>
      <c r="B57" s="191"/>
      <c r="C57" s="78"/>
      <c r="D57" s="15"/>
      <c r="E57" s="15"/>
      <c r="F57" s="15"/>
      <c r="G57" s="15"/>
      <c r="H57" s="15"/>
      <c r="I57" s="15"/>
      <c r="K57" s="71"/>
      <c r="L57" s="192">
        <f>L56/$F$11</f>
        <v>0</v>
      </c>
      <c r="M57" s="134" t="s">
        <v>240</v>
      </c>
      <c r="N57" s="15"/>
      <c r="O57" s="192">
        <f>O56/$F$13</f>
        <v>0</v>
      </c>
      <c r="P57" s="134" t="s">
        <v>240</v>
      </c>
      <c r="Q57" s="78"/>
      <c r="R57" s="192">
        <f>R56/$F$15</f>
        <v>0</v>
      </c>
      <c r="S57" s="134" t="s">
        <v>240</v>
      </c>
      <c r="T57" s="15"/>
      <c r="U57" s="193">
        <f>U56/$F$17</f>
        <v>0</v>
      </c>
      <c r="V57" s="194" t="s">
        <v>240</v>
      </c>
      <c r="W57" s="15"/>
      <c r="X57" s="15"/>
      <c r="Y57" s="15"/>
      <c r="Z57" s="15"/>
      <c r="AA57" s="15"/>
      <c r="AB57" s="72"/>
      <c r="AC57" s="172"/>
      <c r="AD57" s="15"/>
      <c r="AE57" s="72"/>
      <c r="AF57" s="72"/>
      <c r="AG57" s="15"/>
      <c r="AH57" s="172"/>
      <c r="AI57" s="183"/>
      <c r="AJ57" s="183"/>
      <c r="AK57" s="81"/>
      <c r="AL57" s="72"/>
      <c r="AM57" s="72"/>
      <c r="AN57" s="72"/>
      <c r="AO57" s="184"/>
      <c r="AP57" s="72"/>
      <c r="AQ57" s="143"/>
      <c r="AR57" s="15"/>
      <c r="AS57" s="72"/>
      <c r="AT57" s="72"/>
      <c r="AU57" s="72"/>
      <c r="AV57" s="15"/>
      <c r="AW57" s="172"/>
      <c r="AX57" s="183"/>
      <c r="AY57" s="183"/>
      <c r="AZ57" s="81"/>
      <c r="BA57" s="72"/>
      <c r="BB57" s="72"/>
      <c r="BC57" s="72"/>
      <c r="BD57" s="184"/>
      <c r="BE57" s="72"/>
      <c r="BF57" s="143"/>
      <c r="BG57" s="15"/>
    </row>
    <row r="58" spans="1:59" s="76" customFormat="1" ht="12.75">
      <c r="A58" s="442"/>
      <c r="B58" s="443"/>
      <c r="C58" s="443"/>
      <c r="D58" s="15"/>
      <c r="E58" s="15"/>
      <c r="F58" s="71"/>
      <c r="G58" s="71"/>
      <c r="H58" s="71"/>
      <c r="I58" s="71"/>
      <c r="K58" s="71"/>
      <c r="L58" s="41"/>
      <c r="M58" s="71"/>
      <c r="N58" s="71"/>
      <c r="O58" s="41"/>
      <c r="P58" s="71"/>
      <c r="Q58" s="78"/>
      <c r="R58" s="41"/>
      <c r="S58" s="71"/>
      <c r="T58" s="15"/>
      <c r="U58" s="41"/>
      <c r="V58" s="111"/>
      <c r="W58" s="15"/>
      <c r="X58" s="15"/>
      <c r="Y58" s="15"/>
      <c r="Z58" s="15"/>
      <c r="AA58" s="15"/>
      <c r="AB58" s="72"/>
      <c r="AC58" s="172"/>
      <c r="AD58" s="15"/>
      <c r="AE58" s="72"/>
      <c r="AF58" s="72"/>
      <c r="AG58" s="15"/>
      <c r="AH58" s="172"/>
      <c r="AI58" s="183"/>
      <c r="AJ58" s="183"/>
      <c r="AK58" s="81"/>
      <c r="AL58" s="72"/>
      <c r="AM58" s="72"/>
      <c r="AN58" s="72"/>
      <c r="AO58" s="72"/>
      <c r="AP58" s="140"/>
      <c r="AQ58" s="181"/>
      <c r="AR58" s="15"/>
      <c r="AS58" s="72"/>
      <c r="AT58" s="72"/>
      <c r="AU58" s="72"/>
      <c r="AV58" s="15"/>
      <c r="AW58" s="172"/>
      <c r="AX58" s="183"/>
      <c r="AY58" s="183"/>
      <c r="AZ58" s="81"/>
      <c r="BA58" s="72"/>
      <c r="BB58" s="72"/>
      <c r="BC58" s="72"/>
      <c r="BD58" s="72"/>
      <c r="BE58" s="140"/>
      <c r="BF58" s="181"/>
      <c r="BG58" s="15"/>
    </row>
    <row r="59" spans="1:59" s="76" customFormat="1" ht="12.75">
      <c r="B59" s="72"/>
      <c r="C59" s="15"/>
      <c r="D59" s="15"/>
      <c r="E59" s="15"/>
      <c r="F59" s="71"/>
      <c r="G59" s="71"/>
      <c r="H59" s="71"/>
      <c r="I59" s="71"/>
      <c r="K59" s="71"/>
      <c r="L59" s="192">
        <f>L58/$F$11</f>
        <v>0</v>
      </c>
      <c r="M59" s="134" t="s">
        <v>240</v>
      </c>
      <c r="N59" s="15"/>
      <c r="O59" s="192">
        <f>O58/$F$13</f>
        <v>0</v>
      </c>
      <c r="P59" s="134" t="s">
        <v>240</v>
      </c>
      <c r="Q59" s="78"/>
      <c r="R59" s="192">
        <f>R58/$F$15</f>
        <v>0</v>
      </c>
      <c r="S59" s="134" t="s">
        <v>240</v>
      </c>
      <c r="T59" s="15"/>
      <c r="U59" s="193">
        <f>U58/$F$17</f>
        <v>0</v>
      </c>
      <c r="V59" s="194" t="s">
        <v>240</v>
      </c>
      <c r="W59" s="15"/>
      <c r="X59" s="15"/>
      <c r="Y59" s="15"/>
      <c r="Z59" s="15"/>
      <c r="AA59" s="15"/>
      <c r="AB59" s="72"/>
      <c r="AC59" s="172"/>
      <c r="AD59" s="15"/>
      <c r="AE59" s="72"/>
      <c r="AF59" s="72"/>
      <c r="AG59" s="15"/>
      <c r="AH59" s="172"/>
      <c r="AI59" s="183"/>
      <c r="AJ59" s="183"/>
      <c r="AK59" s="81"/>
      <c r="AL59" s="72"/>
      <c r="AM59" s="72"/>
      <c r="AN59" s="72"/>
      <c r="AO59" s="72"/>
      <c r="AP59" s="140"/>
      <c r="AQ59" s="181"/>
      <c r="AR59" s="15"/>
      <c r="AS59" s="72"/>
      <c r="AT59" s="72"/>
      <c r="AU59" s="72"/>
      <c r="AV59" s="15"/>
      <c r="AW59" s="172"/>
      <c r="AX59" s="183"/>
      <c r="AY59" s="183"/>
      <c r="AZ59" s="81"/>
      <c r="BA59" s="72"/>
      <c r="BB59" s="72"/>
      <c r="BC59" s="72"/>
      <c r="BD59" s="72"/>
      <c r="BE59" s="140"/>
      <c r="BF59" s="181"/>
      <c r="BG59" s="15"/>
    </row>
    <row r="60" spans="1:59" s="76" customFormat="1" ht="12.75">
      <c r="B60" s="72"/>
      <c r="C60" s="15"/>
      <c r="D60" s="15"/>
      <c r="E60" s="15"/>
      <c r="F60" s="71"/>
      <c r="G60" s="71"/>
      <c r="H60" s="71"/>
      <c r="I60" s="71"/>
      <c r="J60" s="71"/>
      <c r="K60" s="71"/>
      <c r="L60" s="143"/>
      <c r="M60" s="15"/>
      <c r="N60" s="15"/>
      <c r="O60" s="143"/>
      <c r="P60" s="78"/>
      <c r="Q60" s="78"/>
      <c r="R60" s="143"/>
      <c r="S60" s="15"/>
      <c r="T60" s="15"/>
      <c r="U60" s="195"/>
      <c r="V60" s="185"/>
      <c r="W60" s="15"/>
      <c r="X60" s="15"/>
      <c r="Y60" s="15"/>
      <c r="Z60" s="15"/>
      <c r="AA60" s="15"/>
      <c r="AB60" s="72"/>
      <c r="AC60" s="172"/>
      <c r="AD60" s="15"/>
      <c r="AE60" s="72"/>
      <c r="AF60" s="72"/>
      <c r="AG60" s="15"/>
      <c r="AH60" s="172"/>
      <c r="AI60" s="183"/>
      <c r="AJ60" s="183"/>
      <c r="AK60" s="81"/>
      <c r="AL60" s="72"/>
      <c r="AM60" s="72"/>
      <c r="AN60" s="72"/>
      <c r="AO60" s="72"/>
      <c r="AP60" s="140"/>
      <c r="AQ60" s="181"/>
      <c r="AR60" s="15"/>
      <c r="AS60" s="72"/>
      <c r="AT60" s="72"/>
      <c r="AU60" s="72"/>
      <c r="AV60" s="15"/>
      <c r="AW60" s="172"/>
      <c r="AX60" s="183"/>
      <c r="AY60" s="183"/>
      <c r="AZ60" s="81"/>
      <c r="BA60" s="72"/>
      <c r="BB60" s="72"/>
      <c r="BC60" s="72"/>
      <c r="BD60" s="72"/>
      <c r="BE60" s="140"/>
      <c r="BF60" s="181"/>
      <c r="BG60" s="15"/>
    </row>
    <row r="61" spans="1:59" s="76" customFormat="1" ht="15.75">
      <c r="A61" s="178" t="s">
        <v>261</v>
      </c>
      <c r="B61" s="196"/>
      <c r="C61" s="197"/>
      <c r="D61" s="70"/>
      <c r="E61" s="70"/>
      <c r="F61" s="70"/>
      <c r="G61" s="70"/>
      <c r="H61" s="70"/>
      <c r="I61" s="70"/>
      <c r="J61" s="70"/>
      <c r="K61" s="70"/>
      <c r="L61" s="70"/>
      <c r="M61" s="74"/>
      <c r="N61" s="74"/>
      <c r="O61" s="179"/>
      <c r="P61" s="198"/>
      <c r="Q61" s="198"/>
      <c r="R61" s="179"/>
      <c r="S61" s="74"/>
      <c r="T61" s="74"/>
      <c r="U61" s="179"/>
      <c r="V61" s="189"/>
      <c r="W61" s="15"/>
      <c r="X61" s="15"/>
      <c r="Y61" s="15"/>
      <c r="Z61" s="15"/>
      <c r="AA61" s="15"/>
      <c r="AB61" s="72"/>
      <c r="AC61" s="172"/>
      <c r="AD61" s="15"/>
      <c r="AE61" s="72"/>
      <c r="AF61" s="72"/>
      <c r="AG61" s="72"/>
      <c r="AH61" s="172"/>
      <c r="AI61" s="183"/>
      <c r="AJ61" s="183"/>
      <c r="AK61" s="81"/>
      <c r="AL61" s="77"/>
      <c r="AM61" s="72"/>
      <c r="AN61" s="72"/>
      <c r="AO61" s="72"/>
      <c r="AP61" s="140"/>
      <c r="AQ61" s="181"/>
      <c r="AR61" s="15"/>
      <c r="AS61" s="72"/>
      <c r="AT61" s="72"/>
      <c r="AU61" s="72"/>
      <c r="AV61" s="72"/>
      <c r="AW61" s="172"/>
      <c r="AX61" s="183"/>
      <c r="AY61" s="183"/>
      <c r="AZ61" s="81"/>
      <c r="BA61" s="77"/>
      <c r="BB61" s="72"/>
      <c r="BC61" s="72"/>
      <c r="BD61" s="72"/>
      <c r="BE61" s="140"/>
      <c r="BF61" s="181"/>
      <c r="BG61" s="15"/>
    </row>
    <row r="62" spans="1:59" s="76" customFormat="1" ht="12.75">
      <c r="A62" s="442" t="s">
        <v>269</v>
      </c>
      <c r="B62" s="443"/>
      <c r="C62" s="246">
        <v>20</v>
      </c>
      <c r="D62" s="77" t="s">
        <v>317</v>
      </c>
      <c r="E62" s="72"/>
      <c r="F62" s="78"/>
      <c r="G62" s="78"/>
      <c r="H62" s="78"/>
      <c r="I62" s="78"/>
      <c r="J62" s="79"/>
      <c r="K62" s="15"/>
      <c r="L62" s="192">
        <f>$C62*('Feed budgeting'!J$10+'Feed budgeting'!J$11+'Feed budgeting'!J$12)</f>
        <v>40</v>
      </c>
      <c r="M62" s="134" t="s">
        <v>240</v>
      </c>
      <c r="N62" s="71"/>
      <c r="O62" s="192">
        <f>$C62*('Feed budgeting'!T$10+'Feed budgeting'!T$11+'Feed budgeting'!T$12)</f>
        <v>0</v>
      </c>
      <c r="P62" s="134" t="s">
        <v>240</v>
      </c>
      <c r="Q62" s="78"/>
      <c r="R62" s="192">
        <f>$C62*('Feed budgeting'!AD$10+'Feed budgeting'!AD$11+'Feed budgeting'!AD$12)</f>
        <v>70</v>
      </c>
      <c r="S62" s="134" t="s">
        <v>240</v>
      </c>
      <c r="T62" s="15"/>
      <c r="U62" s="192">
        <f>$C62*('Feed budgeting'!AN$10+'Feed budgeting'!AN$11+'Feed budgeting'!AN$12)</f>
        <v>20</v>
      </c>
      <c r="V62" s="194" t="s">
        <v>240</v>
      </c>
      <c r="W62" s="15"/>
      <c r="X62" s="15"/>
      <c r="Y62" s="15"/>
      <c r="Z62" s="15"/>
      <c r="AA62" s="15"/>
      <c r="AB62" s="72"/>
      <c r="AC62" s="72"/>
      <c r="AD62" s="15"/>
      <c r="AE62" s="72"/>
      <c r="AF62" s="72"/>
      <c r="AG62" s="15"/>
      <c r="AH62" s="172"/>
      <c r="AI62" s="183"/>
      <c r="AJ62" s="183"/>
      <c r="AK62" s="81"/>
      <c r="AL62" s="77"/>
      <c r="AM62" s="72"/>
      <c r="AN62" s="72"/>
      <c r="AO62" s="72"/>
      <c r="AP62" s="140"/>
      <c r="AQ62" s="181"/>
      <c r="AR62" s="15"/>
      <c r="AS62" s="72"/>
      <c r="AT62" s="72"/>
      <c r="AU62" s="72"/>
      <c r="AV62" s="15"/>
      <c r="AW62" s="172"/>
      <c r="AX62" s="183"/>
      <c r="AY62" s="183"/>
      <c r="AZ62" s="81"/>
      <c r="BA62" s="77"/>
      <c r="BB62" s="72"/>
      <c r="BC62" s="72"/>
      <c r="BD62" s="72"/>
      <c r="BE62" s="140"/>
      <c r="BF62" s="181"/>
      <c r="BG62" s="15"/>
    </row>
    <row r="63" spans="1:59" s="76" customFormat="1" ht="12.75">
      <c r="A63" s="442" t="s">
        <v>46</v>
      </c>
      <c r="B63" s="443"/>
      <c r="C63" s="246">
        <v>10</v>
      </c>
      <c r="D63" s="77" t="s">
        <v>317</v>
      </c>
      <c r="E63" s="72"/>
      <c r="F63" s="78"/>
      <c r="G63" s="78"/>
      <c r="H63" s="78"/>
      <c r="I63" s="78"/>
      <c r="J63" s="79"/>
      <c r="K63" s="15"/>
      <c r="L63" s="192">
        <f>$C63*('Feed budgeting'!J$10+'Feed budgeting'!J$11+'Feed budgeting'!J$12)</f>
        <v>20</v>
      </c>
      <c r="M63" s="134" t="s">
        <v>240</v>
      </c>
      <c r="N63" s="71"/>
      <c r="O63" s="192">
        <f>$C63*('Feed budgeting'!T$10+'Feed budgeting'!T$11+'Feed budgeting'!T$12)</f>
        <v>0</v>
      </c>
      <c r="P63" s="134" t="s">
        <v>240</v>
      </c>
      <c r="Q63" s="78"/>
      <c r="R63" s="192">
        <f>$C63*('Feed budgeting'!AD$10+'Feed budgeting'!AD$11+'Feed budgeting'!AD$12)</f>
        <v>35</v>
      </c>
      <c r="S63" s="134" t="s">
        <v>240</v>
      </c>
      <c r="T63" s="15"/>
      <c r="U63" s="192">
        <f>$C63*('Feed budgeting'!AN$10+'Feed budgeting'!AN$11+'Feed budgeting'!AN$12)</f>
        <v>10</v>
      </c>
      <c r="V63" s="194" t="s">
        <v>240</v>
      </c>
      <c r="W63" s="15"/>
      <c r="X63" s="15"/>
      <c r="Y63" s="15"/>
      <c r="Z63" s="15"/>
      <c r="AA63" s="15"/>
      <c r="AB63" s="140"/>
      <c r="AC63" s="143"/>
      <c r="AD63" s="15"/>
      <c r="AE63" s="72"/>
      <c r="AF63" s="15"/>
      <c r="AG63" s="15"/>
      <c r="AH63" s="172"/>
      <c r="AI63" s="183"/>
      <c r="AJ63" s="183"/>
      <c r="AK63" s="81"/>
      <c r="AL63" s="77"/>
      <c r="AM63" s="72"/>
      <c r="AN63" s="72"/>
      <c r="AO63" s="72"/>
      <c r="AP63" s="72"/>
      <c r="AQ63" s="72"/>
      <c r="AR63" s="15"/>
      <c r="AS63" s="72"/>
      <c r="AT63" s="72"/>
      <c r="AU63" s="15"/>
      <c r="AV63" s="15"/>
      <c r="AW63" s="172"/>
      <c r="AX63" s="183"/>
      <c r="AY63" s="183"/>
      <c r="AZ63" s="81"/>
      <c r="BA63" s="77"/>
      <c r="BB63" s="72"/>
      <c r="BC63" s="72"/>
      <c r="BD63" s="72"/>
      <c r="BE63" s="72"/>
      <c r="BF63" s="72"/>
      <c r="BG63" s="15"/>
    </row>
    <row r="64" spans="1:59" s="76" customFormat="1" ht="12.75">
      <c r="A64" s="442" t="s">
        <v>45</v>
      </c>
      <c r="B64" s="443"/>
      <c r="C64" s="246">
        <v>5</v>
      </c>
      <c r="D64" s="77" t="s">
        <v>317</v>
      </c>
      <c r="E64" s="72"/>
      <c r="F64" s="78"/>
      <c r="G64" s="78"/>
      <c r="H64" s="78"/>
      <c r="I64" s="78"/>
      <c r="J64" s="80"/>
      <c r="K64" s="15"/>
      <c r="L64" s="192">
        <f>$C64*('Feed budgeting'!J$10+'Feed budgeting'!J$11+'Feed budgeting'!J$12)</f>
        <v>10</v>
      </c>
      <c r="M64" s="134" t="s">
        <v>240</v>
      </c>
      <c r="N64" s="71"/>
      <c r="O64" s="192">
        <f>$C64*('Feed budgeting'!T$10+'Feed budgeting'!T$11+'Feed budgeting'!T$12)</f>
        <v>0</v>
      </c>
      <c r="P64" s="134" t="s">
        <v>240</v>
      </c>
      <c r="Q64" s="78"/>
      <c r="R64" s="192">
        <f>$C64*('Feed budgeting'!AD$10+'Feed budgeting'!AD$11+'Feed budgeting'!AD$12)</f>
        <v>17.5</v>
      </c>
      <c r="S64" s="134" t="s">
        <v>240</v>
      </c>
      <c r="T64" s="15"/>
      <c r="U64" s="192">
        <f>$C64*('Feed budgeting'!AN$10+'Feed budgeting'!AN$11+'Feed budgeting'!AN$12)</f>
        <v>5</v>
      </c>
      <c r="V64" s="194" t="s">
        <v>240</v>
      </c>
      <c r="W64" s="15"/>
      <c r="X64" s="15"/>
      <c r="Y64" s="15"/>
      <c r="Z64" s="15"/>
      <c r="AA64" s="15"/>
      <c r="AB64" s="72"/>
      <c r="AC64" s="72"/>
      <c r="AD64" s="15"/>
      <c r="AE64" s="72"/>
      <c r="AF64" s="15"/>
      <c r="AG64" s="15"/>
      <c r="AH64" s="172"/>
      <c r="AI64" s="183"/>
      <c r="AJ64" s="183"/>
      <c r="AK64" s="81"/>
      <c r="AL64" s="77"/>
      <c r="AM64" s="72"/>
      <c r="AN64" s="72"/>
      <c r="AO64" s="72"/>
      <c r="AP64" s="72"/>
      <c r="AQ64" s="72"/>
      <c r="AR64" s="15"/>
      <c r="AS64" s="72"/>
      <c r="AT64" s="72"/>
      <c r="AU64" s="15"/>
      <c r="AV64" s="15"/>
      <c r="AW64" s="172"/>
      <c r="AX64" s="183"/>
      <c r="AY64" s="183"/>
      <c r="AZ64" s="81"/>
      <c r="BA64" s="77"/>
      <c r="BB64" s="72"/>
      <c r="BC64" s="72"/>
      <c r="BD64" s="72"/>
      <c r="BE64" s="72"/>
      <c r="BF64" s="72"/>
      <c r="BG64" s="15"/>
    </row>
    <row r="65" spans="1:59" s="76" customFormat="1" ht="12.75">
      <c r="A65" s="452" t="s">
        <v>268</v>
      </c>
      <c r="B65" s="453"/>
      <c r="C65" s="246"/>
      <c r="D65" s="77" t="s">
        <v>317</v>
      </c>
      <c r="E65" s="73"/>
      <c r="F65" s="45"/>
      <c r="G65" s="15"/>
      <c r="H65" s="81"/>
      <c r="I65" s="77"/>
      <c r="J65" s="82"/>
      <c r="K65" s="199"/>
      <c r="L65" s="192">
        <f>$C65*('Feed budgeting'!J$10+'Feed budgeting'!J$11+'Feed budgeting'!J$12)</f>
        <v>0</v>
      </c>
      <c r="M65" s="134" t="s">
        <v>240</v>
      </c>
      <c r="N65" s="71"/>
      <c r="O65" s="192">
        <f>$C65*('Feed budgeting'!T$10+'Feed budgeting'!T$11+'Feed budgeting'!T$12)</f>
        <v>0</v>
      </c>
      <c r="P65" s="134" t="s">
        <v>240</v>
      </c>
      <c r="Q65" s="78"/>
      <c r="R65" s="192">
        <f>$C65*('Feed budgeting'!AD$10+'Feed budgeting'!AD$11+'Feed budgeting'!AD$12)</f>
        <v>0</v>
      </c>
      <c r="S65" s="134" t="s">
        <v>240</v>
      </c>
      <c r="T65" s="15"/>
      <c r="U65" s="192">
        <f>$C65*('Feed budgeting'!AN$10+'Feed budgeting'!AN$11+'Feed budgeting'!AN$12)</f>
        <v>0</v>
      </c>
      <c r="V65" s="194" t="s">
        <v>240</v>
      </c>
      <c r="W65" s="15"/>
      <c r="X65" s="15"/>
      <c r="Y65" s="15"/>
      <c r="Z65" s="15"/>
      <c r="AA65" s="15"/>
      <c r="AB65" s="15"/>
      <c r="AC65" s="141"/>
      <c r="AD65" s="15"/>
      <c r="AE65" s="72"/>
      <c r="AF65" s="72"/>
      <c r="AG65" s="72"/>
      <c r="AH65" s="72"/>
      <c r="AI65" s="183"/>
      <c r="AJ65" s="72"/>
      <c r="AK65" s="72"/>
      <c r="AL65" s="72"/>
      <c r="AM65" s="72"/>
      <c r="AN65" s="72"/>
      <c r="AO65" s="72"/>
      <c r="AP65" s="72"/>
      <c r="AQ65" s="72"/>
      <c r="AR65" s="15"/>
      <c r="AS65" s="72"/>
      <c r="AT65" s="72"/>
      <c r="AU65" s="72"/>
      <c r="AV65" s="72"/>
      <c r="AW65" s="72"/>
      <c r="AX65" s="183"/>
      <c r="AY65" s="72"/>
      <c r="AZ65" s="72"/>
      <c r="BA65" s="72"/>
      <c r="BB65" s="72"/>
      <c r="BC65" s="72"/>
      <c r="BD65" s="72"/>
      <c r="BE65" s="72"/>
      <c r="BF65" s="72"/>
      <c r="BG65" s="15"/>
    </row>
    <row r="66" spans="1:59" s="76" customFormat="1" ht="12.75">
      <c r="A66" s="200"/>
      <c r="B66" s="72"/>
      <c r="C66" s="172"/>
      <c r="D66" s="73"/>
      <c r="E66" s="73"/>
      <c r="F66" s="45"/>
      <c r="G66" s="15"/>
      <c r="H66" s="81"/>
      <c r="I66" s="77"/>
      <c r="J66" s="82"/>
      <c r="K66" s="199"/>
      <c r="L66" s="143"/>
      <c r="M66" s="71"/>
      <c r="N66" s="71"/>
      <c r="O66" s="143"/>
      <c r="P66" s="78"/>
      <c r="Q66" s="78"/>
      <c r="R66" s="143"/>
      <c r="S66" s="15"/>
      <c r="T66" s="15"/>
      <c r="U66" s="143"/>
      <c r="V66" s="88"/>
      <c r="W66" s="15"/>
      <c r="X66" s="15"/>
      <c r="Y66" s="15"/>
      <c r="Z66" s="15"/>
      <c r="AA66" s="15"/>
      <c r="AB66" s="15"/>
      <c r="AC66" s="141"/>
      <c r="AD66" s="15"/>
      <c r="AE66" s="72"/>
      <c r="AF66" s="72"/>
      <c r="AG66" s="72"/>
      <c r="AH66" s="72"/>
      <c r="AI66" s="183"/>
      <c r="AJ66" s="72"/>
      <c r="AK66" s="72"/>
      <c r="AL66" s="72"/>
      <c r="AM66" s="72"/>
      <c r="AN66" s="72"/>
      <c r="AO66" s="72"/>
      <c r="AP66" s="72"/>
      <c r="AQ66" s="72"/>
      <c r="AR66" s="15"/>
      <c r="AS66" s="72"/>
      <c r="AT66" s="72"/>
      <c r="AU66" s="72"/>
      <c r="AV66" s="72"/>
      <c r="AW66" s="72"/>
      <c r="AX66" s="183"/>
      <c r="AY66" s="72"/>
      <c r="AZ66" s="72"/>
      <c r="BA66" s="72"/>
      <c r="BB66" s="72"/>
      <c r="BC66" s="72"/>
      <c r="BD66" s="72"/>
      <c r="BE66" s="72"/>
      <c r="BF66" s="72"/>
      <c r="BG66" s="15"/>
    </row>
    <row r="67" spans="1:59" s="76" customFormat="1" ht="12.75">
      <c r="A67" s="186"/>
      <c r="B67" s="72"/>
      <c r="C67" s="15"/>
      <c r="D67" s="73"/>
      <c r="E67" s="73"/>
      <c r="F67" s="71"/>
      <c r="G67" s="72"/>
      <c r="H67" s="72"/>
      <c r="I67" s="72"/>
      <c r="J67" s="72"/>
      <c r="K67" s="73"/>
      <c r="L67" s="171"/>
      <c r="M67" s="73"/>
      <c r="N67" s="73"/>
      <c r="O67" s="171"/>
      <c r="P67" s="73"/>
      <c r="Q67" s="73"/>
      <c r="R67" s="171"/>
      <c r="S67" s="73"/>
      <c r="T67" s="73"/>
      <c r="U67" s="171"/>
      <c r="V67" s="88"/>
      <c r="W67" s="15"/>
      <c r="X67" s="15"/>
      <c r="Y67" s="15"/>
      <c r="Z67" s="15"/>
      <c r="AA67" s="15"/>
      <c r="AB67" s="15"/>
      <c r="AC67" s="141"/>
      <c r="AD67" s="15"/>
      <c r="AE67" s="72"/>
      <c r="AF67" s="72"/>
      <c r="AG67" s="72"/>
      <c r="AH67" s="72"/>
      <c r="AI67" s="183"/>
      <c r="AJ67" s="72"/>
      <c r="AK67" s="72"/>
      <c r="AL67" s="72"/>
      <c r="AM67" s="72"/>
      <c r="AN67" s="72"/>
      <c r="AO67" s="72"/>
      <c r="AP67" s="72"/>
      <c r="AQ67" s="72"/>
      <c r="AR67" s="15"/>
      <c r="AS67" s="72"/>
      <c r="AT67" s="72"/>
      <c r="AU67" s="72"/>
      <c r="AV67" s="72"/>
      <c r="AW67" s="72"/>
      <c r="AX67" s="183"/>
      <c r="AY67" s="72"/>
      <c r="AZ67" s="72"/>
      <c r="BA67" s="72"/>
      <c r="BB67" s="72"/>
      <c r="BC67" s="72"/>
      <c r="BD67" s="72"/>
      <c r="BE67" s="72"/>
      <c r="BF67" s="72"/>
      <c r="BG67" s="15"/>
    </row>
    <row r="68" spans="1:59" s="76" customFormat="1" ht="12.75">
      <c r="A68" s="201" t="s">
        <v>262</v>
      </c>
      <c r="B68" s="73"/>
      <c r="C68" s="15" t="s">
        <v>125</v>
      </c>
      <c r="D68" s="247">
        <v>0.05</v>
      </c>
      <c r="E68" s="73"/>
      <c r="F68" s="73"/>
      <c r="G68" s="73"/>
      <c r="H68" s="73"/>
      <c r="I68" s="73"/>
      <c r="J68" s="73"/>
      <c r="K68" s="73"/>
      <c r="L68" s="171">
        <f>(SUM(L43:L49)+L53+L55+L57+L59+SUM(L62:L66))*0.5*$D68</f>
        <v>14.281375005252102</v>
      </c>
      <c r="M68" s="73"/>
      <c r="N68" s="73"/>
      <c r="O68" s="171">
        <f>(SUM(O43:O49)+O53+O55+O57+O59+SUM(O62:O66))*0.5*$D68</f>
        <v>17.705051654411768</v>
      </c>
      <c r="P68" s="73"/>
      <c r="Q68" s="73"/>
      <c r="R68" s="171">
        <f>(SUM(R43:R49)+R53+R55+R57+R59+SUM(R62:R66))*0.5*$D68</f>
        <v>13.971604779411763</v>
      </c>
      <c r="S68" s="73"/>
      <c r="T68" s="73"/>
      <c r="U68" s="171">
        <f>(SUM(U43:U49)+U53+U55+U57+U59+SUM(U62:U66))*0.5*$D68</f>
        <v>15.044565257352943</v>
      </c>
      <c r="V68" s="185"/>
      <c r="W68" s="72"/>
      <c r="X68" s="72"/>
      <c r="Y68" s="72"/>
      <c r="Z68" s="72"/>
      <c r="AA68" s="72"/>
      <c r="AB68" s="15"/>
      <c r="AC68" s="141"/>
      <c r="AD68" s="15"/>
      <c r="AE68" s="72"/>
      <c r="AF68" s="15"/>
      <c r="AG68" s="15"/>
      <c r="AH68" s="172"/>
      <c r="AI68" s="183"/>
      <c r="AJ68" s="183"/>
      <c r="AK68" s="72"/>
      <c r="AL68" s="72"/>
      <c r="AM68" s="72"/>
      <c r="AN68" s="72"/>
      <c r="AO68" s="72"/>
      <c r="AP68" s="72"/>
      <c r="AQ68" s="72"/>
      <c r="AR68" s="15"/>
      <c r="AS68" s="72"/>
      <c r="AT68" s="72"/>
      <c r="AU68" s="15"/>
      <c r="AV68" s="15"/>
      <c r="AW68" s="172"/>
      <c r="AX68" s="183"/>
      <c r="AY68" s="183"/>
      <c r="AZ68" s="72"/>
      <c r="BA68" s="72"/>
      <c r="BB68" s="72"/>
      <c r="BC68" s="72"/>
      <c r="BD68" s="72"/>
      <c r="BE68" s="72"/>
      <c r="BF68" s="72"/>
      <c r="BG68" s="15"/>
    </row>
    <row r="69" spans="1:59" s="76" customFormat="1" ht="12.75">
      <c r="A69" s="109" t="s">
        <v>263</v>
      </c>
      <c r="B69" s="73"/>
      <c r="C69" s="73"/>
      <c r="D69" s="73"/>
      <c r="E69" s="73"/>
      <c r="F69" s="73"/>
      <c r="G69" s="73"/>
      <c r="H69" s="73"/>
      <c r="I69" s="73"/>
      <c r="J69" s="73"/>
      <c r="K69" s="73"/>
      <c r="L69" s="73"/>
      <c r="M69" s="73"/>
      <c r="N69" s="73"/>
      <c r="O69" s="73"/>
      <c r="P69" s="73"/>
      <c r="Q69" s="73"/>
      <c r="R69" s="73"/>
      <c r="S69" s="73"/>
      <c r="T69" s="73"/>
      <c r="U69" s="73"/>
      <c r="V69" s="202"/>
      <c r="W69" s="15"/>
      <c r="X69" s="15"/>
      <c r="Y69" s="15"/>
      <c r="Z69" s="15"/>
      <c r="AA69" s="15"/>
      <c r="AB69" s="15"/>
      <c r="AC69" s="141"/>
      <c r="AD69" s="15"/>
      <c r="AE69" s="72"/>
      <c r="AF69" s="15"/>
      <c r="AG69" s="15"/>
      <c r="AH69" s="172"/>
      <c r="AI69" s="183"/>
      <c r="AJ69" s="203"/>
      <c r="AK69" s="72"/>
      <c r="AL69" s="72"/>
      <c r="AM69" s="72"/>
      <c r="AN69" s="72"/>
      <c r="AO69" s="72"/>
      <c r="AP69" s="72"/>
      <c r="AQ69" s="172"/>
      <c r="AR69" s="15"/>
      <c r="AS69" s="72"/>
      <c r="AT69" s="72"/>
      <c r="AU69" s="15"/>
      <c r="AV69" s="15"/>
      <c r="AW69" s="172"/>
      <c r="AX69" s="183"/>
      <c r="AY69" s="203"/>
      <c r="AZ69" s="72"/>
      <c r="BA69" s="72"/>
      <c r="BB69" s="72"/>
      <c r="BC69" s="72"/>
      <c r="BD69" s="72"/>
      <c r="BE69" s="72"/>
      <c r="BF69" s="172"/>
      <c r="BG69" s="15"/>
    </row>
    <row r="70" spans="1:59" s="76" customFormat="1" ht="12.75">
      <c r="A70" s="204" t="s">
        <v>318</v>
      </c>
      <c r="B70" s="71"/>
      <c r="C70" s="71"/>
      <c r="D70" s="71"/>
      <c r="E70" s="71"/>
      <c r="F70" s="71"/>
      <c r="G70" s="71"/>
      <c r="H70" s="71"/>
      <c r="I70" s="71"/>
      <c r="J70" s="71"/>
      <c r="K70" s="71"/>
      <c r="L70" s="171">
        <f>(SUM(L43:L49)+L53+L55+L57+L59+L68+SUM(L62:L66))</f>
        <v>585.53637521533619</v>
      </c>
      <c r="M70" s="110"/>
      <c r="N70" s="110"/>
      <c r="O70" s="171">
        <f>(SUM(O43:O49)+O53+O55+O57+O59+O68+SUM(O62:O66))</f>
        <v>725.9071178308825</v>
      </c>
      <c r="P70" s="152"/>
      <c r="Q70" s="152"/>
      <c r="R70" s="171">
        <f>(SUM(R43:R49)+R53+R55+R57+R59+R68+SUM(R62:R66))</f>
        <v>572.8357959558823</v>
      </c>
      <c r="S70" s="176"/>
      <c r="T70" s="176"/>
      <c r="U70" s="171">
        <f>(SUM(U43:U49)+U53+U55+U57+U59+U68+SUM(U62:U66))</f>
        <v>616.82717555147065</v>
      </c>
      <c r="V70" s="202"/>
      <c r="W70" s="15"/>
      <c r="X70" s="15"/>
      <c r="Y70" s="15"/>
      <c r="Z70" s="15"/>
      <c r="AA70" s="15"/>
      <c r="AB70" s="15"/>
      <c r="AC70" s="141"/>
      <c r="AD70" s="15"/>
      <c r="AE70" s="72"/>
      <c r="AF70" s="15"/>
      <c r="AG70" s="15"/>
      <c r="AH70" s="172"/>
      <c r="AI70" s="183"/>
      <c r="AJ70" s="203"/>
      <c r="AK70" s="72"/>
      <c r="AL70" s="72"/>
      <c r="AM70" s="72"/>
      <c r="AN70" s="72"/>
      <c r="AO70" s="72"/>
      <c r="AP70" s="72"/>
      <c r="AQ70" s="172"/>
      <c r="AR70" s="15"/>
      <c r="AS70" s="72"/>
      <c r="AT70" s="72"/>
      <c r="AU70" s="15"/>
      <c r="AV70" s="15"/>
      <c r="AW70" s="172"/>
      <c r="AX70" s="183"/>
      <c r="AY70" s="203"/>
      <c r="AZ70" s="72"/>
      <c r="BA70" s="72"/>
      <c r="BB70" s="72"/>
      <c r="BC70" s="72"/>
      <c r="BD70" s="72"/>
      <c r="BE70" s="72"/>
      <c r="BF70" s="172"/>
      <c r="BG70" s="15"/>
    </row>
    <row r="71" spans="1:59" s="76" customFormat="1" ht="11.1" customHeight="1">
      <c r="A71" s="205"/>
      <c r="B71" s="71"/>
      <c r="C71" s="71"/>
      <c r="D71" s="71"/>
      <c r="E71" s="71"/>
      <c r="F71" s="71"/>
      <c r="G71" s="71"/>
      <c r="H71" s="71"/>
      <c r="I71" s="71"/>
      <c r="J71" s="71"/>
      <c r="K71" s="71"/>
      <c r="L71" s="206"/>
      <c r="M71" s="71"/>
      <c r="N71" s="71"/>
      <c r="O71" s="206"/>
      <c r="P71" s="78"/>
      <c r="Q71" s="152"/>
      <c r="R71" s="206"/>
      <c r="S71" s="172"/>
      <c r="T71" s="176"/>
      <c r="U71" s="206"/>
      <c r="V71" s="202"/>
      <c r="W71" s="15"/>
      <c r="X71" s="15"/>
      <c r="Y71" s="15"/>
      <c r="Z71" s="15"/>
      <c r="AA71" s="15"/>
      <c r="AB71" s="15"/>
      <c r="AC71" s="141"/>
      <c r="AD71" s="15"/>
      <c r="AE71" s="72"/>
      <c r="AF71" s="15"/>
      <c r="AG71" s="15"/>
      <c r="AH71" s="172"/>
      <c r="AI71" s="183"/>
      <c r="AJ71" s="203"/>
      <c r="AK71" s="72"/>
      <c r="AL71" s="72"/>
      <c r="AM71" s="72"/>
      <c r="AN71" s="72"/>
      <c r="AO71" s="72"/>
      <c r="AP71" s="72"/>
      <c r="AQ71" s="172"/>
      <c r="AR71" s="15"/>
      <c r="AS71" s="72"/>
      <c r="AT71" s="72"/>
      <c r="AU71" s="15"/>
      <c r="AV71" s="15"/>
      <c r="AW71" s="172"/>
      <c r="AX71" s="183"/>
      <c r="AY71" s="203"/>
      <c r="AZ71" s="72"/>
      <c r="BA71" s="72"/>
      <c r="BB71" s="72"/>
      <c r="BC71" s="72"/>
      <c r="BD71" s="72"/>
      <c r="BE71" s="72"/>
      <c r="BF71" s="172"/>
      <c r="BG71" s="15"/>
    </row>
    <row r="72" spans="1:59" s="76" customFormat="1" ht="12.75">
      <c r="A72" s="207" t="s">
        <v>319</v>
      </c>
      <c r="B72" s="71"/>
      <c r="C72" s="414" t="s">
        <v>257</v>
      </c>
      <c r="D72" s="415"/>
      <c r="E72" s="416"/>
      <c r="F72" s="416"/>
      <c r="G72" s="416"/>
      <c r="H72" s="72"/>
      <c r="I72" s="71"/>
      <c r="J72" s="71"/>
      <c r="K72" s="71"/>
      <c r="L72" s="175">
        <f>'Fixed cost budgeting'!I38</f>
        <v>427.38452380952378</v>
      </c>
      <c r="M72" s="249" t="s">
        <v>20</v>
      </c>
      <c r="N72" s="71"/>
      <c r="O72" s="175">
        <f>'Fixed cost budgeting'!S38</f>
        <v>673.30000000000007</v>
      </c>
      <c r="P72" s="250" t="s">
        <v>20</v>
      </c>
      <c r="Q72" s="152"/>
      <c r="R72" s="175">
        <f>'Fixed cost budgeting'!AC38</f>
        <v>347.85952380952381</v>
      </c>
      <c r="S72" s="46" t="s">
        <v>20</v>
      </c>
      <c r="T72" s="176"/>
      <c r="U72" s="175">
        <f>'Fixed cost budgeting'!AM38</f>
        <v>426.54761904761904</v>
      </c>
      <c r="V72" s="251" t="s">
        <v>20</v>
      </c>
      <c r="W72" s="15"/>
      <c r="X72" s="15"/>
      <c r="Y72" s="15"/>
      <c r="Z72" s="15"/>
      <c r="AA72" s="15"/>
      <c r="AB72" s="15"/>
      <c r="AC72" s="141"/>
      <c r="AD72" s="15"/>
      <c r="AE72" s="72"/>
      <c r="AF72" s="72"/>
      <c r="AG72" s="72"/>
      <c r="AH72" s="72"/>
      <c r="AI72" s="72"/>
      <c r="AJ72" s="72"/>
      <c r="AK72" s="72"/>
      <c r="AL72" s="72"/>
      <c r="AM72" s="72"/>
      <c r="AN72" s="72"/>
      <c r="AO72" s="72"/>
      <c r="AP72" s="72"/>
      <c r="AQ72" s="172"/>
      <c r="AR72" s="15"/>
      <c r="AS72" s="72"/>
      <c r="AT72" s="72"/>
      <c r="AU72" s="72"/>
      <c r="AV72" s="72"/>
      <c r="AW72" s="72"/>
      <c r="AX72" s="72"/>
      <c r="AY72" s="72"/>
      <c r="AZ72" s="72"/>
      <c r="BA72" s="72"/>
      <c r="BB72" s="72"/>
      <c r="BC72" s="72"/>
      <c r="BD72" s="72"/>
      <c r="BE72" s="72"/>
      <c r="BF72" s="172"/>
      <c r="BG72" s="15"/>
    </row>
    <row r="73" spans="1:59" s="76" customFormat="1" ht="12.75">
      <c r="A73" s="126"/>
      <c r="B73" s="71"/>
      <c r="C73" s="170" t="s">
        <v>285</v>
      </c>
      <c r="D73" s="73"/>
      <c r="E73" s="73"/>
      <c r="F73" s="73"/>
      <c r="G73" s="73"/>
      <c r="H73" s="73"/>
      <c r="I73" s="71"/>
      <c r="J73" s="71"/>
      <c r="K73" s="71"/>
      <c r="L73" s="206"/>
      <c r="M73" s="71"/>
      <c r="N73" s="71"/>
      <c r="O73" s="206"/>
      <c r="P73" s="45"/>
      <c r="Q73" s="152"/>
      <c r="R73" s="206"/>
      <c r="S73" s="142"/>
      <c r="T73" s="176"/>
      <c r="U73" s="206"/>
      <c r="V73" s="208"/>
      <c r="W73" s="199"/>
      <c r="X73" s="209"/>
      <c r="Y73" s="209"/>
      <c r="Z73" s="72"/>
      <c r="AA73" s="72"/>
      <c r="AB73" s="15"/>
      <c r="AC73" s="141"/>
      <c r="AD73" s="15"/>
      <c r="AE73" s="72"/>
      <c r="AF73" s="72"/>
      <c r="AG73" s="72"/>
      <c r="AH73" s="72"/>
      <c r="AI73" s="72"/>
      <c r="AJ73" s="72"/>
      <c r="AK73" s="72"/>
      <c r="AL73" s="72"/>
      <c r="AM73" s="72"/>
      <c r="AN73" s="72"/>
      <c r="AO73" s="72"/>
      <c r="AP73" s="72"/>
      <c r="AQ73" s="172"/>
      <c r="AR73" s="15"/>
      <c r="AS73" s="72"/>
      <c r="AT73" s="72"/>
      <c r="AU73" s="72"/>
      <c r="AV73" s="72"/>
      <c r="AW73" s="72"/>
      <c r="AX73" s="72"/>
      <c r="AY73" s="72"/>
      <c r="AZ73" s="72"/>
      <c r="BA73" s="72"/>
      <c r="BB73" s="72"/>
      <c r="BC73" s="72"/>
      <c r="BD73" s="72"/>
      <c r="BE73" s="72"/>
      <c r="BF73" s="172"/>
      <c r="BG73" s="15"/>
    </row>
    <row r="74" spans="1:59" s="76" customFormat="1" ht="12.75">
      <c r="A74" s="125" t="s">
        <v>320</v>
      </c>
      <c r="B74" s="110"/>
      <c r="C74" s="71"/>
      <c r="D74" s="71"/>
      <c r="E74" s="71"/>
      <c r="F74" s="71"/>
      <c r="G74" s="71"/>
      <c r="H74" s="71"/>
      <c r="I74" s="71"/>
      <c r="J74" s="71"/>
      <c r="K74" s="71"/>
      <c r="L74" s="98">
        <f>L70+IF(M72=" ",L72,M72)</f>
        <v>1012.92089902486</v>
      </c>
      <c r="M74" s="99"/>
      <c r="N74" s="99"/>
      <c r="O74" s="98">
        <f>O70+IF(P72=" ",O72,P72)</f>
        <v>1399.2071178308825</v>
      </c>
      <c r="P74" s="101"/>
      <c r="Q74" s="101"/>
      <c r="R74" s="98">
        <f>R70+IF(S72=" ",R72,S72)</f>
        <v>920.69531976540611</v>
      </c>
      <c r="S74" s="210"/>
      <c r="T74" s="211"/>
      <c r="U74" s="98">
        <f>U70+IF(V72=" ",U72,V72)</f>
        <v>1043.3747945990897</v>
      </c>
      <c r="V74" s="96"/>
      <c r="W74" s="138"/>
      <c r="X74" s="77"/>
      <c r="Y74" s="72"/>
      <c r="Z74" s="72"/>
      <c r="AA74" s="72"/>
      <c r="AB74" s="15"/>
      <c r="AC74" s="141"/>
      <c r="AD74" s="15"/>
      <c r="AE74" s="72"/>
      <c r="AF74" s="15"/>
      <c r="AG74" s="15"/>
      <c r="AH74" s="172"/>
      <c r="AI74" s="183"/>
      <c r="AJ74" s="203"/>
      <c r="AK74" s="72"/>
      <c r="AL74" s="72"/>
      <c r="AM74" s="72"/>
      <c r="AN74" s="72"/>
      <c r="AO74" s="72"/>
      <c r="AP74" s="72"/>
      <c r="AQ74" s="72"/>
      <c r="AR74" s="15"/>
      <c r="AS74" s="72"/>
      <c r="AT74" s="72"/>
      <c r="AU74" s="15"/>
      <c r="AV74" s="15"/>
      <c r="AW74" s="172"/>
      <c r="AX74" s="183"/>
      <c r="AY74" s="203"/>
      <c r="AZ74" s="72"/>
      <c r="BA74" s="72"/>
      <c r="BB74" s="72"/>
      <c r="BC74" s="72"/>
      <c r="BD74" s="72"/>
      <c r="BE74" s="72"/>
      <c r="BF74" s="72"/>
      <c r="BG74" s="15"/>
    </row>
    <row r="75" spans="1:59" s="76" customFormat="1" ht="10.35" customHeight="1">
      <c r="A75" s="126"/>
      <c r="B75" s="71"/>
      <c r="C75" s="71"/>
      <c r="D75" s="71"/>
      <c r="E75" s="71"/>
      <c r="F75" s="71"/>
      <c r="G75" s="71"/>
      <c r="H75" s="71"/>
      <c r="I75" s="71"/>
      <c r="J75" s="71"/>
      <c r="K75" s="71"/>
      <c r="L75" s="212" t="s">
        <v>20</v>
      </c>
      <c r="M75" s="91"/>
      <c r="N75" s="91"/>
      <c r="O75" s="212" t="s">
        <v>20</v>
      </c>
      <c r="P75" s="101"/>
      <c r="Q75" s="101"/>
      <c r="R75" s="212" t="s">
        <v>20</v>
      </c>
      <c r="S75" s="92"/>
      <c r="T75" s="92"/>
      <c r="U75" s="212" t="s">
        <v>20</v>
      </c>
      <c r="V75" s="213"/>
      <c r="W75" s="15"/>
      <c r="X75" s="15"/>
      <c r="Y75" s="15"/>
      <c r="Z75" s="15"/>
      <c r="AA75" s="15"/>
      <c r="AB75" s="15"/>
      <c r="AC75" s="141"/>
      <c r="AD75" s="15"/>
      <c r="AE75" s="72"/>
      <c r="AF75" s="72"/>
      <c r="AG75" s="72"/>
      <c r="AH75" s="72"/>
      <c r="AI75" s="72"/>
      <c r="AJ75" s="72"/>
      <c r="AK75" s="72"/>
      <c r="AL75" s="72"/>
      <c r="AM75" s="72"/>
      <c r="AN75" s="72"/>
      <c r="AO75" s="72"/>
      <c r="AP75" s="72"/>
      <c r="AQ75" s="72"/>
      <c r="AR75" s="15"/>
      <c r="AS75" s="72"/>
      <c r="AT75" s="72"/>
      <c r="AU75" s="72"/>
      <c r="AV75" s="72"/>
      <c r="AW75" s="72"/>
      <c r="AX75" s="72"/>
      <c r="AY75" s="72"/>
      <c r="AZ75" s="72"/>
      <c r="BA75" s="72"/>
      <c r="BB75" s="72"/>
      <c r="BC75" s="72"/>
      <c r="BD75" s="72"/>
      <c r="BE75" s="72"/>
      <c r="BF75" s="72"/>
      <c r="BG75" s="15"/>
    </row>
    <row r="76" spans="1:59" s="76" customFormat="1" ht="12.75">
      <c r="A76" s="214" t="s">
        <v>241</v>
      </c>
      <c r="B76" s="73"/>
      <c r="C76" s="73"/>
      <c r="D76" s="73"/>
      <c r="E76" s="73"/>
      <c r="F76" s="73"/>
      <c r="G76" s="73"/>
      <c r="H76" s="73"/>
      <c r="I76" s="73"/>
      <c r="J76" s="73"/>
      <c r="K76" s="73"/>
      <c r="L76" s="171">
        <f>L35-L74</f>
        <v>-139.44669447940555</v>
      </c>
      <c r="M76" s="171"/>
      <c r="N76" s="171"/>
      <c r="O76" s="171">
        <f>O35-O74</f>
        <v>-525.73291328542803</v>
      </c>
      <c r="P76" s="171"/>
      <c r="Q76" s="171"/>
      <c r="R76" s="171">
        <f>R35-R74</f>
        <v>-47.221115219951685</v>
      </c>
      <c r="S76" s="171"/>
      <c r="T76" s="171"/>
      <c r="U76" s="171">
        <f>U35-U74</f>
        <v>-169.90059005363526</v>
      </c>
      <c r="V76" s="215"/>
      <c r="W76" s="72"/>
      <c r="X76" s="72"/>
      <c r="Y76" s="72"/>
      <c r="Z76" s="72"/>
      <c r="AA76" s="15"/>
      <c r="AB76" s="15"/>
      <c r="AC76" s="143"/>
      <c r="AD76" s="15"/>
      <c r="AE76" s="72"/>
      <c r="AF76" s="78"/>
      <c r="AG76" s="72"/>
      <c r="AH76" s="15"/>
      <c r="AI76" s="15"/>
      <c r="AJ76" s="72"/>
      <c r="AK76" s="15"/>
      <c r="AL76" s="15"/>
      <c r="AM76" s="15"/>
      <c r="AN76" s="15"/>
      <c r="AO76" s="15"/>
      <c r="AP76" s="15"/>
      <c r="AQ76" s="141"/>
      <c r="AR76" s="15"/>
      <c r="AS76" s="72"/>
      <c r="AT76" s="72"/>
      <c r="AU76" s="78"/>
      <c r="AV76" s="72"/>
      <c r="AW76" s="15"/>
      <c r="AX76" s="15"/>
      <c r="AY76" s="72"/>
      <c r="AZ76" s="15"/>
      <c r="BA76" s="15"/>
      <c r="BB76" s="15"/>
      <c r="BC76" s="15"/>
      <c r="BD76" s="15"/>
      <c r="BE76" s="15"/>
      <c r="BF76" s="141"/>
      <c r="BG76" s="15"/>
    </row>
    <row r="77" spans="1:59" s="76" customFormat="1" ht="12.75">
      <c r="A77" s="200"/>
      <c r="B77" s="72"/>
      <c r="C77" s="72"/>
      <c r="D77" s="73"/>
      <c r="E77" s="73"/>
      <c r="F77" s="45"/>
      <c r="G77" s="15"/>
      <c r="H77" s="142"/>
      <c r="I77" s="77"/>
      <c r="J77" s="82"/>
      <c r="K77" s="138"/>
      <c r="L77" s="73"/>
      <c r="M77" s="71"/>
      <c r="N77" s="71"/>
      <c r="O77" s="73"/>
      <c r="P77" s="78"/>
      <c r="Q77" s="78"/>
      <c r="R77" s="73"/>
      <c r="S77" s="15"/>
      <c r="T77" s="15"/>
      <c r="U77" s="73"/>
      <c r="V77" s="88"/>
      <c r="W77" s="15"/>
      <c r="X77" s="15"/>
      <c r="Y77" s="15"/>
      <c r="Z77" s="15"/>
      <c r="AA77" s="15"/>
      <c r="AB77" s="72"/>
      <c r="AC77" s="72"/>
      <c r="AD77" s="15"/>
      <c r="AE77" s="72"/>
      <c r="AF77" s="78"/>
      <c r="AG77" s="72"/>
      <c r="AH77" s="15"/>
      <c r="AI77" s="15"/>
      <c r="AJ77" s="15"/>
      <c r="AK77" s="15"/>
      <c r="AL77" s="15"/>
      <c r="AM77" s="15"/>
      <c r="AN77" s="15"/>
      <c r="AO77" s="15"/>
      <c r="AP77" s="15"/>
      <c r="AQ77" s="141"/>
      <c r="AR77" s="15"/>
      <c r="AS77" s="72"/>
      <c r="AT77" s="72"/>
      <c r="AU77" s="78"/>
      <c r="AV77" s="72"/>
      <c r="AW77" s="15"/>
      <c r="AX77" s="15"/>
      <c r="AY77" s="15"/>
      <c r="AZ77" s="15"/>
      <c r="BA77" s="15"/>
      <c r="BB77" s="15"/>
      <c r="BC77" s="15"/>
      <c r="BD77" s="15"/>
      <c r="BE77" s="15"/>
      <c r="BF77" s="141"/>
      <c r="BG77" s="15"/>
    </row>
    <row r="78" spans="1:59" s="76" customFormat="1" ht="12.75">
      <c r="A78" s="221" t="s">
        <v>74</v>
      </c>
      <c r="B78" s="15"/>
      <c r="C78" s="142"/>
      <c r="D78" s="83">
        <v>14</v>
      </c>
      <c r="E78" s="77" t="s">
        <v>124</v>
      </c>
      <c r="F78" s="138"/>
      <c r="G78" s="22"/>
      <c r="H78" s="71"/>
      <c r="I78" s="71"/>
      <c r="J78" s="71"/>
      <c r="K78" s="216"/>
      <c r="L78" s="248">
        <v>10</v>
      </c>
      <c r="M78" s="217" t="s">
        <v>322</v>
      </c>
      <c r="N78" s="218"/>
      <c r="O78" s="248">
        <v>11</v>
      </c>
      <c r="P78" s="217" t="s">
        <v>322</v>
      </c>
      <c r="Q78" s="219"/>
      <c r="R78" s="248">
        <v>10</v>
      </c>
      <c r="S78" s="217" t="s">
        <v>322</v>
      </c>
      <c r="T78" s="219"/>
      <c r="U78" s="248">
        <v>10</v>
      </c>
      <c r="V78" s="220" t="s">
        <v>322</v>
      </c>
      <c r="W78" s="15"/>
      <c r="X78" s="15"/>
      <c r="Y78" s="15"/>
      <c r="Z78" s="15"/>
      <c r="AA78" s="15"/>
      <c r="AB78" s="15"/>
      <c r="AC78" s="143"/>
      <c r="AD78" s="15"/>
      <c r="AE78" s="72"/>
      <c r="AF78" s="78"/>
      <c r="AG78" s="72"/>
      <c r="AH78" s="15"/>
      <c r="AI78" s="15"/>
      <c r="AJ78" s="15"/>
      <c r="AK78" s="15"/>
      <c r="AL78" s="15"/>
      <c r="AM78" s="15"/>
      <c r="AN78" s="15"/>
      <c r="AO78" s="15"/>
      <c r="AP78" s="15"/>
      <c r="AQ78" s="141"/>
      <c r="AR78" s="15"/>
      <c r="AS78" s="72"/>
      <c r="AT78" s="72"/>
      <c r="AU78" s="78"/>
      <c r="AV78" s="72"/>
      <c r="AW78" s="15"/>
      <c r="AX78" s="15"/>
      <c r="AY78" s="15"/>
      <c r="AZ78" s="15"/>
      <c r="BA78" s="15"/>
      <c r="BB78" s="15"/>
      <c r="BC78" s="15"/>
      <c r="BD78" s="15"/>
      <c r="BE78" s="15"/>
      <c r="BF78" s="141"/>
      <c r="BG78" s="15"/>
    </row>
    <row r="79" spans="1:59" s="76" customFormat="1" ht="12.75">
      <c r="B79" s="72"/>
      <c r="C79" s="15"/>
      <c r="F79" s="71"/>
      <c r="G79" s="72"/>
      <c r="H79" s="72"/>
      <c r="I79" s="72"/>
      <c r="J79" s="72"/>
      <c r="K79" s="73"/>
      <c r="L79" s="171">
        <f>$D78*L78</f>
        <v>140</v>
      </c>
      <c r="M79" s="73"/>
      <c r="N79" s="73"/>
      <c r="O79" s="171">
        <f>$D78*O78</f>
        <v>154</v>
      </c>
      <c r="P79" s="73"/>
      <c r="Q79" s="73"/>
      <c r="R79" s="168">
        <f>$D78*R78</f>
        <v>140</v>
      </c>
      <c r="S79" s="73"/>
      <c r="T79" s="73"/>
      <c r="U79" s="171">
        <f>$D78*U78</f>
        <v>140</v>
      </c>
      <c r="V79" s="88"/>
      <c r="W79" s="15"/>
      <c r="X79" s="15"/>
      <c r="Y79" s="15"/>
      <c r="Z79" s="15"/>
      <c r="AA79" s="222"/>
      <c r="AB79" s="15"/>
      <c r="AC79" s="143"/>
      <c r="AD79" s="15"/>
      <c r="AE79" s="72"/>
      <c r="AF79" s="78"/>
      <c r="AG79" s="72"/>
      <c r="AH79" s="15"/>
      <c r="AI79" s="15"/>
      <c r="AJ79" s="72"/>
      <c r="AK79" s="15"/>
      <c r="AL79" s="15"/>
      <c r="AM79" s="15"/>
      <c r="AN79" s="15"/>
      <c r="AO79" s="15"/>
      <c r="AP79" s="15"/>
      <c r="AQ79" s="141"/>
      <c r="AR79" s="15"/>
      <c r="AS79" s="72"/>
      <c r="AT79" s="72"/>
      <c r="AU79" s="78"/>
      <c r="AV79" s="72"/>
      <c r="AW79" s="15"/>
      <c r="AX79" s="15"/>
      <c r="AY79" s="72"/>
      <c r="AZ79" s="15"/>
      <c r="BA79" s="15"/>
      <c r="BB79" s="15"/>
      <c r="BC79" s="15"/>
      <c r="BD79" s="15"/>
      <c r="BE79" s="15"/>
      <c r="BF79" s="141"/>
      <c r="BG79" s="15"/>
    </row>
    <row r="80" spans="1:59" s="76" customFormat="1" ht="9.6" customHeight="1">
      <c r="A80" s="109"/>
      <c r="B80" s="73"/>
      <c r="C80" s="73"/>
      <c r="D80" s="73"/>
      <c r="E80" s="73"/>
      <c r="F80" s="73"/>
      <c r="G80" s="73"/>
      <c r="H80" s="73"/>
      <c r="I80" s="73"/>
      <c r="J80" s="73"/>
      <c r="K80" s="73"/>
      <c r="L80" s="73"/>
      <c r="M80" s="73"/>
      <c r="N80" s="73"/>
      <c r="O80" s="73"/>
      <c r="P80" s="73"/>
      <c r="Q80" s="73"/>
      <c r="R80" s="73"/>
      <c r="S80" s="73"/>
      <c r="T80" s="73"/>
      <c r="U80" s="73"/>
      <c r="V80" s="88"/>
      <c r="W80" s="15"/>
      <c r="X80" s="15"/>
      <c r="Y80" s="15"/>
      <c r="Z80" s="15"/>
      <c r="AA80" s="72"/>
      <c r="AB80" s="140"/>
      <c r="AC80" s="143"/>
      <c r="AD80" s="15"/>
      <c r="AE80" s="72"/>
      <c r="AF80" s="78"/>
      <c r="AG80" s="72"/>
      <c r="AH80" s="15"/>
      <c r="AI80" s="15"/>
      <c r="AJ80" s="72"/>
      <c r="AK80" s="15"/>
      <c r="AL80" s="15"/>
      <c r="AM80" s="15"/>
      <c r="AN80" s="15"/>
      <c r="AO80" s="15"/>
      <c r="AP80" s="15"/>
      <c r="AQ80" s="141"/>
      <c r="AR80" s="15"/>
      <c r="AS80" s="72"/>
      <c r="AT80" s="72"/>
      <c r="AU80" s="78"/>
      <c r="AV80" s="72"/>
      <c r="AW80" s="15"/>
      <c r="AX80" s="15"/>
      <c r="AY80" s="72"/>
      <c r="AZ80" s="15"/>
      <c r="BA80" s="15"/>
      <c r="BB80" s="15"/>
      <c r="BC80" s="15"/>
      <c r="BD80" s="15"/>
      <c r="BE80" s="15"/>
      <c r="BF80" s="141"/>
      <c r="BG80" s="15"/>
    </row>
    <row r="81" spans="1:59" s="76" customFormat="1" ht="12.75">
      <c r="A81" s="125" t="s">
        <v>321</v>
      </c>
      <c r="B81" s="110"/>
      <c r="C81" s="71"/>
      <c r="D81" s="71"/>
      <c r="E81" s="71"/>
      <c r="F81" s="71"/>
      <c r="G81" s="71"/>
      <c r="H81" s="71"/>
      <c r="I81" s="71"/>
      <c r="J81" s="71"/>
      <c r="K81" s="71"/>
      <c r="L81" s="90">
        <f>L35-L74-L79</f>
        <v>-279.44669447940555</v>
      </c>
      <c r="M81" s="71"/>
      <c r="N81" s="71"/>
      <c r="O81" s="223">
        <f>O35-O74-O79</f>
        <v>-679.73291328542803</v>
      </c>
      <c r="P81" s="67"/>
      <c r="Q81" s="67"/>
      <c r="R81" s="223">
        <f>R35-R74-R79</f>
        <v>-187.22111521995168</v>
      </c>
      <c r="S81" s="15"/>
      <c r="T81" s="15"/>
      <c r="U81" s="223">
        <f>U35-U74-U79</f>
        <v>-309.90059005363526</v>
      </c>
      <c r="V81" s="88"/>
      <c r="W81" s="15"/>
      <c r="X81" s="224"/>
      <c r="Y81" s="15"/>
      <c r="Z81" s="15"/>
      <c r="AA81" s="15"/>
      <c r="AB81" s="140"/>
      <c r="AC81" s="143"/>
      <c r="AD81" s="15"/>
      <c r="AE81" s="72"/>
      <c r="AF81" s="78"/>
      <c r="AG81" s="72"/>
      <c r="AH81" s="15"/>
      <c r="AI81" s="15"/>
      <c r="AJ81" s="15"/>
      <c r="AK81" s="15"/>
      <c r="AL81" s="15"/>
      <c r="AM81" s="15"/>
      <c r="AN81" s="15"/>
      <c r="AO81" s="15"/>
      <c r="AP81" s="15"/>
      <c r="AQ81" s="141"/>
      <c r="AR81" s="15"/>
      <c r="AS81" s="72"/>
      <c r="AT81" s="72"/>
      <c r="AU81" s="78"/>
      <c r="AV81" s="72"/>
      <c r="AW81" s="15"/>
      <c r="AX81" s="15"/>
      <c r="AY81" s="15"/>
      <c r="AZ81" s="15"/>
      <c r="BA81" s="15"/>
      <c r="BB81" s="15"/>
      <c r="BC81" s="15"/>
      <c r="BD81" s="15"/>
      <c r="BE81" s="15"/>
      <c r="BF81" s="141"/>
      <c r="BG81" s="15"/>
    </row>
    <row r="82" spans="1:59" s="76" customFormat="1" ht="6" customHeight="1">
      <c r="A82" s="126"/>
      <c r="B82" s="71"/>
      <c r="C82" s="71"/>
      <c r="D82" s="71"/>
      <c r="E82" s="71"/>
      <c r="F82" s="71"/>
      <c r="G82" s="71"/>
      <c r="H82" s="71"/>
      <c r="I82" s="71"/>
      <c r="J82" s="71"/>
      <c r="K82" s="71"/>
      <c r="L82" s="206"/>
      <c r="M82" s="71"/>
      <c r="N82" s="71"/>
      <c r="O82" s="206"/>
      <c r="P82" s="152"/>
      <c r="Q82" s="152"/>
      <c r="R82" s="206"/>
      <c r="S82" s="15"/>
      <c r="T82" s="15"/>
      <c r="U82" s="206"/>
      <c r="V82" s="88"/>
      <c r="W82" s="15"/>
      <c r="X82" s="224"/>
      <c r="Y82" s="15"/>
      <c r="Z82" s="15"/>
      <c r="AA82" s="15"/>
      <c r="AB82" s="140"/>
      <c r="AC82" s="225"/>
      <c r="AD82" s="15"/>
      <c r="AE82" s="72"/>
      <c r="AF82" s="78"/>
      <c r="AG82" s="72"/>
      <c r="AH82" s="15"/>
      <c r="AI82" s="15"/>
      <c r="AJ82" s="15"/>
      <c r="AK82" s="15"/>
      <c r="AL82" s="15"/>
      <c r="AM82" s="15"/>
      <c r="AN82" s="15"/>
      <c r="AO82" s="15"/>
      <c r="AP82" s="15"/>
      <c r="AQ82" s="141"/>
      <c r="AR82" s="15"/>
      <c r="AS82" s="72"/>
      <c r="AT82" s="72"/>
      <c r="AU82" s="78"/>
      <c r="AV82" s="72"/>
      <c r="AW82" s="15"/>
      <c r="AX82" s="15"/>
      <c r="AY82" s="15"/>
      <c r="AZ82" s="15"/>
      <c r="BA82" s="15"/>
      <c r="BB82" s="15"/>
      <c r="BC82" s="15"/>
      <c r="BD82" s="15"/>
      <c r="BE82" s="15"/>
      <c r="BF82" s="141"/>
      <c r="BG82" s="15"/>
    </row>
    <row r="83" spans="1:59" s="76" customFormat="1" ht="12.75">
      <c r="A83" s="423" t="s">
        <v>131</v>
      </c>
      <c r="B83" s="424"/>
      <c r="C83" s="424"/>
      <c r="D83" s="424"/>
      <c r="E83" s="424"/>
      <c r="F83" s="44"/>
      <c r="G83" s="44"/>
      <c r="H83" s="71"/>
      <c r="I83" s="71"/>
      <c r="J83" s="71"/>
      <c r="K83" s="71"/>
      <c r="L83" s="171">
        <f>IF($I32&gt;0,(L70-L34)/($F33*$I33+$F32*$I32),"--")</f>
        <v>1.044342113619942</v>
      </c>
      <c r="M83" s="91"/>
      <c r="N83" s="91"/>
      <c r="O83" s="171">
        <f>IF($I32&gt;0,(O70-O34)/($F33*$I33+$F32*$I32),"--")</f>
        <v>1.3302494241203027</v>
      </c>
      <c r="P83" s="171"/>
      <c r="Q83" s="171"/>
      <c r="R83" s="171">
        <f>IF($I32&gt;0,(R70-R34)/($F33*$I33+$F32*$I32),"--")</f>
        <v>1.0184735573224777</v>
      </c>
      <c r="S83" s="171"/>
      <c r="T83" s="171"/>
      <c r="U83" s="171">
        <f>IF($I32&gt;0,(U70-U34)/($F33*$I33+$F32*$I32),"--")</f>
        <v>1.1080752563020351</v>
      </c>
      <c r="V83" s="88"/>
      <c r="W83" s="15"/>
      <c r="X83" s="224"/>
      <c r="Y83" s="15"/>
      <c r="Z83" s="15"/>
      <c r="AA83" s="15"/>
      <c r="AB83" s="15"/>
      <c r="AC83" s="141"/>
      <c r="AD83" s="15"/>
      <c r="AE83" s="72"/>
      <c r="AF83" s="78"/>
      <c r="AG83" s="72"/>
      <c r="AH83" s="15"/>
      <c r="AI83" s="15"/>
      <c r="AJ83" s="15"/>
      <c r="AK83" s="15"/>
      <c r="AL83" s="15"/>
      <c r="AM83" s="15"/>
      <c r="AN83" s="15"/>
      <c r="AO83" s="15"/>
      <c r="AP83" s="15"/>
      <c r="AQ83" s="141"/>
      <c r="AR83" s="15"/>
      <c r="AS83" s="72"/>
      <c r="AT83" s="72"/>
      <c r="AU83" s="78"/>
      <c r="AV83" s="72"/>
      <c r="AW83" s="15"/>
      <c r="AX83" s="15"/>
      <c r="AY83" s="15"/>
      <c r="AZ83" s="15"/>
      <c r="BA83" s="15"/>
      <c r="BB83" s="15"/>
      <c r="BC83" s="15"/>
      <c r="BD83" s="15"/>
      <c r="BE83" s="15"/>
      <c r="BF83" s="141"/>
      <c r="BG83" s="15"/>
    </row>
    <row r="84" spans="1:59" s="76" customFormat="1" ht="12.75">
      <c r="A84" s="423" t="s">
        <v>132</v>
      </c>
      <c r="B84" s="424"/>
      <c r="C84" s="424"/>
      <c r="D84" s="424"/>
      <c r="E84" s="424"/>
      <c r="F84" s="44"/>
      <c r="G84" s="71"/>
      <c r="H84" s="71"/>
      <c r="I84" s="71"/>
      <c r="J84" s="71"/>
      <c r="K84" s="71"/>
      <c r="L84" s="171">
        <f>IF(I32&gt;0,(L74-L34)/($F33*$I33+$F32*$I32),"--")</f>
        <v>1.9148394656680408</v>
      </c>
      <c r="M84" s="91"/>
      <c r="N84" s="91"/>
      <c r="O84" s="171">
        <f>IF(I32&gt;0,(O74-O34)/($F33*$I33+$F32*$I32),"--")</f>
        <v>2.7016277368155928</v>
      </c>
      <c r="P84" s="171"/>
      <c r="Q84" s="171"/>
      <c r="R84" s="171">
        <f>IF(I32&gt;0,(R74-R34)/($F33*$I33+$F32*$I32),"--")</f>
        <v>1.7269942862945435</v>
      </c>
      <c r="S84" s="171"/>
      <c r="T84" s="171"/>
      <c r="U84" s="171">
        <f>IF(I32&gt;0,(U74-U34)/($F33*$I33+$F32*$I32),"--")</f>
        <v>1.9768679996463352</v>
      </c>
      <c r="V84" s="88"/>
      <c r="W84" s="15"/>
      <c r="X84" s="224"/>
      <c r="Y84" s="15"/>
      <c r="Z84" s="15"/>
      <c r="AA84" s="15"/>
      <c r="AB84" s="15"/>
      <c r="AC84" s="21"/>
      <c r="AD84" s="15"/>
      <c r="AE84" s="72"/>
      <c r="AF84" s="78"/>
      <c r="AG84" s="72"/>
      <c r="AH84" s="15"/>
      <c r="AI84" s="15"/>
      <c r="AJ84" s="15"/>
      <c r="AK84" s="15"/>
      <c r="AL84" s="15"/>
      <c r="AM84" s="15"/>
      <c r="AN84" s="15"/>
      <c r="AO84" s="15"/>
      <c r="AP84" s="15"/>
      <c r="AQ84" s="141"/>
      <c r="AR84" s="15"/>
      <c r="AS84" s="72"/>
      <c r="AT84" s="72"/>
      <c r="AU84" s="78"/>
      <c r="AV84" s="72"/>
      <c r="AW84" s="15"/>
      <c r="AX84" s="15"/>
      <c r="AY84" s="15"/>
      <c r="AZ84" s="15"/>
      <c r="BA84" s="15"/>
      <c r="BB84" s="15"/>
      <c r="BC84" s="15"/>
      <c r="BD84" s="15"/>
      <c r="BE84" s="15"/>
      <c r="BF84" s="141"/>
      <c r="BG84" s="15"/>
    </row>
    <row r="85" spans="1:59" ht="6.75" customHeight="1" thickBot="1">
      <c r="A85" s="226"/>
      <c r="B85" s="227"/>
      <c r="C85" s="227"/>
      <c r="D85" s="227"/>
      <c r="E85" s="227"/>
      <c r="F85" s="227"/>
      <c r="G85" s="227"/>
      <c r="H85" s="227"/>
      <c r="I85" s="227"/>
      <c r="J85" s="227"/>
      <c r="K85" s="227"/>
      <c r="L85" s="227"/>
      <c r="M85" s="227"/>
      <c r="N85" s="227"/>
      <c r="O85" s="227"/>
      <c r="P85" s="228"/>
      <c r="Q85" s="228"/>
      <c r="R85" s="229"/>
      <c r="S85" s="230"/>
      <c r="T85" s="230"/>
      <c r="U85" s="230"/>
      <c r="V85" s="231"/>
      <c r="W85" s="15"/>
      <c r="X85" s="15"/>
      <c r="Y85" s="15"/>
      <c r="Z85" s="15"/>
      <c r="AA85" s="15"/>
      <c r="AB85" s="15"/>
      <c r="AC85" s="141"/>
      <c r="AD85" s="15"/>
      <c r="AE85" s="106"/>
      <c r="AF85" s="78"/>
      <c r="AG85" s="106"/>
      <c r="AH85" s="15"/>
      <c r="AI85" s="15"/>
      <c r="AJ85" s="15"/>
      <c r="AK85" s="15"/>
      <c r="AL85" s="15"/>
      <c r="AM85" s="15"/>
      <c r="AN85" s="15"/>
      <c r="AO85" s="15"/>
      <c r="AP85" s="15"/>
      <c r="AQ85" s="141"/>
      <c r="AR85" s="15"/>
      <c r="AS85" s="106"/>
      <c r="AT85" s="106"/>
      <c r="AU85" s="78"/>
      <c r="AV85" s="106"/>
      <c r="AW85" s="15"/>
      <c r="AX85" s="15"/>
      <c r="AY85" s="15"/>
      <c r="AZ85" s="15"/>
      <c r="BA85" s="15"/>
      <c r="BB85" s="15"/>
      <c r="BC85" s="15"/>
      <c r="BD85" s="15"/>
      <c r="BE85" s="15"/>
      <c r="BF85" s="141"/>
      <c r="BG85" s="15"/>
    </row>
    <row r="86" spans="1:59">
      <c r="Q86" s="45"/>
      <c r="R86" s="15"/>
      <c r="S86" s="15"/>
      <c r="T86" s="15"/>
      <c r="U86" s="15"/>
      <c r="V86" s="15"/>
      <c r="W86" s="15"/>
      <c r="X86" s="15"/>
      <c r="Y86" s="15"/>
      <c r="Z86" s="15"/>
      <c r="AA86" s="15"/>
      <c r="AB86" s="106"/>
      <c r="AC86" s="141"/>
      <c r="AD86" s="15"/>
      <c r="AE86" s="106"/>
      <c r="AF86" s="232"/>
      <c r="AG86" s="15"/>
      <c r="AH86" s="233"/>
      <c r="AI86" s="224"/>
      <c r="AJ86" s="15"/>
      <c r="AK86" s="15"/>
      <c r="AL86" s="224"/>
      <c r="AM86" s="15"/>
      <c r="AN86" s="15"/>
      <c r="AO86" s="15"/>
      <c r="AP86" s="106"/>
      <c r="AQ86" s="141"/>
      <c r="AR86" s="15"/>
      <c r="AS86" s="106"/>
      <c r="AT86" s="106"/>
      <c r="AU86" s="232"/>
      <c r="AV86" s="15"/>
      <c r="AW86" s="233"/>
      <c r="AX86" s="224"/>
      <c r="AY86" s="15"/>
      <c r="AZ86" s="15"/>
      <c r="BA86" s="224"/>
      <c r="BB86" s="15"/>
      <c r="BC86" s="15"/>
      <c r="BD86" s="15"/>
      <c r="BE86" s="106"/>
      <c r="BF86" s="141"/>
      <c r="BG86" s="15"/>
    </row>
    <row r="87" spans="1:59">
      <c r="Q87" s="45"/>
      <c r="R87" s="15"/>
      <c r="S87" s="15"/>
      <c r="T87" s="15"/>
      <c r="U87" s="15"/>
      <c r="V87" s="15"/>
      <c r="W87" s="15"/>
      <c r="X87" s="15"/>
      <c r="Y87" s="15"/>
      <c r="Z87" s="15"/>
      <c r="AA87" s="15"/>
      <c r="AB87" s="106"/>
      <c r="AC87" s="141"/>
      <c r="AD87" s="15"/>
      <c r="AE87" s="106"/>
      <c r="AF87" s="232"/>
      <c r="AG87" s="15"/>
      <c r="AH87" s="233"/>
      <c r="AI87" s="224"/>
      <c r="AJ87" s="15"/>
      <c r="AK87" s="15"/>
      <c r="AL87" s="224"/>
      <c r="AM87" s="15"/>
      <c r="AN87" s="15"/>
      <c r="AO87" s="15"/>
      <c r="AP87" s="106"/>
      <c r="AQ87" s="141"/>
      <c r="AR87" s="15"/>
      <c r="AS87" s="106"/>
      <c r="AT87" s="106"/>
      <c r="AU87" s="232"/>
      <c r="AV87" s="15"/>
      <c r="AW87" s="233"/>
      <c r="AX87" s="224"/>
      <c r="AY87" s="15"/>
      <c r="AZ87" s="15"/>
      <c r="BA87" s="224"/>
      <c r="BB87" s="15"/>
      <c r="BC87" s="15"/>
      <c r="BD87" s="15"/>
      <c r="BE87" s="106"/>
      <c r="BF87" s="141"/>
      <c r="BG87" s="15"/>
    </row>
    <row r="88" spans="1:59">
      <c r="Q88" s="106"/>
      <c r="R88" s="106"/>
      <c r="S88" s="106"/>
      <c r="T88" s="106"/>
      <c r="U88" s="106"/>
      <c r="V88" s="106"/>
      <c r="W88" s="106"/>
      <c r="X88" s="106"/>
      <c r="Y88" s="106"/>
      <c r="Z88" s="15"/>
      <c r="AA88" s="106"/>
      <c r="AB88" s="106"/>
      <c r="AC88" s="141"/>
      <c r="AD88" s="15"/>
      <c r="AE88" s="106"/>
      <c r="AF88" s="232"/>
      <c r="AG88" s="15"/>
      <c r="AH88" s="233"/>
      <c r="AI88" s="224"/>
      <c r="AJ88" s="15"/>
      <c r="AK88" s="15"/>
      <c r="AL88" s="224"/>
      <c r="AM88" s="15"/>
      <c r="AN88" s="15"/>
      <c r="AO88" s="15"/>
      <c r="AP88" s="106"/>
      <c r="AQ88" s="141"/>
      <c r="AR88" s="15"/>
      <c r="AS88" s="106"/>
      <c r="AT88" s="106"/>
      <c r="AU88" s="232"/>
      <c r="AV88" s="15"/>
      <c r="AW88" s="233"/>
      <c r="AX88" s="224"/>
      <c r="AY88" s="15"/>
      <c r="AZ88" s="15"/>
      <c r="BA88" s="224"/>
      <c r="BB88" s="15"/>
      <c r="BC88" s="15"/>
      <c r="BD88" s="15"/>
      <c r="BE88" s="106"/>
      <c r="BF88" s="141"/>
      <c r="BG88" s="15"/>
    </row>
    <row r="89" spans="1:59" ht="27" customHeight="1">
      <c r="Q89" s="106"/>
      <c r="R89" s="106"/>
      <c r="S89" s="106"/>
      <c r="T89" s="106"/>
      <c r="U89" s="234"/>
      <c r="V89" s="106"/>
      <c r="W89" s="106"/>
      <c r="X89" s="235"/>
      <c r="Y89" s="106"/>
      <c r="Z89" s="106"/>
      <c r="AA89" s="106"/>
      <c r="AB89" s="106"/>
      <c r="AC89" s="141"/>
      <c r="AD89" s="15"/>
      <c r="AE89" s="106"/>
      <c r="AF89" s="106"/>
      <c r="AG89" s="15"/>
      <c r="AH89" s="233"/>
      <c r="AI89" s="224"/>
      <c r="AJ89" s="15"/>
      <c r="AK89" s="15"/>
      <c r="AL89" s="224"/>
      <c r="AM89" s="15"/>
      <c r="AN89" s="15"/>
      <c r="AO89" s="15"/>
      <c r="AP89" s="106"/>
      <c r="AQ89" s="141"/>
      <c r="AR89" s="15"/>
      <c r="AS89" s="106"/>
      <c r="AT89" s="106"/>
      <c r="AU89" s="106"/>
      <c r="AV89" s="15"/>
      <c r="AW89" s="233"/>
      <c r="AX89" s="224"/>
      <c r="AY89" s="15"/>
      <c r="AZ89" s="15"/>
      <c r="BA89" s="224"/>
      <c r="BB89" s="15"/>
      <c r="BC89" s="15"/>
      <c r="BD89" s="15"/>
      <c r="BE89" s="106"/>
      <c r="BF89" s="141"/>
      <c r="BG89" s="15"/>
    </row>
    <row r="90" spans="1:59" ht="34.5" customHeight="1">
      <c r="Q90" s="45"/>
      <c r="R90" s="15"/>
      <c r="S90" s="15"/>
      <c r="T90" s="15"/>
      <c r="U90" s="233"/>
      <c r="V90" s="15"/>
      <c r="W90" s="15"/>
      <c r="X90" s="236"/>
      <c r="Y90" s="15"/>
      <c r="Z90" s="15"/>
      <c r="AA90" s="15"/>
      <c r="AB90" s="106"/>
      <c r="AC90" s="181"/>
      <c r="AD90" s="15"/>
      <c r="AE90" s="106"/>
      <c r="AF90" s="232"/>
      <c r="AG90" s="106"/>
      <c r="AH90" s="15"/>
      <c r="AI90" s="15"/>
      <c r="AJ90" s="15"/>
      <c r="AK90" s="15"/>
      <c r="AL90" s="15"/>
      <c r="AM90" s="15"/>
      <c r="AN90" s="15"/>
      <c r="AO90" s="15"/>
      <c r="AP90" s="15"/>
      <c r="AQ90" s="141"/>
      <c r="AR90" s="15"/>
      <c r="AS90" s="106"/>
      <c r="AT90" s="106"/>
      <c r="AU90" s="232"/>
      <c r="AV90" s="106"/>
      <c r="AW90" s="15"/>
      <c r="AX90" s="15"/>
      <c r="AY90" s="15"/>
      <c r="AZ90" s="15"/>
      <c r="BA90" s="15"/>
      <c r="BB90" s="15"/>
      <c r="BC90" s="15"/>
      <c r="BD90" s="15"/>
      <c r="BE90" s="15"/>
      <c r="BF90" s="141"/>
      <c r="BG90" s="15"/>
    </row>
    <row r="91" spans="1:59">
      <c r="Q91" s="45"/>
      <c r="R91" s="15"/>
      <c r="S91" s="15"/>
      <c r="T91" s="15"/>
      <c r="U91" s="15"/>
      <c r="V91" s="15"/>
      <c r="W91" s="15"/>
      <c r="X91" s="236"/>
      <c r="Y91" s="15"/>
      <c r="Z91" s="15"/>
      <c r="AA91" s="15"/>
      <c r="AB91" s="106"/>
      <c r="AC91" s="181"/>
      <c r="AD91" s="15"/>
      <c r="AE91" s="106"/>
      <c r="AF91" s="232"/>
      <c r="AG91" s="106"/>
      <c r="AH91" s="234"/>
      <c r="AI91" s="224"/>
      <c r="AJ91" s="106"/>
      <c r="AK91" s="106"/>
      <c r="AL91" s="237"/>
      <c r="AM91" s="106"/>
      <c r="AN91" s="106"/>
      <c r="AO91" s="106"/>
      <c r="AP91" s="106"/>
      <c r="AQ91" s="141"/>
      <c r="AR91" s="15"/>
      <c r="AS91" s="106"/>
      <c r="AT91" s="106"/>
      <c r="AU91" s="232"/>
      <c r="AV91" s="106"/>
      <c r="AW91" s="234"/>
      <c r="AX91" s="224"/>
      <c r="AY91" s="106"/>
      <c r="AZ91" s="106"/>
      <c r="BA91" s="237"/>
      <c r="BB91" s="106"/>
      <c r="BC91" s="106"/>
      <c r="BD91" s="106"/>
      <c r="BE91" s="106"/>
      <c r="BF91" s="141"/>
      <c r="BG91" s="15"/>
    </row>
    <row r="92" spans="1:59">
      <c r="M92" s="3"/>
      <c r="N92" s="3"/>
      <c r="P92" s="7"/>
      <c r="Q92" s="7"/>
      <c r="R92" s="15"/>
      <c r="S92" s="15"/>
      <c r="T92" s="15"/>
      <c r="U92" s="15"/>
      <c r="V92" s="15"/>
      <c r="W92" s="15"/>
      <c r="X92" s="15"/>
      <c r="Y92" s="15"/>
      <c r="Z92" s="15"/>
      <c r="AA92" s="15"/>
      <c r="AB92" s="106"/>
      <c r="AC92" s="181"/>
      <c r="AD92" s="15"/>
      <c r="AE92" s="106"/>
      <c r="AF92" s="232"/>
      <c r="AG92" s="106"/>
      <c r="AH92" s="234"/>
      <c r="AI92" s="224"/>
      <c r="AJ92" s="106"/>
      <c r="AK92" s="106"/>
      <c r="AL92" s="237"/>
      <c r="AM92" s="106"/>
      <c r="AN92" s="106"/>
      <c r="AO92" s="106"/>
      <c r="AP92" s="106"/>
      <c r="AQ92" s="141"/>
      <c r="AR92" s="15"/>
      <c r="AS92" s="106"/>
      <c r="AT92" s="106"/>
      <c r="AU92" s="232"/>
      <c r="AV92" s="106"/>
      <c r="AW92" s="234"/>
      <c r="AX92" s="224"/>
      <c r="AY92" s="106"/>
      <c r="AZ92" s="106"/>
      <c r="BA92" s="237"/>
      <c r="BB92" s="106"/>
      <c r="BC92" s="106"/>
      <c r="BD92" s="106"/>
      <c r="BE92" s="106"/>
      <c r="BF92" s="141"/>
      <c r="BG92" s="15"/>
    </row>
    <row r="93" spans="1:59">
      <c r="M93" s="3"/>
      <c r="N93" s="3"/>
      <c r="P93" s="15"/>
      <c r="Q93" s="15"/>
      <c r="R93" s="15"/>
      <c r="S93" s="15"/>
      <c r="T93" s="15"/>
      <c r="U93" s="15"/>
      <c r="V93" s="15"/>
      <c r="W93" s="15"/>
      <c r="X93" s="15"/>
      <c r="Y93" s="15"/>
      <c r="Z93" s="15"/>
      <c r="AA93" s="15"/>
      <c r="AB93" s="15"/>
      <c r="AC93" s="181"/>
      <c r="AD93" s="15"/>
      <c r="AE93" s="106"/>
      <c r="AF93" s="232"/>
      <c r="AG93" s="106"/>
      <c r="AH93" s="234"/>
      <c r="AI93" s="224"/>
      <c r="AJ93" s="106"/>
      <c r="AK93" s="106"/>
      <c r="AL93" s="237"/>
      <c r="AM93" s="106"/>
      <c r="AN93" s="106"/>
      <c r="AO93" s="106"/>
      <c r="AP93" s="106"/>
      <c r="AQ93" s="141"/>
      <c r="AR93" s="106"/>
      <c r="AS93" s="106"/>
      <c r="AT93" s="106"/>
      <c r="AU93" s="232"/>
      <c r="AV93" s="106"/>
      <c r="AW93" s="234"/>
      <c r="AX93" s="224"/>
      <c r="AY93" s="106"/>
      <c r="AZ93" s="106"/>
      <c r="BA93" s="237"/>
      <c r="BB93" s="106"/>
      <c r="BC93" s="106"/>
      <c r="BD93" s="106"/>
      <c r="BE93" s="106"/>
      <c r="BF93" s="141"/>
      <c r="BG93" s="106"/>
    </row>
    <row r="94" spans="1:59">
      <c r="M94" s="3"/>
      <c r="N94" s="3"/>
      <c r="P94" s="20"/>
      <c r="Q94" s="20"/>
      <c r="R94" s="20"/>
      <c r="S94" s="15"/>
      <c r="T94" s="15"/>
      <c r="U94" s="15"/>
      <c r="V94" s="15"/>
      <c r="W94" s="15"/>
      <c r="X94" s="15"/>
      <c r="Y94" s="15"/>
      <c r="Z94" s="15"/>
      <c r="AA94" s="15"/>
      <c r="AB94" s="15"/>
      <c r="AC94" s="181"/>
      <c r="AD94" s="15"/>
      <c r="AE94" s="106"/>
      <c r="AF94" s="232"/>
      <c r="AG94" s="106"/>
      <c r="AH94" s="234"/>
      <c r="AI94" s="224"/>
      <c r="AJ94" s="106"/>
      <c r="AK94" s="106"/>
      <c r="AL94" s="237"/>
      <c r="AM94" s="106"/>
      <c r="AN94" s="106"/>
      <c r="AO94" s="106"/>
      <c r="AP94" s="106"/>
      <c r="AQ94" s="141"/>
      <c r="AR94" s="106"/>
      <c r="AS94" s="106"/>
      <c r="AT94" s="106"/>
      <c r="AU94" s="232"/>
      <c r="AV94" s="106"/>
      <c r="AW94" s="234"/>
      <c r="AX94" s="224"/>
      <c r="AY94" s="106"/>
      <c r="AZ94" s="106"/>
      <c r="BA94" s="237"/>
      <c r="BB94" s="106"/>
      <c r="BC94" s="106"/>
      <c r="BD94" s="106"/>
      <c r="BE94" s="106"/>
      <c r="BF94" s="141"/>
      <c r="BG94" s="106"/>
    </row>
    <row r="95" spans="1:59">
      <c r="M95" s="3"/>
      <c r="N95" s="3"/>
      <c r="P95" s="15"/>
      <c r="Q95" s="15"/>
      <c r="R95" s="15"/>
      <c r="S95" s="15"/>
      <c r="T95" s="15"/>
      <c r="U95" s="15"/>
      <c r="V95" s="15"/>
      <c r="W95" s="15"/>
      <c r="X95" s="15"/>
      <c r="Y95" s="15"/>
      <c r="Z95" s="15"/>
      <c r="AA95" s="15"/>
      <c r="AB95" s="15"/>
      <c r="AC95" s="181"/>
      <c r="AD95" s="15"/>
      <c r="AE95" s="106"/>
      <c r="AF95" s="232"/>
      <c r="AG95" s="106"/>
      <c r="AH95" s="234"/>
      <c r="AI95" s="224"/>
      <c r="AJ95" s="106"/>
      <c r="AK95" s="106"/>
      <c r="AL95" s="237"/>
      <c r="AM95" s="106"/>
      <c r="AN95" s="106"/>
      <c r="AO95" s="106"/>
      <c r="AP95" s="106"/>
      <c r="AQ95" s="141"/>
      <c r="AR95" s="106"/>
      <c r="AS95" s="106"/>
      <c r="AT95" s="106"/>
      <c r="AU95" s="232"/>
      <c r="AV95" s="106"/>
      <c r="AW95" s="234"/>
      <c r="AX95" s="224"/>
      <c r="AY95" s="106"/>
      <c r="AZ95" s="106"/>
      <c r="BA95" s="237"/>
      <c r="BB95" s="106"/>
      <c r="BC95" s="106"/>
      <c r="BD95" s="106"/>
      <c r="BE95" s="106"/>
      <c r="BF95" s="141"/>
      <c r="BG95" s="106"/>
    </row>
    <row r="96" spans="1:59">
      <c r="M96" s="3"/>
      <c r="N96" s="3"/>
      <c r="P96" s="20"/>
      <c r="Q96" s="20"/>
      <c r="R96" s="20"/>
      <c r="S96" s="15"/>
      <c r="T96" s="15"/>
      <c r="U96" s="15"/>
      <c r="V96" s="15"/>
      <c r="W96" s="15"/>
      <c r="X96" s="15"/>
      <c r="Y96" s="15"/>
      <c r="Z96" s="15"/>
      <c r="AA96" s="15"/>
      <c r="AB96" s="106"/>
      <c r="AC96" s="106"/>
      <c r="AD96" s="15"/>
      <c r="AE96" s="106"/>
      <c r="AF96" s="232"/>
      <c r="AG96" s="106"/>
      <c r="AH96" s="234"/>
      <c r="AI96" s="224"/>
      <c r="AJ96" s="106"/>
      <c r="AK96" s="106"/>
      <c r="AL96" s="237"/>
      <c r="AM96" s="106"/>
      <c r="AN96" s="106"/>
      <c r="AO96" s="106"/>
      <c r="AP96" s="106"/>
      <c r="AQ96" s="141"/>
      <c r="AR96" s="106"/>
      <c r="AS96" s="106"/>
      <c r="AT96" s="106"/>
      <c r="AU96" s="232"/>
      <c r="AV96" s="106"/>
      <c r="AW96" s="234"/>
      <c r="AX96" s="224"/>
      <c r="AY96" s="106"/>
      <c r="AZ96" s="106"/>
      <c r="BA96" s="237"/>
      <c r="BB96" s="106"/>
      <c r="BC96" s="106"/>
      <c r="BD96" s="106"/>
      <c r="BE96" s="106"/>
      <c r="BF96" s="141"/>
      <c r="BG96" s="106"/>
    </row>
    <row r="97" spans="13:59">
      <c r="M97" s="238"/>
      <c r="N97" s="238"/>
      <c r="P97" s="15"/>
      <c r="Q97" s="15"/>
      <c r="R97" s="15"/>
      <c r="S97" s="15"/>
      <c r="T97" s="15"/>
      <c r="U97" s="15"/>
      <c r="V97" s="15"/>
      <c r="W97" s="15"/>
      <c r="X97" s="15"/>
      <c r="Y97" s="15"/>
      <c r="Z97" s="15"/>
      <c r="AA97" s="15"/>
      <c r="AB97" s="106"/>
      <c r="AC97" s="141"/>
      <c r="AD97" s="15"/>
      <c r="AE97" s="106"/>
      <c r="AF97" s="232"/>
      <c r="AG97" s="106"/>
      <c r="AH97" s="234"/>
      <c r="AI97" s="224"/>
      <c r="AJ97" s="106"/>
      <c r="AK97" s="106"/>
      <c r="AL97" s="237"/>
      <c r="AM97" s="106"/>
      <c r="AN97" s="106"/>
      <c r="AO97" s="106"/>
      <c r="AP97" s="106"/>
      <c r="AQ97" s="141"/>
      <c r="AR97" s="239"/>
      <c r="AS97" s="106"/>
      <c r="AT97" s="106"/>
      <c r="AU97" s="232"/>
      <c r="AV97" s="106"/>
      <c r="AW97" s="234"/>
      <c r="AX97" s="224"/>
      <c r="AY97" s="106"/>
      <c r="AZ97" s="106"/>
      <c r="BA97" s="237"/>
      <c r="BB97" s="106"/>
      <c r="BC97" s="106"/>
      <c r="BD97" s="106"/>
      <c r="BE97" s="106"/>
      <c r="BF97" s="141"/>
      <c r="BG97" s="106"/>
    </row>
    <row r="98" spans="13:59">
      <c r="M98" s="3"/>
      <c r="N98" s="3"/>
      <c r="P98" s="67"/>
      <c r="Q98" s="67"/>
      <c r="R98" s="67"/>
      <c r="S98" s="67"/>
      <c r="T98" s="67"/>
      <c r="U98" s="45"/>
      <c r="V98" s="45"/>
      <c r="W98" s="45"/>
      <c r="X98" s="45"/>
      <c r="Y98" s="15"/>
      <c r="Z98" s="15"/>
      <c r="AA98" s="15"/>
      <c r="AB98" s="15"/>
      <c r="AC98" s="141"/>
      <c r="AD98" s="239"/>
      <c r="AE98" s="106"/>
      <c r="AF98" s="232"/>
      <c r="AG98" s="106"/>
      <c r="AH98" s="234"/>
      <c r="AI98" s="224"/>
      <c r="AJ98" s="106"/>
      <c r="AK98" s="106"/>
      <c r="AL98" s="237"/>
      <c r="AM98" s="106"/>
      <c r="AN98" s="106"/>
      <c r="AO98" s="106"/>
      <c r="AP98" s="106"/>
      <c r="AQ98" s="141"/>
      <c r="AR98" s="239"/>
      <c r="AS98" s="106"/>
      <c r="AT98" s="106"/>
      <c r="AU98" s="232"/>
      <c r="AV98" s="106"/>
      <c r="AW98" s="234"/>
      <c r="AX98" s="224"/>
      <c r="AY98" s="106"/>
      <c r="AZ98" s="106"/>
      <c r="BA98" s="237"/>
      <c r="BB98" s="106"/>
      <c r="BC98" s="106"/>
      <c r="BD98" s="106"/>
      <c r="BE98" s="106"/>
      <c r="BF98" s="141"/>
      <c r="BG98" s="239"/>
    </row>
    <row r="99" spans="13:59">
      <c r="M99" s="3"/>
      <c r="N99" s="3"/>
      <c r="P99" s="67"/>
      <c r="Q99" s="67"/>
      <c r="R99" s="67"/>
      <c r="S99" s="67"/>
      <c r="T99" s="67"/>
      <c r="U99" s="45"/>
      <c r="V99" s="45"/>
      <c r="W99" s="45"/>
      <c r="X99" s="15"/>
      <c r="Y99" s="15"/>
      <c r="Z99" s="15"/>
      <c r="AA99" s="15"/>
      <c r="AB99" s="15"/>
      <c r="AC99" s="141"/>
      <c r="AD99" s="15"/>
      <c r="AE99" s="106"/>
      <c r="AF99" s="232"/>
      <c r="AG99" s="106"/>
      <c r="AH99" s="240"/>
      <c r="AI99" s="106"/>
      <c r="AJ99" s="106"/>
      <c r="AK99" s="106"/>
      <c r="AL99" s="106"/>
      <c r="AM99" s="106"/>
      <c r="AN99" s="106"/>
      <c r="AO99" s="106"/>
      <c r="AP99" s="106"/>
      <c r="AQ99" s="141"/>
      <c r="AR99" s="106"/>
      <c r="AS99" s="106"/>
      <c r="AT99" s="106"/>
      <c r="AU99" s="232"/>
      <c r="AV99" s="106"/>
      <c r="AW99" s="106"/>
      <c r="AX99" s="106"/>
      <c r="AY99" s="106"/>
      <c r="AZ99" s="106"/>
      <c r="BA99" s="106"/>
      <c r="BB99" s="106"/>
      <c r="BC99" s="106"/>
      <c r="BD99" s="106"/>
      <c r="BE99" s="106"/>
      <c r="BF99" s="141"/>
      <c r="BG99" s="106"/>
    </row>
    <row r="100" spans="13:59">
      <c r="M100" s="3"/>
      <c r="N100" s="3"/>
      <c r="P100" s="106"/>
      <c r="Q100" s="106"/>
      <c r="R100" s="106"/>
      <c r="S100" s="106"/>
      <c r="T100" s="106"/>
      <c r="U100" s="106"/>
      <c r="V100" s="106"/>
      <c r="W100" s="106"/>
      <c r="X100" s="106"/>
      <c r="Y100" s="106"/>
      <c r="Z100" s="106"/>
      <c r="AA100" s="106"/>
      <c r="AB100" s="15"/>
      <c r="AC100" s="141"/>
      <c r="AD100" s="15"/>
      <c r="AE100" s="106"/>
      <c r="AF100" s="232"/>
      <c r="AG100" s="106"/>
      <c r="AH100" s="106"/>
      <c r="AI100" s="106"/>
      <c r="AJ100" s="106"/>
      <c r="AK100" s="106"/>
      <c r="AL100" s="106"/>
      <c r="AM100" s="106"/>
      <c r="AN100" s="106"/>
      <c r="AO100" s="106"/>
      <c r="AP100" s="106"/>
      <c r="AQ100" s="143"/>
      <c r="AR100" s="106"/>
      <c r="AS100" s="106"/>
      <c r="AT100" s="106"/>
      <c r="AU100" s="232"/>
      <c r="AV100" s="106"/>
      <c r="AW100" s="106"/>
      <c r="AX100" s="106"/>
      <c r="AY100" s="106"/>
      <c r="AZ100" s="106"/>
      <c r="BA100" s="106"/>
      <c r="BB100" s="106"/>
      <c r="BC100" s="106"/>
      <c r="BD100" s="106"/>
      <c r="BE100" s="106"/>
      <c r="BF100" s="143"/>
      <c r="BG100" s="106"/>
    </row>
    <row r="101" spans="13:59">
      <c r="P101" s="106"/>
      <c r="Q101" s="106"/>
      <c r="R101" s="106"/>
      <c r="S101" s="106"/>
      <c r="T101" s="106"/>
      <c r="U101" s="106"/>
      <c r="V101" s="106"/>
      <c r="W101" s="106"/>
      <c r="X101" s="106"/>
      <c r="Y101" s="106"/>
      <c r="Z101" s="106"/>
      <c r="AA101" s="106"/>
      <c r="AB101" s="15"/>
      <c r="AC101" s="21"/>
      <c r="AD101" s="106"/>
      <c r="AE101" s="106"/>
      <c r="AF101" s="232"/>
      <c r="AG101" s="106"/>
      <c r="AH101" s="106"/>
      <c r="AI101" s="106"/>
      <c r="AJ101" s="106"/>
      <c r="AK101" s="106"/>
      <c r="AL101" s="106"/>
      <c r="AM101" s="106"/>
      <c r="AN101" s="106"/>
      <c r="AO101" s="106"/>
      <c r="AP101" s="106"/>
      <c r="AQ101" s="143"/>
      <c r="AR101" s="106"/>
      <c r="AS101" s="106"/>
      <c r="AT101" s="106"/>
      <c r="AU101" s="232"/>
      <c r="AV101" s="106"/>
      <c r="AW101" s="106"/>
      <c r="AX101" s="106"/>
      <c r="AY101" s="106"/>
      <c r="AZ101" s="106"/>
      <c r="BA101" s="106"/>
      <c r="BB101" s="106"/>
      <c r="BC101" s="106"/>
      <c r="BD101" s="106"/>
      <c r="BE101" s="106"/>
      <c r="BF101" s="143"/>
      <c r="BG101" s="106"/>
    </row>
    <row r="102" spans="13:59">
      <c r="P102" s="106"/>
      <c r="Q102" s="106"/>
      <c r="R102" s="106"/>
      <c r="S102" s="106"/>
      <c r="T102" s="106"/>
      <c r="U102" s="106"/>
      <c r="V102" s="106"/>
      <c r="W102" s="106"/>
      <c r="X102" s="106"/>
      <c r="Y102" s="106"/>
      <c r="Z102" s="106"/>
      <c r="AA102" s="106"/>
      <c r="AB102" s="15"/>
      <c r="AC102" s="141"/>
      <c r="AD102" s="106"/>
      <c r="AE102" s="106"/>
      <c r="AF102" s="232"/>
      <c r="AG102" s="106"/>
      <c r="AH102" s="106"/>
      <c r="AI102" s="106"/>
      <c r="AJ102" s="106"/>
      <c r="AK102" s="106"/>
      <c r="AL102" s="106"/>
      <c r="AM102" s="106"/>
      <c r="AN102" s="106"/>
      <c r="AO102" s="106"/>
      <c r="AP102" s="106"/>
      <c r="AQ102" s="143"/>
      <c r="AR102" s="106"/>
      <c r="AS102" s="106"/>
      <c r="AT102" s="106"/>
      <c r="AU102" s="232"/>
      <c r="AV102" s="106"/>
      <c r="AW102" s="106"/>
      <c r="AX102" s="106"/>
      <c r="AY102" s="106"/>
      <c r="AZ102" s="106"/>
      <c r="BA102" s="106"/>
      <c r="BB102" s="106"/>
      <c r="BC102" s="106"/>
      <c r="BD102" s="106"/>
      <c r="BE102" s="106"/>
      <c r="BF102" s="143"/>
      <c r="BG102" s="106"/>
    </row>
    <row r="103" spans="13:59" ht="15">
      <c r="P103" s="241"/>
      <c r="Q103" s="241"/>
      <c r="R103" s="106"/>
      <c r="S103" s="106"/>
      <c r="T103" s="106"/>
      <c r="U103" s="106"/>
      <c r="V103" s="106"/>
      <c r="W103" s="106"/>
      <c r="X103" s="106"/>
      <c r="Y103" s="106"/>
      <c r="Z103" s="106"/>
      <c r="AA103" s="106"/>
      <c r="AB103" s="15"/>
      <c r="AC103" s="21"/>
      <c r="AD103" s="106"/>
      <c r="AE103" s="106"/>
      <c r="AF103" s="45"/>
      <c r="AG103" s="15"/>
      <c r="AH103" s="15"/>
      <c r="AI103" s="15"/>
      <c r="AJ103" s="15"/>
      <c r="AK103" s="15"/>
      <c r="AL103" s="15"/>
      <c r="AM103" s="15"/>
      <c r="AN103" s="106"/>
      <c r="AO103" s="15"/>
      <c r="AP103" s="15"/>
      <c r="AQ103" s="143"/>
      <c r="AR103" s="106"/>
      <c r="AS103" s="106"/>
      <c r="AT103" s="106"/>
      <c r="AU103" s="45"/>
      <c r="AV103" s="15"/>
      <c r="AW103" s="15"/>
      <c r="AX103" s="15"/>
      <c r="AY103" s="15"/>
      <c r="AZ103" s="15"/>
      <c r="BA103" s="15"/>
      <c r="BB103" s="15"/>
      <c r="BC103" s="106"/>
      <c r="BD103" s="15"/>
      <c r="BE103" s="15"/>
      <c r="BF103" s="143"/>
      <c r="BG103" s="106"/>
    </row>
    <row r="104" spans="13:59">
      <c r="P104" s="106"/>
      <c r="Q104" s="106"/>
      <c r="R104" s="106"/>
      <c r="S104" s="106"/>
      <c r="T104" s="106"/>
      <c r="U104" s="106"/>
      <c r="V104" s="106"/>
      <c r="W104" s="106"/>
      <c r="X104" s="106"/>
      <c r="Y104" s="106"/>
      <c r="Z104" s="106"/>
      <c r="AA104" s="106"/>
      <c r="AB104" s="15"/>
      <c r="AC104" s="141"/>
      <c r="AD104" s="106"/>
      <c r="AE104" s="106"/>
      <c r="AF104" s="45"/>
      <c r="AG104" s="15"/>
      <c r="AH104" s="15"/>
      <c r="AI104" s="15"/>
      <c r="AJ104" s="15"/>
      <c r="AK104" s="15"/>
      <c r="AL104" s="15"/>
      <c r="AM104" s="15"/>
      <c r="AN104" s="15"/>
      <c r="AO104" s="15"/>
      <c r="AP104" s="15"/>
      <c r="AQ104" s="106"/>
      <c r="AR104" s="106"/>
      <c r="AS104" s="106"/>
      <c r="AT104" s="106"/>
      <c r="AU104" s="45"/>
      <c r="AV104" s="15"/>
      <c r="AW104" s="15"/>
      <c r="AX104" s="15"/>
      <c r="AY104" s="15"/>
      <c r="AZ104" s="15"/>
      <c r="BA104" s="15"/>
      <c r="BB104" s="15"/>
      <c r="BC104" s="15"/>
      <c r="BD104" s="15"/>
      <c r="BE104" s="15"/>
      <c r="BF104" s="106"/>
      <c r="BG104" s="106"/>
    </row>
    <row r="105" spans="13:59">
      <c r="P105" s="106"/>
      <c r="Q105" s="106"/>
      <c r="R105" s="106"/>
      <c r="S105" s="106"/>
      <c r="T105" s="106"/>
      <c r="U105" s="106"/>
      <c r="V105" s="106"/>
      <c r="W105" s="106"/>
      <c r="X105" s="106"/>
      <c r="Y105" s="106"/>
      <c r="Z105" s="106"/>
      <c r="AA105" s="106"/>
      <c r="AB105" s="15"/>
      <c r="AC105" s="21"/>
      <c r="AD105" s="106"/>
      <c r="AE105" s="106"/>
      <c r="AF105" s="45"/>
      <c r="AG105" s="15"/>
      <c r="AH105" s="15"/>
      <c r="AI105" s="15"/>
      <c r="AJ105" s="15"/>
      <c r="AK105" s="15"/>
      <c r="AL105" s="15"/>
      <c r="AM105" s="15"/>
      <c r="AN105" s="15"/>
      <c r="AO105" s="15"/>
      <c r="AP105" s="15"/>
      <c r="AQ105" s="106"/>
      <c r="AR105" s="106"/>
      <c r="AS105" s="106"/>
      <c r="AT105" s="106"/>
      <c r="AU105" s="45"/>
      <c r="AV105" s="15"/>
      <c r="AW105" s="15"/>
      <c r="AX105" s="15"/>
      <c r="AY105" s="15"/>
      <c r="AZ105" s="15"/>
      <c r="BA105" s="15"/>
      <c r="BB105" s="15"/>
      <c r="BC105" s="15"/>
      <c r="BD105" s="15"/>
      <c r="BE105" s="15"/>
      <c r="BF105" s="106"/>
      <c r="BG105" s="106"/>
    </row>
    <row r="106" spans="13:59">
      <c r="P106" s="106"/>
      <c r="Q106" s="106"/>
      <c r="R106" s="106"/>
      <c r="S106" s="106"/>
      <c r="T106" s="106"/>
      <c r="U106" s="234"/>
      <c r="V106" s="106"/>
      <c r="W106" s="237"/>
      <c r="X106" s="237"/>
      <c r="Y106" s="106"/>
      <c r="Z106" s="106"/>
      <c r="AA106" s="106"/>
      <c r="AB106" s="15"/>
      <c r="AC106" s="242"/>
      <c r="AD106" s="106"/>
      <c r="AE106" s="106"/>
      <c r="AF106" s="106"/>
      <c r="AG106" s="106"/>
      <c r="AH106" s="106"/>
      <c r="AI106" s="106"/>
      <c r="AJ106" s="106"/>
      <c r="AK106" s="106"/>
      <c r="AL106" s="106"/>
      <c r="AM106" s="106"/>
      <c r="AN106" s="15"/>
      <c r="AO106" s="106"/>
      <c r="AP106" s="106"/>
      <c r="AQ106" s="106"/>
      <c r="AR106" s="106"/>
      <c r="AS106" s="106"/>
      <c r="AT106" s="106"/>
      <c r="AU106" s="106"/>
      <c r="AV106" s="106"/>
      <c r="AW106" s="106"/>
      <c r="AX106" s="106"/>
      <c r="AY106" s="106"/>
      <c r="AZ106" s="106"/>
      <c r="BA106" s="106"/>
      <c r="BB106" s="106"/>
      <c r="BC106" s="15"/>
      <c r="BD106" s="106"/>
      <c r="BE106" s="106"/>
      <c r="BF106" s="106"/>
      <c r="BG106" s="106"/>
    </row>
    <row r="107" spans="13:59">
      <c r="P107" s="106"/>
      <c r="Q107" s="106"/>
      <c r="R107" s="106"/>
      <c r="S107" s="106"/>
      <c r="T107" s="106"/>
      <c r="U107" s="234"/>
      <c r="V107" s="106"/>
      <c r="W107" s="237"/>
      <c r="X107" s="237"/>
      <c r="Y107" s="106"/>
      <c r="Z107" s="106"/>
      <c r="AA107" s="106"/>
      <c r="AB107" s="15"/>
      <c r="AC107" s="242"/>
      <c r="AD107" s="106"/>
      <c r="AE107" s="106"/>
      <c r="AF107" s="106"/>
      <c r="AG107" s="106"/>
      <c r="AH107" s="106"/>
      <c r="AI107" s="234"/>
      <c r="AJ107" s="106"/>
      <c r="AK107" s="106"/>
      <c r="AL107" s="235"/>
      <c r="AM107" s="106"/>
      <c r="AN107" s="106"/>
      <c r="AO107" s="106"/>
      <c r="AP107" s="106"/>
      <c r="AQ107" s="141"/>
      <c r="AR107" s="106"/>
      <c r="AS107" s="106"/>
      <c r="AT107" s="106"/>
      <c r="AU107" s="106"/>
      <c r="AV107" s="106"/>
      <c r="AW107" s="106"/>
      <c r="AX107" s="234"/>
      <c r="AY107" s="106"/>
      <c r="AZ107" s="106"/>
      <c r="BA107" s="235"/>
      <c r="BB107" s="106"/>
      <c r="BC107" s="106"/>
      <c r="BD107" s="106"/>
      <c r="BE107" s="106"/>
      <c r="BF107" s="141"/>
      <c r="BG107" s="106"/>
    </row>
    <row r="108" spans="13:59" ht="14.45" customHeight="1">
      <c r="P108" s="106"/>
      <c r="Q108" s="106"/>
      <c r="R108" s="106"/>
      <c r="S108" s="106"/>
      <c r="T108" s="106"/>
      <c r="U108" s="234"/>
      <c r="V108" s="106"/>
      <c r="W108" s="237"/>
      <c r="X108" s="237"/>
      <c r="Y108" s="106"/>
      <c r="Z108" s="106"/>
      <c r="AA108" s="106"/>
      <c r="AB108" s="106"/>
      <c r="AC108" s="106"/>
      <c r="AD108" s="106"/>
      <c r="AE108" s="106"/>
      <c r="AF108" s="45"/>
      <c r="AG108" s="15"/>
      <c r="AH108" s="15"/>
      <c r="AI108" s="233"/>
      <c r="AJ108" s="15"/>
      <c r="AK108" s="15"/>
      <c r="AL108" s="236"/>
      <c r="AM108" s="15"/>
      <c r="AN108" s="15"/>
      <c r="AO108" s="15"/>
      <c r="AP108" s="15"/>
      <c r="AQ108" s="141"/>
      <c r="AR108" s="106"/>
      <c r="AS108" s="106"/>
      <c r="AT108" s="106"/>
      <c r="AU108" s="45"/>
      <c r="AV108" s="15"/>
      <c r="AW108" s="15"/>
      <c r="AX108" s="233"/>
      <c r="AY108" s="15"/>
      <c r="AZ108" s="15"/>
      <c r="BA108" s="236"/>
      <c r="BB108" s="15"/>
      <c r="BC108" s="15"/>
      <c r="BD108" s="15"/>
      <c r="BE108" s="15"/>
      <c r="BF108" s="141"/>
      <c r="BG108" s="106"/>
    </row>
    <row r="109" spans="13:59" ht="15" customHeight="1">
      <c r="P109" s="106"/>
      <c r="Q109" s="106"/>
      <c r="R109" s="106"/>
      <c r="S109" s="106"/>
      <c r="T109" s="106"/>
      <c r="U109" s="234"/>
      <c r="V109" s="106"/>
      <c r="W109" s="237"/>
      <c r="X109" s="237"/>
      <c r="Y109" s="106"/>
      <c r="Z109" s="106"/>
      <c r="AA109" s="106"/>
      <c r="AB109" s="106"/>
      <c r="AC109" s="106"/>
      <c r="AD109" s="106"/>
      <c r="AE109" s="106"/>
      <c r="AF109" s="45"/>
      <c r="AG109" s="15"/>
      <c r="AH109" s="15"/>
      <c r="AI109" s="15"/>
      <c r="AJ109" s="15"/>
      <c r="AK109" s="15"/>
      <c r="AL109" s="236"/>
      <c r="AM109" s="15"/>
      <c r="AN109" s="15"/>
      <c r="AO109" s="15"/>
      <c r="AP109" s="15"/>
      <c r="AQ109" s="141"/>
      <c r="AR109" s="106"/>
      <c r="AS109" s="106"/>
      <c r="AT109" s="106"/>
      <c r="AU109" s="45"/>
      <c r="AV109" s="15"/>
      <c r="AW109" s="15"/>
      <c r="AX109" s="15"/>
      <c r="AY109" s="15"/>
      <c r="AZ109" s="15"/>
      <c r="BA109" s="236"/>
      <c r="BB109" s="15"/>
      <c r="BC109" s="15"/>
      <c r="BD109" s="15"/>
      <c r="BE109" s="15"/>
      <c r="BF109" s="141"/>
      <c r="BG109" s="106"/>
    </row>
    <row r="110" spans="13:59" ht="14.45" customHeight="1">
      <c r="P110" s="106"/>
      <c r="Q110" s="106"/>
      <c r="R110" s="106"/>
      <c r="S110" s="106"/>
      <c r="T110" s="106"/>
      <c r="U110" s="234"/>
      <c r="V110" s="106"/>
      <c r="W110" s="237"/>
      <c r="X110" s="237"/>
      <c r="Y110" s="106"/>
      <c r="Z110" s="106"/>
      <c r="AA110" s="106"/>
      <c r="AB110" s="106"/>
      <c r="AC110" s="106"/>
      <c r="AD110" s="106"/>
      <c r="AE110" s="106"/>
      <c r="AF110" s="7"/>
      <c r="AG110" s="15"/>
      <c r="AH110" s="15"/>
      <c r="AI110" s="15"/>
      <c r="AJ110" s="15"/>
      <c r="AK110" s="15"/>
      <c r="AL110" s="15"/>
      <c r="AM110" s="15"/>
      <c r="AN110" s="15"/>
      <c r="AO110" s="15"/>
      <c r="AP110" s="15"/>
      <c r="AQ110" s="141"/>
      <c r="AR110" s="106"/>
      <c r="AS110" s="106"/>
      <c r="AT110" s="106"/>
      <c r="AU110" s="7"/>
      <c r="AV110" s="15"/>
      <c r="AW110" s="15"/>
      <c r="AX110" s="15"/>
      <c r="AY110" s="15"/>
      <c r="AZ110" s="15"/>
      <c r="BA110" s="15"/>
      <c r="BB110" s="15"/>
      <c r="BC110" s="15"/>
      <c r="BD110" s="15"/>
      <c r="BE110" s="15"/>
      <c r="BF110" s="141"/>
      <c r="BG110" s="106"/>
    </row>
    <row r="111" spans="13:59">
      <c r="P111" s="106"/>
      <c r="Q111" s="106"/>
      <c r="R111" s="106"/>
      <c r="S111" s="106"/>
      <c r="T111" s="106"/>
      <c r="U111" s="234"/>
      <c r="V111" s="106"/>
      <c r="W111" s="237"/>
      <c r="X111" s="237"/>
      <c r="Y111" s="106"/>
      <c r="Z111" s="106"/>
      <c r="AA111" s="106"/>
      <c r="AB111" s="106"/>
      <c r="AC111" s="106"/>
      <c r="AD111" s="106"/>
      <c r="AE111" s="106"/>
      <c r="AF111" s="15"/>
      <c r="AG111" s="15"/>
      <c r="AH111" s="15"/>
      <c r="AI111" s="15"/>
      <c r="AJ111" s="15"/>
      <c r="AK111" s="15"/>
      <c r="AL111" s="15"/>
      <c r="AM111" s="15"/>
      <c r="AN111" s="15"/>
      <c r="AO111" s="15"/>
      <c r="AP111" s="15"/>
      <c r="AQ111" s="21"/>
      <c r="AR111" s="106"/>
      <c r="AS111" s="106"/>
      <c r="AT111" s="106"/>
      <c r="AU111" s="15"/>
      <c r="AV111" s="15"/>
      <c r="AW111" s="15"/>
      <c r="AX111" s="15"/>
      <c r="AY111" s="15"/>
      <c r="AZ111" s="15"/>
      <c r="BA111" s="15"/>
      <c r="BB111" s="15"/>
      <c r="BC111" s="15"/>
      <c r="BD111" s="15"/>
      <c r="BE111" s="15"/>
      <c r="BF111" s="21"/>
      <c r="BG111" s="106"/>
    </row>
    <row r="112" spans="13:59">
      <c r="P112" s="106"/>
      <c r="Q112" s="106"/>
      <c r="R112" s="106"/>
      <c r="S112" s="106"/>
      <c r="T112" s="106"/>
      <c r="U112" s="234"/>
      <c r="V112" s="106"/>
      <c r="W112" s="237"/>
      <c r="X112" s="237"/>
      <c r="Y112" s="106"/>
      <c r="Z112" s="106"/>
      <c r="AA112" s="106"/>
      <c r="AB112" s="106"/>
      <c r="AC112" s="106"/>
      <c r="AD112" s="106"/>
      <c r="AE112" s="106"/>
      <c r="AF112" s="20"/>
      <c r="AG112" s="20"/>
      <c r="AH112" s="15"/>
      <c r="AI112" s="15"/>
      <c r="AJ112" s="15"/>
      <c r="AK112" s="15"/>
      <c r="AL112" s="15"/>
      <c r="AM112" s="15"/>
      <c r="AN112" s="15"/>
      <c r="AO112" s="15"/>
      <c r="AP112" s="15"/>
      <c r="AQ112" s="141"/>
      <c r="AR112" s="106"/>
      <c r="AS112" s="106"/>
      <c r="AT112" s="106"/>
      <c r="AU112" s="20"/>
      <c r="AV112" s="20"/>
      <c r="AW112" s="15"/>
      <c r="AX112" s="15"/>
      <c r="AY112" s="15"/>
      <c r="AZ112" s="15"/>
      <c r="BA112" s="15"/>
      <c r="BB112" s="15"/>
      <c r="BC112" s="15"/>
      <c r="BD112" s="15"/>
      <c r="BE112" s="15"/>
      <c r="BF112" s="141"/>
      <c r="BG112" s="106"/>
    </row>
    <row r="113" spans="16:59">
      <c r="P113" s="106"/>
      <c r="Q113" s="106"/>
      <c r="R113" s="106"/>
      <c r="S113" s="106"/>
      <c r="T113" s="106"/>
      <c r="U113" s="234"/>
      <c r="V113" s="106"/>
      <c r="W113" s="237"/>
      <c r="X113" s="237"/>
      <c r="Y113" s="106"/>
      <c r="Z113" s="106"/>
      <c r="AA113" s="106"/>
      <c r="AB113" s="106"/>
      <c r="AC113" s="106"/>
      <c r="AD113" s="106"/>
      <c r="AE113" s="106"/>
      <c r="AF113" s="20"/>
      <c r="AG113" s="15"/>
      <c r="AH113" s="15"/>
      <c r="AI113" s="15"/>
      <c r="AJ113" s="15"/>
      <c r="AK113" s="15"/>
      <c r="AL113" s="15"/>
      <c r="AM113" s="15"/>
      <c r="AN113" s="15"/>
      <c r="AO113" s="15"/>
      <c r="AP113" s="15"/>
      <c r="AQ113" s="21"/>
      <c r="AR113" s="106"/>
      <c r="AS113" s="106"/>
      <c r="AT113" s="106"/>
      <c r="AU113" s="20"/>
      <c r="AV113" s="15"/>
      <c r="AW113" s="15"/>
      <c r="AX113" s="15"/>
      <c r="AY113" s="15"/>
      <c r="AZ113" s="15"/>
      <c r="BA113" s="15"/>
      <c r="BB113" s="15"/>
      <c r="BC113" s="15"/>
      <c r="BD113" s="15"/>
      <c r="BE113" s="15"/>
      <c r="BF113" s="21"/>
      <c r="BG113" s="106"/>
    </row>
    <row r="114" spans="16:59">
      <c r="P114" s="106"/>
      <c r="Q114" s="106"/>
      <c r="R114" s="106"/>
      <c r="S114" s="106"/>
      <c r="T114" s="106"/>
      <c r="U114" s="234"/>
      <c r="V114" s="106"/>
      <c r="W114" s="237"/>
      <c r="X114" s="237"/>
      <c r="Y114" s="106"/>
      <c r="Z114" s="106"/>
      <c r="AA114" s="106"/>
      <c r="AB114" s="243"/>
      <c r="AC114" s="106"/>
      <c r="AD114" s="106"/>
      <c r="AE114" s="106"/>
      <c r="AF114" s="20"/>
      <c r="AG114" s="20"/>
      <c r="AH114" s="15"/>
      <c r="AI114" s="15"/>
      <c r="AJ114" s="15"/>
      <c r="AK114" s="15"/>
      <c r="AL114" s="15"/>
      <c r="AM114" s="15"/>
      <c r="AN114" s="15"/>
      <c r="AO114" s="15"/>
      <c r="AP114" s="15"/>
      <c r="AQ114" s="141"/>
      <c r="AR114" s="106"/>
      <c r="AS114" s="106"/>
      <c r="AT114" s="106"/>
      <c r="AU114" s="20"/>
      <c r="AV114" s="20"/>
      <c r="AW114" s="15"/>
      <c r="AX114" s="15"/>
      <c r="AY114" s="15"/>
      <c r="AZ114" s="15"/>
      <c r="BA114" s="15"/>
      <c r="BB114" s="15"/>
      <c r="BC114" s="15"/>
      <c r="BD114" s="15"/>
      <c r="BE114" s="15"/>
      <c r="BF114" s="141"/>
      <c r="BG114" s="106"/>
    </row>
    <row r="115" spans="16:59">
      <c r="P115" s="106"/>
      <c r="Q115" s="106"/>
      <c r="R115" s="106"/>
      <c r="S115" s="106"/>
      <c r="T115" s="106"/>
      <c r="U115" s="234"/>
      <c r="V115" s="106"/>
      <c r="W115" s="237"/>
      <c r="X115" s="237"/>
      <c r="Y115" s="106"/>
      <c r="Z115" s="106"/>
      <c r="AA115" s="106"/>
      <c r="AB115" s="243"/>
      <c r="AC115" s="106"/>
      <c r="AD115" s="106"/>
      <c r="AE115" s="106"/>
      <c r="AF115" s="15"/>
      <c r="AG115" s="15"/>
      <c r="AH115" s="15"/>
      <c r="AI115" s="15"/>
      <c r="AJ115" s="15"/>
      <c r="AK115" s="15"/>
      <c r="AL115" s="15"/>
      <c r="AM115" s="15"/>
      <c r="AN115" s="21"/>
      <c r="AO115" s="106"/>
    </row>
    <row r="116" spans="16:59">
      <c r="P116" s="106"/>
      <c r="Q116" s="106"/>
      <c r="R116" s="106"/>
      <c r="S116" s="106"/>
      <c r="T116" s="106"/>
      <c r="U116" s="234"/>
      <c r="V116" s="106"/>
      <c r="W116" s="237"/>
      <c r="X116" s="237"/>
      <c r="Y116" s="106"/>
      <c r="Z116" s="106"/>
      <c r="AA116" s="106"/>
      <c r="AB116" s="243"/>
      <c r="AC116" s="106"/>
      <c r="AD116" s="106"/>
      <c r="AE116" s="106"/>
      <c r="AF116" s="45"/>
      <c r="AG116" s="45"/>
      <c r="AH116" s="45"/>
      <c r="AI116" s="45"/>
      <c r="AJ116" s="15"/>
      <c r="AK116" s="15"/>
      <c r="AL116" s="15"/>
      <c r="AM116" s="15"/>
      <c r="AN116" s="242"/>
      <c r="AO116" s="106"/>
    </row>
    <row r="117" spans="16:59">
      <c r="P117" s="106"/>
      <c r="Q117" s="106"/>
      <c r="R117" s="106"/>
      <c r="S117" s="106"/>
      <c r="T117" s="106"/>
      <c r="U117" s="240"/>
      <c r="V117" s="106"/>
      <c r="W117" s="106"/>
      <c r="X117" s="106"/>
      <c r="Y117" s="106"/>
      <c r="Z117" s="234"/>
      <c r="AA117" s="234"/>
      <c r="AB117" s="243"/>
      <c r="AC117" s="106"/>
      <c r="AD117" s="106"/>
      <c r="AE117" s="106"/>
      <c r="AF117" s="45"/>
      <c r="AG117" s="45"/>
      <c r="AH117" s="45"/>
      <c r="AI117" s="15"/>
      <c r="AJ117" s="15"/>
      <c r="AK117" s="15"/>
      <c r="AL117" s="15"/>
      <c r="AM117" s="15"/>
      <c r="AN117" s="242"/>
      <c r="AO117" s="106"/>
    </row>
    <row r="118" spans="16:59">
      <c r="P118" s="106"/>
      <c r="Q118" s="106"/>
      <c r="R118" s="106"/>
      <c r="S118" s="106"/>
      <c r="T118" s="106"/>
      <c r="U118" s="234"/>
      <c r="V118" s="106"/>
      <c r="W118" s="106"/>
      <c r="X118" s="106"/>
      <c r="Y118" s="106"/>
      <c r="Z118" s="234"/>
      <c r="AA118" s="234"/>
      <c r="AB118" s="243"/>
      <c r="AC118" s="106"/>
      <c r="AD118" s="106"/>
      <c r="AE118" s="106"/>
      <c r="AF118" s="106"/>
      <c r="AG118" s="106"/>
      <c r="AH118" s="106"/>
      <c r="AI118" s="106"/>
      <c r="AJ118" s="106"/>
      <c r="AK118" s="106"/>
      <c r="AL118" s="106"/>
      <c r="AM118" s="106"/>
      <c r="AN118" s="106"/>
      <c r="AO118" s="106"/>
    </row>
    <row r="119" spans="16:59">
      <c r="P119" s="67"/>
      <c r="Q119" s="67"/>
      <c r="R119" s="67"/>
      <c r="S119" s="7"/>
      <c r="T119" s="7"/>
      <c r="U119" s="7"/>
      <c r="V119" s="45"/>
      <c r="W119" s="45"/>
      <c r="X119" s="45"/>
      <c r="Y119" s="45"/>
      <c r="Z119" s="15"/>
      <c r="AA119" s="15"/>
      <c r="AB119" s="243"/>
      <c r="AC119" s="106"/>
      <c r="AD119" s="106"/>
      <c r="AE119" s="106"/>
      <c r="AF119" s="106"/>
      <c r="AG119" s="106"/>
      <c r="AH119" s="106"/>
      <c r="AI119" s="106"/>
      <c r="AJ119" s="106"/>
      <c r="AK119" s="106"/>
      <c r="AL119" s="106"/>
      <c r="AM119" s="106"/>
      <c r="AN119" s="106"/>
      <c r="AO119" s="106"/>
    </row>
    <row r="120" spans="16:59">
      <c r="P120" s="14"/>
      <c r="Q120" s="14"/>
      <c r="R120" s="38"/>
      <c r="S120" s="15"/>
      <c r="T120" s="15"/>
      <c r="U120" s="15"/>
      <c r="V120" s="15"/>
      <c r="W120" s="15"/>
      <c r="X120" s="15"/>
      <c r="Y120" s="15"/>
      <c r="Z120" s="15"/>
    </row>
    <row r="121" spans="16:59">
      <c r="P121" s="39"/>
      <c r="Q121" s="39"/>
      <c r="R121" s="39"/>
      <c r="S121" s="15"/>
      <c r="T121" s="15"/>
      <c r="U121" s="15"/>
      <c r="V121" s="15"/>
      <c r="W121" s="15"/>
      <c r="X121" s="15"/>
      <c r="Y121" s="15"/>
      <c r="Z121" s="15"/>
    </row>
    <row r="122" spans="16:59">
      <c r="P122" s="40"/>
      <c r="Q122" s="40"/>
      <c r="R122" s="40"/>
      <c r="S122" s="40"/>
      <c r="T122" s="40"/>
      <c r="U122" s="15"/>
      <c r="V122" s="15"/>
      <c r="W122" s="15"/>
      <c r="X122" s="244"/>
      <c r="Y122" s="15"/>
      <c r="Z122" s="15"/>
    </row>
    <row r="123" spans="16:59">
      <c r="P123" s="245"/>
      <c r="Q123" s="245"/>
      <c r="R123" s="245"/>
      <c r="S123" s="245"/>
      <c r="T123" s="245"/>
      <c r="U123" s="245"/>
      <c r="V123" s="245"/>
      <c r="W123" s="245"/>
      <c r="X123" s="245"/>
      <c r="Y123" s="245"/>
      <c r="Z123" s="245"/>
    </row>
  </sheetData>
  <sheetProtection algorithmName="SHA-512" hashValue="/7sY15DNDvInJ1hQNBpDCvtgHhgLJnyWzD9oYgkVyDqWWpoTxZZZ82xqBRDAw5B/r7XVDoLxwCjRls6qtFjkMw==" saltValue="LKECrUdso7MJ5/aKvQjBdw==" spinCount="100000" sheet="1" selectLockedCells="1"/>
  <mergeCells count="34">
    <mergeCell ref="A46:C46"/>
    <mergeCell ref="A65:B65"/>
    <mergeCell ref="C11:E11"/>
    <mergeCell ref="C13:E13"/>
    <mergeCell ref="C15:E15"/>
    <mergeCell ref="C17:E17"/>
    <mergeCell ref="A56:C56"/>
    <mergeCell ref="A48:C48"/>
    <mergeCell ref="A49:C49"/>
    <mergeCell ref="A52:C52"/>
    <mergeCell ref="A54:C54"/>
    <mergeCell ref="A47:C47"/>
    <mergeCell ref="AF3:AP3"/>
    <mergeCell ref="AF5:AI5"/>
    <mergeCell ref="AF6:AH6"/>
    <mergeCell ref="AF8:AI8"/>
    <mergeCell ref="A3:K3"/>
    <mergeCell ref="A6:C6"/>
    <mergeCell ref="A84:E84"/>
    <mergeCell ref="U28:V28"/>
    <mergeCell ref="U29:V29"/>
    <mergeCell ref="A28:H28"/>
    <mergeCell ref="A83:E83"/>
    <mergeCell ref="L28:M28"/>
    <mergeCell ref="L29:M29"/>
    <mergeCell ref="O28:P28"/>
    <mergeCell ref="O29:P29"/>
    <mergeCell ref="R28:S28"/>
    <mergeCell ref="R29:S29"/>
    <mergeCell ref="A58:C58"/>
    <mergeCell ref="A62:B62"/>
    <mergeCell ref="A63:B63"/>
    <mergeCell ref="A64:B64"/>
    <mergeCell ref="A45:C45"/>
  </mergeCells>
  <hyperlinks>
    <hyperlink ref="A3:B3" r:id="rId1" display="Estimating the Field Capacity of Farm Machines"/>
    <hyperlink ref="A3" r:id="rId2" display="Learn in the Financial Information section"/>
    <hyperlink ref="A3:G3" r:id="rId3" display="For more information see the Livestock Cost of Production Information File."/>
    <hyperlink ref="A3:K3" r:id="rId4" display="For more information see the Livestock Enterprise Budgets Information File."/>
    <hyperlink ref="C39" location="'Feed budgeting'!A1" display="Use feed tab to calculate feed costs "/>
    <hyperlink ref="C72" location="'Fixed cost budgeting'!A1" display="Use fixed cost tab to calculate fixed costs "/>
  </hyperlinks>
  <pageMargins left="0.7" right="0.7" top="0.75" bottom="0.75" header="0.3" footer="0.3"/>
  <pageSetup scale="44" fitToHeight="0" orientation="portrait" r:id="rId5"/>
  <colBreaks count="1" manualBreakCount="1">
    <brk id="22" max="1048575" man="1"/>
  </col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4"/>
  <sheetViews>
    <sheetView showGridLines="0" zoomScale="90" zoomScaleNormal="90" workbookViewId="0">
      <selection activeCell="B8" sqref="B8"/>
    </sheetView>
  </sheetViews>
  <sheetFormatPr defaultColWidth="9" defaultRowHeight="12.75"/>
  <cols>
    <col min="1" max="1" width="18.140625" style="76" customWidth="1"/>
    <col min="2" max="2" width="15.140625" style="76" bestFit="1" customWidth="1"/>
    <col min="3" max="3" width="10.140625" style="76" bestFit="1" customWidth="1"/>
    <col min="4" max="4" width="15.42578125" style="76" bestFit="1" customWidth="1"/>
    <col min="5" max="5" width="9.140625" style="76" bestFit="1" customWidth="1"/>
    <col min="6" max="6" width="8.42578125" style="76" bestFit="1" customWidth="1"/>
    <col min="7" max="7" width="9.140625" style="76" bestFit="1" customWidth="1"/>
    <col min="8" max="9" width="12.140625" style="76" customWidth="1"/>
    <col min="10" max="10" width="16.85546875" style="76" bestFit="1" customWidth="1"/>
    <col min="11" max="13" width="12.140625" style="76" customWidth="1"/>
    <col min="14" max="14" width="13.42578125" style="76" customWidth="1"/>
    <col min="15" max="15" width="12.140625" style="76" customWidth="1"/>
    <col min="16" max="16" width="13.5703125" style="76" bestFit="1" customWidth="1"/>
    <col min="17" max="17" width="6" style="76" customWidth="1"/>
    <col min="18" max="18" width="9" style="76"/>
    <col min="19" max="19" width="12.140625" style="76" customWidth="1"/>
    <col min="20" max="20" width="16.85546875" style="76" bestFit="1" customWidth="1"/>
    <col min="21" max="23" width="12.140625" style="76" customWidth="1"/>
    <col min="24" max="24" width="13.42578125" style="76" customWidth="1"/>
    <col min="25" max="25" width="12.140625" style="76" customWidth="1"/>
    <col min="26" max="26" width="13.5703125" style="76" bestFit="1" customWidth="1"/>
    <col min="27" max="27" width="6.42578125" style="76" customWidth="1"/>
    <col min="28" max="28" width="9" style="76"/>
    <col min="29" max="29" width="12.140625" style="76" customWidth="1"/>
    <col min="30" max="30" width="16.85546875" style="76" bestFit="1" customWidth="1"/>
    <col min="31" max="33" width="12.140625" style="76" customWidth="1"/>
    <col min="34" max="34" width="13.42578125" style="76" customWidth="1"/>
    <col min="35" max="35" width="12.140625" style="76" customWidth="1"/>
    <col min="36" max="36" width="13.5703125" style="76" bestFit="1" customWidth="1"/>
    <col min="37" max="37" width="5.5703125" style="76" customWidth="1"/>
    <col min="38" max="38" width="9" style="76"/>
    <col min="39" max="39" width="12.140625" style="76" customWidth="1"/>
    <col min="40" max="40" width="16.85546875" style="76" bestFit="1" customWidth="1"/>
    <col min="41" max="43" width="12.140625" style="76" customWidth="1"/>
    <col min="44" max="44" width="13.42578125" style="76" customWidth="1"/>
    <col min="45" max="45" width="12.140625" style="76" customWidth="1"/>
    <col min="46" max="46" width="13.5703125" style="76" bestFit="1" customWidth="1"/>
    <col min="47" max="16384" width="9" style="76"/>
  </cols>
  <sheetData>
    <row r="1" spans="1:46" s="103" customFormat="1" ht="18.75" thickBot="1">
      <c r="A1" s="103" t="s">
        <v>275</v>
      </c>
    </row>
    <row r="2" spans="1:46" ht="13.5" thickTop="1">
      <c r="A2" s="252" t="s">
        <v>255</v>
      </c>
    </row>
    <row r="3" spans="1:46" ht="15">
      <c r="A3" s="252" t="s">
        <v>337</v>
      </c>
      <c r="I3" s="253" t="s">
        <v>323</v>
      </c>
      <c r="S3" s="253"/>
      <c r="AC3" s="253"/>
      <c r="AM3" s="253"/>
    </row>
    <row r="4" spans="1:46">
      <c r="A4" s="252" t="s">
        <v>338</v>
      </c>
    </row>
    <row r="5" spans="1:46">
      <c r="A5" s="252" t="s">
        <v>254</v>
      </c>
    </row>
    <row r="6" spans="1:46" ht="13.5" thickBot="1">
      <c r="A6" s="252" t="s">
        <v>276</v>
      </c>
      <c r="I6" s="254" t="s">
        <v>256</v>
      </c>
      <c r="J6" s="255"/>
      <c r="K6" s="256"/>
      <c r="S6" s="254" t="s">
        <v>256</v>
      </c>
      <c r="T6" s="255"/>
      <c r="U6" s="256"/>
      <c r="AC6" s="254" t="s">
        <v>256</v>
      </c>
      <c r="AD6" s="255"/>
      <c r="AE6" s="256"/>
      <c r="AM6" s="254" t="s">
        <v>256</v>
      </c>
      <c r="AN6" s="255"/>
      <c r="AO6" s="256"/>
    </row>
    <row r="7" spans="1:46" ht="26.25">
      <c r="A7" s="257" t="s">
        <v>70</v>
      </c>
      <c r="B7" s="258" t="s">
        <v>91</v>
      </c>
      <c r="C7" s="258" t="s">
        <v>100</v>
      </c>
      <c r="D7" s="258" t="s">
        <v>101</v>
      </c>
      <c r="E7" s="258" t="s">
        <v>29</v>
      </c>
      <c r="F7" s="258" t="s">
        <v>77</v>
      </c>
      <c r="G7" s="259" t="s">
        <v>90</v>
      </c>
      <c r="I7" s="260" t="s">
        <v>94</v>
      </c>
      <c r="J7" s="261"/>
      <c r="K7" s="261" t="str">
        <f>'Budget comparison'!C11</f>
        <v>Summer grazing</v>
      </c>
      <c r="L7" s="261"/>
      <c r="M7" s="261"/>
      <c r="N7" s="261"/>
      <c r="O7" s="261"/>
      <c r="P7" s="262"/>
      <c r="S7" s="260" t="s">
        <v>95</v>
      </c>
      <c r="T7" s="261"/>
      <c r="U7" s="261" t="str">
        <f>'Budget comparison'!C13</f>
        <v>Confined</v>
      </c>
      <c r="V7" s="261"/>
      <c r="W7" s="261"/>
      <c r="X7" s="261"/>
      <c r="Y7" s="261"/>
      <c r="Z7" s="262"/>
      <c r="AA7" s="263"/>
      <c r="AB7" s="263"/>
      <c r="AC7" s="260" t="s">
        <v>108</v>
      </c>
      <c r="AD7" s="261"/>
      <c r="AE7" s="261" t="str">
        <f>'Budget comparison'!C15</f>
        <v>Extended grazing</v>
      </c>
      <c r="AF7" s="261"/>
      <c r="AG7" s="261"/>
      <c r="AH7" s="261"/>
      <c r="AI7" s="261"/>
      <c r="AJ7" s="262"/>
      <c r="AK7" s="263"/>
      <c r="AL7" s="263"/>
      <c r="AM7" s="260" t="s">
        <v>107</v>
      </c>
      <c r="AN7" s="261"/>
      <c r="AO7" s="261" t="str">
        <f>'Budget comparison'!C17</f>
        <v>Combination</v>
      </c>
      <c r="AP7" s="261"/>
      <c r="AQ7" s="261"/>
      <c r="AR7" s="261"/>
      <c r="AS7" s="261"/>
      <c r="AT7" s="262"/>
    </row>
    <row r="8" spans="1:46">
      <c r="A8" s="264">
        <v>1</v>
      </c>
      <c r="B8" s="323" t="s">
        <v>21</v>
      </c>
      <c r="C8" s="323">
        <v>56</v>
      </c>
      <c r="D8" s="324">
        <v>3.5</v>
      </c>
      <c r="E8" s="325">
        <v>0.85</v>
      </c>
      <c r="F8" s="325">
        <v>0.9</v>
      </c>
      <c r="G8" s="325">
        <v>0.08</v>
      </c>
      <c r="H8" s="265"/>
      <c r="I8" s="109"/>
      <c r="J8" s="73"/>
      <c r="K8" s="73"/>
      <c r="L8" s="73"/>
      <c r="M8" s="73"/>
      <c r="N8" s="266"/>
      <c r="O8" s="73"/>
      <c r="P8" s="127"/>
      <c r="R8" s="265"/>
      <c r="S8" s="109"/>
      <c r="T8" s="73"/>
      <c r="U8" s="73"/>
      <c r="V8" s="73"/>
      <c r="W8" s="73"/>
      <c r="X8" s="266"/>
      <c r="Y8" s="73"/>
      <c r="Z8" s="127"/>
      <c r="AB8" s="265"/>
      <c r="AC8" s="109"/>
      <c r="AD8" s="73"/>
      <c r="AE8" s="73"/>
      <c r="AF8" s="73"/>
      <c r="AG8" s="73"/>
      <c r="AH8" s="266"/>
      <c r="AI8" s="73"/>
      <c r="AJ8" s="127"/>
      <c r="AL8" s="265"/>
      <c r="AM8" s="109"/>
      <c r="AN8" s="73"/>
      <c r="AO8" s="73"/>
      <c r="AP8" s="73"/>
      <c r="AQ8" s="73"/>
      <c r="AR8" s="266"/>
      <c r="AS8" s="73"/>
      <c r="AT8" s="127"/>
    </row>
    <row r="9" spans="1:46">
      <c r="A9" s="264">
        <v>2</v>
      </c>
      <c r="B9" s="326" t="s">
        <v>67</v>
      </c>
      <c r="C9" s="326">
        <v>2000</v>
      </c>
      <c r="D9" s="246">
        <v>95</v>
      </c>
      <c r="E9" s="247">
        <v>0.85</v>
      </c>
      <c r="F9" s="247">
        <v>0.5</v>
      </c>
      <c r="G9" s="247">
        <v>0.13</v>
      </c>
      <c r="H9" s="265"/>
      <c r="I9" s="214" t="s">
        <v>85</v>
      </c>
      <c r="J9" s="73"/>
      <c r="K9" s="73"/>
      <c r="L9" s="73"/>
      <c r="M9" s="73"/>
      <c r="N9" s="266" t="s">
        <v>286</v>
      </c>
      <c r="O9" s="266" t="s">
        <v>92</v>
      </c>
      <c r="P9" s="267" t="s">
        <v>104</v>
      </c>
      <c r="R9" s="265"/>
      <c r="S9" s="214" t="s">
        <v>85</v>
      </c>
      <c r="T9" s="73"/>
      <c r="U9" s="73"/>
      <c r="V9" s="73"/>
      <c r="W9" s="73"/>
      <c r="X9" s="266" t="s">
        <v>286</v>
      </c>
      <c r="Y9" s="266" t="s">
        <v>92</v>
      </c>
      <c r="Z9" s="267" t="s">
        <v>104</v>
      </c>
      <c r="AB9" s="265"/>
      <c r="AC9" s="214" t="s">
        <v>85</v>
      </c>
      <c r="AD9" s="73"/>
      <c r="AE9" s="73"/>
      <c r="AF9" s="73"/>
      <c r="AG9" s="73"/>
      <c r="AH9" s="266" t="s">
        <v>286</v>
      </c>
      <c r="AI9" s="266" t="s">
        <v>92</v>
      </c>
      <c r="AJ9" s="267" t="s">
        <v>104</v>
      </c>
      <c r="AL9" s="265"/>
      <c r="AM9" s="214" t="s">
        <v>85</v>
      </c>
      <c r="AN9" s="73"/>
      <c r="AO9" s="73"/>
      <c r="AP9" s="73"/>
      <c r="AQ9" s="73"/>
      <c r="AR9" s="266" t="s">
        <v>286</v>
      </c>
      <c r="AS9" s="266" t="s">
        <v>92</v>
      </c>
      <c r="AT9" s="267" t="s">
        <v>104</v>
      </c>
    </row>
    <row r="10" spans="1:46">
      <c r="A10" s="264">
        <v>3</v>
      </c>
      <c r="B10" s="326" t="s">
        <v>72</v>
      </c>
      <c r="C10" s="326">
        <v>2000</v>
      </c>
      <c r="D10" s="246">
        <v>60</v>
      </c>
      <c r="E10" s="247">
        <v>0.8</v>
      </c>
      <c r="F10" s="247">
        <v>0.45</v>
      </c>
      <c r="G10" s="247">
        <v>0.04</v>
      </c>
      <c r="H10" s="265"/>
      <c r="I10" s="109" t="s">
        <v>86</v>
      </c>
      <c r="J10" s="326">
        <v>2</v>
      </c>
      <c r="K10" s="72" t="s">
        <v>40</v>
      </c>
      <c r="L10" s="326">
        <v>75</v>
      </c>
      <c r="M10" s="72"/>
      <c r="N10" s="326">
        <v>180</v>
      </c>
      <c r="O10" s="172">
        <f>IF(P10&gt;0,P10/N10,"")</f>
        <v>0.83333333333333337</v>
      </c>
      <c r="P10" s="268">
        <f>J10*L10</f>
        <v>150</v>
      </c>
      <c r="R10" s="265"/>
      <c r="S10" s="109" t="s">
        <v>86</v>
      </c>
      <c r="T10" s="326">
        <v>0</v>
      </c>
      <c r="U10" s="72" t="s">
        <v>40</v>
      </c>
      <c r="V10" s="326">
        <v>0</v>
      </c>
      <c r="W10" s="72"/>
      <c r="X10" s="326"/>
      <c r="Y10" s="172" t="str">
        <f>IF(Z10&gt;0,Z10/X10,"")</f>
        <v/>
      </c>
      <c r="Z10" s="268">
        <f>T10*V10</f>
        <v>0</v>
      </c>
      <c r="AB10" s="265"/>
      <c r="AC10" s="109" t="s">
        <v>86</v>
      </c>
      <c r="AD10" s="326">
        <v>3.5</v>
      </c>
      <c r="AE10" s="72" t="s">
        <v>40</v>
      </c>
      <c r="AF10" s="326">
        <v>75</v>
      </c>
      <c r="AG10" s="72"/>
      <c r="AH10" s="326">
        <v>300</v>
      </c>
      <c r="AI10" s="172">
        <f>IF(AJ10&gt;0,AJ10/AH10,"")</f>
        <v>0.875</v>
      </c>
      <c r="AJ10" s="268">
        <f>AD10*AF10</f>
        <v>262.5</v>
      </c>
      <c r="AL10" s="265"/>
      <c r="AM10" s="109" t="s">
        <v>86</v>
      </c>
      <c r="AN10" s="326">
        <v>1</v>
      </c>
      <c r="AO10" s="72" t="s">
        <v>40</v>
      </c>
      <c r="AP10" s="326">
        <v>75</v>
      </c>
      <c r="AQ10" s="72"/>
      <c r="AR10" s="326">
        <v>90</v>
      </c>
      <c r="AS10" s="172">
        <f>IF(AT10&gt;0,AT10/AR10,"")</f>
        <v>0.83333333333333337</v>
      </c>
      <c r="AT10" s="268">
        <f>AN10*AP10</f>
        <v>75</v>
      </c>
    </row>
    <row r="11" spans="1:46">
      <c r="A11" s="264">
        <v>4</v>
      </c>
      <c r="B11" s="326" t="s">
        <v>79</v>
      </c>
      <c r="C11" s="326">
        <v>2000</v>
      </c>
      <c r="D11" s="246">
        <v>35</v>
      </c>
      <c r="E11" s="247">
        <v>0.35</v>
      </c>
      <c r="F11" s="247">
        <v>0.7</v>
      </c>
      <c r="G11" s="247">
        <v>0.08</v>
      </c>
      <c r="H11" s="265"/>
      <c r="I11" s="109" t="s">
        <v>86</v>
      </c>
      <c r="J11" s="326"/>
      <c r="K11" s="72" t="s">
        <v>40</v>
      </c>
      <c r="L11" s="326"/>
      <c r="M11" s="72"/>
      <c r="N11" s="326"/>
      <c r="O11" s="172" t="str">
        <f t="shared" ref="O11:O12" si="0">IF(P11&gt;0,P11/N11,"")</f>
        <v/>
      </c>
      <c r="P11" s="268">
        <f>J11*L11</f>
        <v>0</v>
      </c>
      <c r="R11" s="265"/>
      <c r="S11" s="109" t="s">
        <v>86</v>
      </c>
      <c r="T11" s="326"/>
      <c r="U11" s="72" t="s">
        <v>40</v>
      </c>
      <c r="V11" s="326"/>
      <c r="W11" s="72"/>
      <c r="X11" s="326"/>
      <c r="Y11" s="172" t="str">
        <f t="shared" ref="Y11:Y12" si="1">IF(Z11&gt;0,Z11/X11,"")</f>
        <v/>
      </c>
      <c r="Z11" s="268">
        <f>T11*V11</f>
        <v>0</v>
      </c>
      <c r="AB11" s="265"/>
      <c r="AC11" s="109" t="s">
        <v>86</v>
      </c>
      <c r="AD11" s="326"/>
      <c r="AE11" s="72" t="s">
        <v>40</v>
      </c>
      <c r="AF11" s="326"/>
      <c r="AG11" s="72"/>
      <c r="AH11" s="326"/>
      <c r="AI11" s="172" t="str">
        <f t="shared" ref="AI11:AI12" si="2">IF(AJ11&gt;0,AJ11/AH11,"")</f>
        <v/>
      </c>
      <c r="AJ11" s="268">
        <f>AD11*AF11</f>
        <v>0</v>
      </c>
      <c r="AL11" s="265"/>
      <c r="AM11" s="109" t="s">
        <v>86</v>
      </c>
      <c r="AN11" s="326"/>
      <c r="AO11" s="72" t="s">
        <v>40</v>
      </c>
      <c r="AP11" s="326"/>
      <c r="AQ11" s="72"/>
      <c r="AR11" s="326"/>
      <c r="AS11" s="172" t="str">
        <f t="shared" ref="AS11:AS12" si="3">IF(AT11&gt;0,AT11/AR11,"")</f>
        <v/>
      </c>
      <c r="AT11" s="268">
        <f>AN11*AP11</f>
        <v>0</v>
      </c>
    </row>
    <row r="12" spans="1:46" ht="15">
      <c r="A12" s="264">
        <v>5</v>
      </c>
      <c r="B12" s="326" t="s">
        <v>204</v>
      </c>
      <c r="C12" s="327">
        <v>2000</v>
      </c>
      <c r="D12" s="246">
        <v>70</v>
      </c>
      <c r="E12" s="247">
        <v>0.49</v>
      </c>
      <c r="F12" s="247">
        <v>0.94</v>
      </c>
      <c r="G12" s="247">
        <v>0.32</v>
      </c>
      <c r="I12" s="109" t="s">
        <v>86</v>
      </c>
      <c r="J12" s="326"/>
      <c r="K12" s="72" t="s">
        <v>40</v>
      </c>
      <c r="L12" s="326"/>
      <c r="M12" s="72"/>
      <c r="N12" s="326"/>
      <c r="O12" s="172" t="str">
        <f t="shared" si="0"/>
        <v/>
      </c>
      <c r="P12" s="269">
        <f>J12*L12</f>
        <v>0</v>
      </c>
      <c r="S12" s="109" t="s">
        <v>86</v>
      </c>
      <c r="T12" s="326"/>
      <c r="U12" s="72" t="s">
        <v>40</v>
      </c>
      <c r="V12" s="326"/>
      <c r="W12" s="72"/>
      <c r="X12" s="326"/>
      <c r="Y12" s="172" t="str">
        <f t="shared" si="1"/>
        <v/>
      </c>
      <c r="Z12" s="269">
        <f>T12*V12</f>
        <v>0</v>
      </c>
      <c r="AC12" s="109" t="s">
        <v>86</v>
      </c>
      <c r="AD12" s="326"/>
      <c r="AE12" s="72" t="s">
        <v>40</v>
      </c>
      <c r="AF12" s="326"/>
      <c r="AG12" s="72"/>
      <c r="AH12" s="326"/>
      <c r="AI12" s="172" t="str">
        <f t="shared" si="2"/>
        <v/>
      </c>
      <c r="AJ12" s="269">
        <f>AD12*AF12</f>
        <v>0</v>
      </c>
      <c r="AM12" s="109" t="s">
        <v>86</v>
      </c>
      <c r="AN12" s="326"/>
      <c r="AO12" s="72" t="s">
        <v>40</v>
      </c>
      <c r="AP12" s="326"/>
      <c r="AQ12" s="72"/>
      <c r="AR12" s="326"/>
      <c r="AS12" s="172" t="str">
        <f t="shared" si="3"/>
        <v/>
      </c>
      <c r="AT12" s="269">
        <f>AN12*AP12</f>
        <v>0</v>
      </c>
    </row>
    <row r="13" spans="1:46">
      <c r="A13" s="264">
        <v>6</v>
      </c>
      <c r="B13" s="326" t="s">
        <v>203</v>
      </c>
      <c r="C13" s="327">
        <v>2000</v>
      </c>
      <c r="D13" s="246"/>
      <c r="E13" s="247">
        <v>0.49</v>
      </c>
      <c r="F13" s="247">
        <v>0.97</v>
      </c>
      <c r="G13" s="247">
        <v>0.31</v>
      </c>
      <c r="I13" s="109"/>
      <c r="J13" s="73"/>
      <c r="K13" s="73"/>
      <c r="L13" s="73"/>
      <c r="M13" s="73" t="s">
        <v>287</v>
      </c>
      <c r="N13" s="73">
        <f>SUM(N10:N12)</f>
        <v>180</v>
      </c>
      <c r="O13" s="73"/>
      <c r="P13" s="268">
        <f>SUM(P10:P12)</f>
        <v>150</v>
      </c>
      <c r="S13" s="109"/>
      <c r="T13" s="73"/>
      <c r="U13" s="73"/>
      <c r="V13" s="73"/>
      <c r="W13" s="73" t="s">
        <v>287</v>
      </c>
      <c r="X13" s="73">
        <f>SUM(X10:X12)</f>
        <v>0</v>
      </c>
      <c r="Y13" s="73"/>
      <c r="Z13" s="268">
        <f>SUM(Z10:Z12)</f>
        <v>0</v>
      </c>
      <c r="AC13" s="109"/>
      <c r="AD13" s="73"/>
      <c r="AE13" s="73"/>
      <c r="AF13" s="73"/>
      <c r="AG13" s="73" t="s">
        <v>287</v>
      </c>
      <c r="AH13" s="73">
        <f>SUM(AH10:AH12)</f>
        <v>300</v>
      </c>
      <c r="AI13" s="73"/>
      <c r="AJ13" s="268">
        <f>SUM(AJ10:AJ12)</f>
        <v>262.5</v>
      </c>
      <c r="AM13" s="109"/>
      <c r="AN13" s="73"/>
      <c r="AO13" s="73"/>
      <c r="AP13" s="73"/>
      <c r="AQ13" s="73" t="s">
        <v>287</v>
      </c>
      <c r="AR13" s="73">
        <f>SUM(AR10:AR12)</f>
        <v>90</v>
      </c>
      <c r="AS13" s="73"/>
      <c r="AT13" s="268">
        <f>SUM(AT10:AT12)</f>
        <v>75</v>
      </c>
    </row>
    <row r="14" spans="1:46">
      <c r="A14" s="264">
        <v>7</v>
      </c>
      <c r="B14" s="326" t="s">
        <v>204</v>
      </c>
      <c r="C14" s="327">
        <v>2000</v>
      </c>
      <c r="D14" s="246"/>
      <c r="E14" s="247">
        <v>0.49</v>
      </c>
      <c r="F14" s="247">
        <v>0.94</v>
      </c>
      <c r="G14" s="247">
        <v>0.32</v>
      </c>
      <c r="I14" s="109"/>
      <c r="J14" s="73"/>
      <c r="K14" s="73"/>
      <c r="L14" s="73"/>
      <c r="M14" s="73"/>
      <c r="N14" s="73"/>
      <c r="O14" s="73"/>
      <c r="P14" s="127"/>
      <c r="S14" s="109"/>
      <c r="T14" s="73"/>
      <c r="U14" s="73"/>
      <c r="V14" s="73"/>
      <c r="W14" s="73"/>
      <c r="X14" s="73"/>
      <c r="Y14" s="73"/>
      <c r="Z14" s="127"/>
      <c r="AC14" s="109"/>
      <c r="AD14" s="73"/>
      <c r="AE14" s="73"/>
      <c r="AF14" s="73"/>
      <c r="AG14" s="73"/>
      <c r="AH14" s="73"/>
      <c r="AI14" s="73"/>
      <c r="AJ14" s="127"/>
      <c r="AM14" s="109"/>
      <c r="AN14" s="73"/>
      <c r="AO14" s="73"/>
      <c r="AP14" s="73"/>
      <c r="AQ14" s="73"/>
      <c r="AR14" s="73"/>
      <c r="AS14" s="73"/>
      <c r="AT14" s="127"/>
    </row>
    <row r="15" spans="1:46">
      <c r="A15" s="264">
        <v>8</v>
      </c>
      <c r="B15" s="326" t="s">
        <v>200</v>
      </c>
      <c r="C15" s="327">
        <v>2000</v>
      </c>
      <c r="D15" s="246"/>
      <c r="E15" s="247">
        <v>0.9</v>
      </c>
      <c r="F15" s="247">
        <v>0.93</v>
      </c>
      <c r="G15" s="247">
        <v>0.3</v>
      </c>
      <c r="I15" s="214" t="s">
        <v>87</v>
      </c>
      <c r="J15" s="73"/>
      <c r="K15" s="72"/>
      <c r="L15" s="72"/>
      <c r="M15" s="72"/>
      <c r="N15" s="72"/>
      <c r="O15" s="172"/>
      <c r="P15" s="127"/>
      <c r="S15" s="214" t="s">
        <v>87</v>
      </c>
      <c r="T15" s="73"/>
      <c r="U15" s="72"/>
      <c r="V15" s="72"/>
      <c r="W15" s="72"/>
      <c r="X15" s="72"/>
      <c r="Y15" s="172"/>
      <c r="Z15" s="127"/>
      <c r="AC15" s="214" t="s">
        <v>87</v>
      </c>
      <c r="AD15" s="73"/>
      <c r="AE15" s="72"/>
      <c r="AF15" s="72"/>
      <c r="AG15" s="72"/>
      <c r="AH15" s="72"/>
      <c r="AI15" s="172"/>
      <c r="AJ15" s="127"/>
      <c r="AM15" s="214" t="s">
        <v>87</v>
      </c>
      <c r="AN15" s="73"/>
      <c r="AO15" s="72"/>
      <c r="AP15" s="72"/>
      <c r="AQ15" s="72"/>
      <c r="AR15" s="72"/>
      <c r="AS15" s="172"/>
      <c r="AT15" s="127"/>
    </row>
    <row r="16" spans="1:46">
      <c r="A16" s="264">
        <v>9</v>
      </c>
      <c r="B16" s="326" t="s">
        <v>201</v>
      </c>
      <c r="C16" s="327">
        <v>2000</v>
      </c>
      <c r="D16" s="246"/>
      <c r="E16" s="247">
        <v>0.9</v>
      </c>
      <c r="F16" s="247">
        <v>0.91</v>
      </c>
      <c r="G16" s="247">
        <v>0.31</v>
      </c>
      <c r="I16" s="109"/>
      <c r="J16" s="73" t="s">
        <v>71</v>
      </c>
      <c r="K16" s="266" t="s">
        <v>77</v>
      </c>
      <c r="L16" s="266" t="s">
        <v>78</v>
      </c>
      <c r="M16" s="73"/>
      <c r="N16" s="73" t="s">
        <v>286</v>
      </c>
      <c r="O16" s="73"/>
      <c r="P16" s="127"/>
      <c r="S16" s="109"/>
      <c r="T16" s="73" t="s">
        <v>71</v>
      </c>
      <c r="U16" s="266" t="s">
        <v>77</v>
      </c>
      <c r="V16" s="266" t="s">
        <v>78</v>
      </c>
      <c r="W16" s="73"/>
      <c r="X16" s="73" t="s">
        <v>286</v>
      </c>
      <c r="Y16" s="73"/>
      <c r="Z16" s="127"/>
      <c r="AC16" s="109"/>
      <c r="AD16" s="73" t="s">
        <v>71</v>
      </c>
      <c r="AE16" s="266" t="s">
        <v>77</v>
      </c>
      <c r="AF16" s="266" t="s">
        <v>78</v>
      </c>
      <c r="AG16" s="73"/>
      <c r="AH16" s="73" t="s">
        <v>286</v>
      </c>
      <c r="AI16" s="73"/>
      <c r="AJ16" s="127"/>
      <c r="AM16" s="109"/>
      <c r="AN16" s="73" t="s">
        <v>71</v>
      </c>
      <c r="AO16" s="266" t="s">
        <v>77</v>
      </c>
      <c r="AP16" s="266" t="s">
        <v>78</v>
      </c>
      <c r="AQ16" s="73"/>
      <c r="AR16" s="73" t="s">
        <v>286</v>
      </c>
      <c r="AS16" s="73"/>
      <c r="AT16" s="127"/>
    </row>
    <row r="17" spans="1:46">
      <c r="A17" s="264">
        <v>10</v>
      </c>
      <c r="B17" s="326" t="s">
        <v>202</v>
      </c>
      <c r="C17" s="327">
        <v>2000</v>
      </c>
      <c r="D17" s="246"/>
      <c r="E17" s="247">
        <v>0.9</v>
      </c>
      <c r="F17" s="247">
        <v>0.88</v>
      </c>
      <c r="G17" s="247">
        <v>0.28000000000000003</v>
      </c>
      <c r="I17" s="109" t="s">
        <v>80</v>
      </c>
      <c r="J17" s="326">
        <v>33</v>
      </c>
      <c r="K17" s="270">
        <f>(IF(I19="",0,((M19*(1-L19))*LOOKUP(I19,$A$8:$E$35)*LOOKUP(I19,$A$8:$F$35)))+(IF(I20="",0,((M20*(1-L20))*LOOKUP(I20,$A$8:$E$35)*LOOKUP(I20,$A$8:$F$35)))+(IF(I21="",0,((M21*(1-L21))*LOOKUP(I21,$A$8:$E$35)*LOOKUP(I21,$A$8:$F$35)))+IF(I22="",0,((M22*(1-L22))*LOOKUP(I22,$A$8:$E$35)*LOOKUP(I22,$A$8:$F$35))+IF(I23="",0,((M23*(1-L23))*LOOKUP(I23,$A$8:$E$35)*LOOKUP(I23,$A$8:$F$35))+IF(I24="",0,((M24*(1-L24))*LOOKUP(I24,$A$8:$E$35)*LOOKUP(I24,$A$8:$F$35))))))))/J17</f>
        <v>0.52804818000000009</v>
      </c>
      <c r="L17" s="270">
        <f>(IF(I19="",0,((M19*(1-L19))*LOOKUP(I19,$A$8:$E$35)*LOOKUP(I19,$A$8:$G$35)))+(IF(I20="",0,((M20*(1-L20))*LOOKUP(I20,$A$8:$E$35)*LOOKUP(I20,$A$8:$G$35)))+(IF(I21="",0,((M21*(1-L21))*LOOKUP(I21,$A$8:$E$35)*LOOKUP(I21,$A$8:$G$35)))+IF(I22="",0,((M22*(1-L22))*LOOKUP(I22,$A$8:$E$35)*LOOKUP(I22,$A$8:$G$35))+IF(I23="",0,((M23*(1-L23))*LOOKUP(I23,$A$8:$E$35)*LOOKUP(I23,$A$8:$G$35))+IF(I24="",0,((M24*(1-L24))*LOOKUP(I24,$A$8:$E$35)*LOOKUP(J24,$A$8:$G$35))))))))/J17</f>
        <v>9.2145240000000017E-2</v>
      </c>
      <c r="M17" s="73"/>
      <c r="N17" s="326">
        <v>40</v>
      </c>
      <c r="O17" s="73" t="s">
        <v>92</v>
      </c>
      <c r="P17" s="127" t="s">
        <v>93</v>
      </c>
      <c r="S17" s="109" t="s">
        <v>80</v>
      </c>
      <c r="T17" s="326">
        <v>30</v>
      </c>
      <c r="U17" s="270">
        <f>(IF(S19="",0,((W19*(1-V19))*LOOKUP(S19,$A$8:$E$35)*LOOKUP(S19,$A$8:$F$35)))+(IF(S20="",0,((W20*(1-V20))*LOOKUP(S20,$A$8:$E$35)*LOOKUP(S20,$A$8:$F$35)))+(IF(S21="",0,((W21*(1-V21))*LOOKUP(S21,$A$8:$E$35)*LOOKUP(S21,$A$8:$F$35)))+IF(S22="",0,((W22*(1-V22))*LOOKUP(S22,$A$8:$E$35)*LOOKUP(S22,$A$8:$F$35))+IF(S23="",0,((W23*(1-V23))*LOOKUP(S23,$A$8:$E$35)*LOOKUP(S23,$A$8:$F$35))+IF(S24="",0,((W24*(1-V24))*LOOKUP(S24,$A$8:$E$35)*LOOKUP(S24,$A$8:$F$35))))))))/T17</f>
        <v>0.50852700000000006</v>
      </c>
      <c r="V17" s="270">
        <f>(IF(S19="",0,((W19*(1-V19))*LOOKUP(S19,$A$8:$E$35)*LOOKUP(S19,$A$8:$G$35)))+(IF(S20="",0,((W20*(1-V20))*LOOKUP(S20,$A$8:$E$35)*LOOKUP(S20,$A$8:$G$35)))+(IF(S21="",0,((W21*(1-V21))*LOOKUP(S21,$A$8:$E$35)*LOOKUP(S21,$A$8:$G$35)))+IF(S22="",0,((W22*(1-V22))*LOOKUP(S22,$A$8:$E$35)*LOOKUP(S22,$A$8:$G$35))+IF(S23="",0,((W23*(1-V23))*LOOKUP(S23,$A$8:$E$35)*LOOKUP(S23,$A$8:$G$35))+IF(S24="",0,((W24*(1-V24))*LOOKUP(S24,$A$8:$E$35)*LOOKUP(T24,$A$8:$G$35))))))))/T17</f>
        <v>8.626615E-2</v>
      </c>
      <c r="W17" s="73"/>
      <c r="X17" s="326">
        <v>45</v>
      </c>
      <c r="Y17" s="73" t="s">
        <v>92</v>
      </c>
      <c r="Z17" s="127" t="s">
        <v>93</v>
      </c>
      <c r="AC17" s="109" t="s">
        <v>80</v>
      </c>
      <c r="AD17" s="326">
        <v>33</v>
      </c>
      <c r="AE17" s="270">
        <f>(IF(AC19="",0,((AG19*(1-AF19))*LOOKUP(AC19,$A$8:$E$35)*LOOKUP(AC19,$A$8:$F$35)))+(IF(AC20="",0,((AG20*(1-AF20))*LOOKUP(AC20,$A$8:$E$35)*LOOKUP(AC20,$A$8:$F$35)))+(IF(AC21="",0,((AG21*(1-AF21))*LOOKUP(AC21,$A$8:$E$35)*LOOKUP(AC21,$A$8:$F$35)))+IF(AC22="",0,((AG22*(1-AF22))*LOOKUP(AC22,$A$8:$E$35)*LOOKUP(AC22,$A$8:$F$35))+IF(AC23="",0,((AG23*(1-AF23))*LOOKUP(AC23,$A$8:$E$35)*LOOKUP(AC23,$A$8:$F$35))+IF(AC24="",0,((AG24*(1-AF24))*LOOKUP(AC24,$A$8:$E$35)*LOOKUP(AC24,$A$8:$F$35))))))))/AD17</f>
        <v>0.51524550000000002</v>
      </c>
      <c r="AF17" s="270">
        <f>(IF(AC19="",0,((AG19*(1-AF19))*LOOKUP(AC19,$A$8:$E$35)*LOOKUP(AC19,$A$8:$G$35)))+(IF(AC20="",0,((AG20*(1-AF20))*LOOKUP(AC20,$A$8:$E$35)*LOOKUP(AC20,$A$8:$G$35)))+(IF(AC21="",0,((AG21*(1-AF21))*LOOKUP(AC21,$A$8:$E$35)*LOOKUP(AC21,$A$8:$G$35)))+IF(AC22="",0,((AG22*(1-AF22))*LOOKUP(AC22,$A$8:$E$35)*LOOKUP(AC22,$A$8:$G$35))+IF(AC23="",0,((AG23*(1-AF23))*LOOKUP(AC23,$A$8:$E$35)*LOOKUP(AC23,$A$8:$G$35))+IF(AC24="",0,((AG24*(1-AF24))*LOOKUP(AC24,$A$8:$E$35)*LOOKUP(AD24,$A$8:$G$35))))))))/AD17</f>
        <v>0.1262646</v>
      </c>
      <c r="AG17" s="73"/>
      <c r="AH17" s="326">
        <v>30</v>
      </c>
      <c r="AI17" s="73" t="s">
        <v>92</v>
      </c>
      <c r="AJ17" s="127" t="s">
        <v>93</v>
      </c>
      <c r="AM17" s="109" t="s">
        <v>80</v>
      </c>
      <c r="AN17" s="326">
        <v>30</v>
      </c>
      <c r="AO17" s="270">
        <f>(IF(AM19="",0,((AQ19*(1-AP19))*LOOKUP(AM19,$A$8:$E$35)*LOOKUP(AM19,$A$8:$F$35)))+(IF(AM20="",0,((AQ20*(1-AP20))*LOOKUP(AM20,$A$8:$E$35)*LOOKUP(AM20,$A$8:$F$35)))+(IF(AM21="",0,((AQ21*(1-AP21))*LOOKUP(AM21,$A$8:$E$35)*LOOKUP(AM21,$A$8:$F$35)))+IF(AM22="",0,((AQ22*(1-AP22))*LOOKUP(AM22,$A$8:$E$35)*LOOKUP(AM22,$A$8:$F$35))+IF(AM23="",0,((AQ23*(1-AP23))*LOOKUP(AM23,$A$8:$E$35)*LOOKUP(AM23,$A$8:$F$35))+IF(AM24="",0,((AQ24*(1-AP24))*LOOKUP(AM24,$A$8:$E$35)*LOOKUP(AM24,$A$8:$F$35))))))))/AN17</f>
        <v>0.6919424999999999</v>
      </c>
      <c r="AP17" s="270">
        <f>(IF(AM19="",0,((AQ19*(1-AP19))*LOOKUP(AM19,$A$8:$E$35)*LOOKUP(AM19,$A$8:$G$35)))+(IF(AM20="",0,((AQ20*(1-AP20))*LOOKUP(AM20,$A$8:$E$35)*LOOKUP(AM20,$A$8:$G$35)))+(IF(AM21="",0,((AQ21*(1-AP21))*LOOKUP(AM21,$A$8:$E$35)*LOOKUP(AM21,$A$8:$G$35)))+IF(AM22="",0,((AQ22*(1-AP22))*LOOKUP(AM22,$A$8:$E$35)*LOOKUP(AM22,$A$8:$G$35))+IF(AM23="",0,((AQ23*(1-AP23))*LOOKUP(AM23,$A$8:$E$35)*LOOKUP(AM23,$A$8:$G$35))+IF(AM24="",0,((AQ24*(1-AP24))*LOOKUP(AM24,$A$8:$E$35)*LOOKUP(AN24,$A$8:$G$35))))))))/AN17</f>
        <v>9.5385999999999999E-2</v>
      </c>
      <c r="AQ17" s="73"/>
      <c r="AR17" s="326">
        <v>45</v>
      </c>
      <c r="AS17" s="73" t="s">
        <v>92</v>
      </c>
      <c r="AT17" s="127" t="s">
        <v>93</v>
      </c>
    </row>
    <row r="18" spans="1:46">
      <c r="A18" s="264">
        <v>11</v>
      </c>
      <c r="B18" s="326" t="s">
        <v>205</v>
      </c>
      <c r="C18" s="327">
        <v>2000</v>
      </c>
      <c r="D18" s="246"/>
      <c r="E18" s="247">
        <v>0.35</v>
      </c>
      <c r="F18" s="247">
        <v>1</v>
      </c>
      <c r="G18" s="247">
        <v>0.31</v>
      </c>
      <c r="I18" s="109" t="s">
        <v>42</v>
      </c>
      <c r="J18" s="73"/>
      <c r="K18" s="73" t="s">
        <v>28</v>
      </c>
      <c r="L18" s="138" t="s">
        <v>54</v>
      </c>
      <c r="M18" s="271" t="s">
        <v>130</v>
      </c>
      <c r="N18" s="168"/>
      <c r="O18" s="272"/>
      <c r="P18" s="127"/>
      <c r="S18" s="109" t="s">
        <v>42</v>
      </c>
      <c r="T18" s="73"/>
      <c r="U18" s="73" t="s">
        <v>28</v>
      </c>
      <c r="V18" s="138" t="s">
        <v>54</v>
      </c>
      <c r="W18" s="271" t="s">
        <v>130</v>
      </c>
      <c r="X18" s="168"/>
      <c r="Y18" s="272"/>
      <c r="Z18" s="127"/>
      <c r="AA18" s="273"/>
      <c r="AC18" s="109" t="s">
        <v>42</v>
      </c>
      <c r="AD18" s="73"/>
      <c r="AE18" s="73" t="s">
        <v>28</v>
      </c>
      <c r="AF18" s="138" t="s">
        <v>54</v>
      </c>
      <c r="AG18" s="271" t="s">
        <v>130</v>
      </c>
      <c r="AH18" s="168"/>
      <c r="AI18" s="272"/>
      <c r="AJ18" s="127"/>
      <c r="AM18" s="109" t="s">
        <v>42</v>
      </c>
      <c r="AN18" s="73"/>
      <c r="AO18" s="73" t="s">
        <v>28</v>
      </c>
      <c r="AP18" s="138" t="s">
        <v>54</v>
      </c>
      <c r="AQ18" s="271" t="s">
        <v>130</v>
      </c>
      <c r="AR18" s="168"/>
      <c r="AS18" s="272"/>
      <c r="AT18" s="127"/>
    </row>
    <row r="19" spans="1:46">
      <c r="A19" s="264">
        <v>12</v>
      </c>
      <c r="B19" s="326" t="s">
        <v>206</v>
      </c>
      <c r="C19" s="327">
        <v>2000</v>
      </c>
      <c r="D19" s="246"/>
      <c r="E19" s="247">
        <v>0.35</v>
      </c>
      <c r="F19" s="247">
        <v>0.97</v>
      </c>
      <c r="G19" s="247">
        <v>0.33</v>
      </c>
      <c r="H19" s="274" t="s">
        <v>96</v>
      </c>
      <c r="I19" s="331">
        <v>2</v>
      </c>
      <c r="J19" s="72" t="str">
        <f t="shared" ref="J19:J25" si="4">IF(I19="","",LOOKUP($I19,$A$8:$B$35))</f>
        <v>Hay</v>
      </c>
      <c r="K19" s="334">
        <v>0.45</v>
      </c>
      <c r="L19" s="30">
        <v>0.1</v>
      </c>
      <c r="M19" s="203">
        <f>IF(I19="","",$J$17*(K19/LOOKUP(I19,$A$8:$E$35)*(1+L19)))</f>
        <v>19.21764705882353</v>
      </c>
      <c r="N19" s="72"/>
      <c r="O19" s="272">
        <f t="shared" ref="O19:O24" si="5">IF(M19="",0,M19*(LOOKUP(I19,$A$8:$D$35)/(LOOKUP(I19,$A$8:$C$35))))</f>
        <v>0.91283823529411767</v>
      </c>
      <c r="P19" s="275">
        <f>O19*N$17</f>
        <v>36.513529411764708</v>
      </c>
      <c r="R19" s="274" t="s">
        <v>96</v>
      </c>
      <c r="S19" s="331">
        <v>2</v>
      </c>
      <c r="T19" s="72" t="str">
        <f>IF(S19="","",LOOKUP($S19,$A$8:$B$35))</f>
        <v>Hay</v>
      </c>
      <c r="U19" s="334">
        <v>0.45</v>
      </c>
      <c r="V19" s="30">
        <v>0.05</v>
      </c>
      <c r="W19" s="203">
        <f>IF(S19="","",$T$17*(U19/LOOKUP(S19,$A$8:$E$35)*(1+V19)))</f>
        <v>16.676470588235293</v>
      </c>
      <c r="X19" s="72"/>
      <c r="Y19" s="272">
        <f t="shared" ref="Y19:Y24" si="6">IF(W19="",0,W19*(LOOKUP(S19,$A$8:$D$35)/(LOOKUP(S19,$A$8:$C$35))))</f>
        <v>0.79213235294117645</v>
      </c>
      <c r="Z19" s="275">
        <f>Y19*X$17</f>
        <v>35.645955882352943</v>
      </c>
      <c r="AA19" s="273"/>
      <c r="AB19" s="274" t="s">
        <v>96</v>
      </c>
      <c r="AC19" s="331">
        <v>2</v>
      </c>
      <c r="AD19" s="72" t="str">
        <f>IF(AC19="","",LOOKUP($AC19,$A$8:$B$35))</f>
        <v>Hay</v>
      </c>
      <c r="AE19" s="334">
        <v>0.95</v>
      </c>
      <c r="AF19" s="30">
        <v>0.1</v>
      </c>
      <c r="AG19" s="203">
        <f>IF(AC19="","",$AD$17*(AE19/LOOKUP(AC19,$A$8:$E$35)*(1+AF19)))</f>
        <v>40.570588235294117</v>
      </c>
      <c r="AH19" s="72"/>
      <c r="AI19" s="272">
        <f t="shared" ref="AI19:AI24" si="7">IF(AG19="",0,AG19*(LOOKUP(AC19,$A$8:$D$35)/(LOOKUP(AC19,$A$8:$C$35))))</f>
        <v>1.9271029411764706</v>
      </c>
      <c r="AJ19" s="275">
        <f>AI19*AH$17</f>
        <v>57.813088235294117</v>
      </c>
      <c r="AL19" s="274" t="s">
        <v>96</v>
      </c>
      <c r="AM19" s="331">
        <v>1</v>
      </c>
      <c r="AN19" s="72" t="str">
        <f>IF(AM19="","",LOOKUP($AM19,$A$8:$B$35))</f>
        <v>Corn</v>
      </c>
      <c r="AO19" s="334">
        <v>0.5</v>
      </c>
      <c r="AP19" s="30">
        <v>0.01</v>
      </c>
      <c r="AQ19" s="203">
        <f>IF(AM19="","",$AN$17*(AO19/LOOKUP(AM19,$A$8:$E$35)*(1+AP19)))</f>
        <v>17.823529411764707</v>
      </c>
      <c r="AR19" s="72"/>
      <c r="AS19" s="272">
        <f t="shared" ref="AS19:AS24" si="8">IF(AQ19="",0,AQ19*(LOOKUP(AM19,$A$8:$D$35)/(LOOKUP(AM19,$A$8:$C$35))))</f>
        <v>1.1139705882352942</v>
      </c>
      <c r="AT19" s="275">
        <f>AS19*AR$17</f>
        <v>50.128676470588239</v>
      </c>
    </row>
    <row r="20" spans="1:46">
      <c r="A20" s="264">
        <v>13</v>
      </c>
      <c r="B20" s="326" t="s">
        <v>209</v>
      </c>
      <c r="C20" s="327">
        <v>2000</v>
      </c>
      <c r="D20" s="246"/>
      <c r="E20" s="247">
        <v>0.9</v>
      </c>
      <c r="F20" s="247">
        <v>0.83</v>
      </c>
      <c r="G20" s="247">
        <v>0.22</v>
      </c>
      <c r="H20" s="274" t="s">
        <v>97</v>
      </c>
      <c r="I20" s="332">
        <v>3</v>
      </c>
      <c r="J20" s="72" t="str">
        <f t="shared" si="4"/>
        <v>Corn stalks</v>
      </c>
      <c r="K20" s="334">
        <v>0.42</v>
      </c>
      <c r="L20" s="30">
        <v>0.1</v>
      </c>
      <c r="M20" s="203">
        <f t="shared" ref="M20:M24" si="9">IF(I20="","",$J$17*(K20/LOOKUP(I20,$A$8:$E$35)*(1+L20)))</f>
        <v>19.057499999999997</v>
      </c>
      <c r="N20" s="72"/>
      <c r="O20" s="272">
        <f t="shared" si="5"/>
        <v>0.57172499999999993</v>
      </c>
      <c r="P20" s="275">
        <f t="shared" ref="P20:P24" si="10">O20*N$17</f>
        <v>22.868999999999996</v>
      </c>
      <c r="R20" s="274" t="s">
        <v>97</v>
      </c>
      <c r="S20" s="332">
        <v>3</v>
      </c>
      <c r="T20" s="72" t="str">
        <f t="shared" ref="T20:T24" si="11">IF(S20="","",LOOKUP($S20,$A$8:$B$35))</f>
        <v>Corn stalks</v>
      </c>
      <c r="U20" s="334">
        <v>0.4</v>
      </c>
      <c r="V20" s="30">
        <v>0.06</v>
      </c>
      <c r="W20" s="203">
        <f t="shared" ref="W20:W24" si="12">IF(S20="","",$T$17*(U20/LOOKUP(S20,$A$8:$E$35)*(1+V20)))</f>
        <v>15.9</v>
      </c>
      <c r="X20" s="72"/>
      <c r="Y20" s="272">
        <f t="shared" si="6"/>
        <v>0.47699999999999998</v>
      </c>
      <c r="Z20" s="275">
        <f t="shared" ref="Z20:Z24" si="13">Y20*X$17</f>
        <v>21.465</v>
      </c>
      <c r="AA20" s="273"/>
      <c r="AB20" s="274" t="s">
        <v>97</v>
      </c>
      <c r="AC20" s="332">
        <v>1</v>
      </c>
      <c r="AD20" s="72" t="str">
        <f t="shared" ref="AD20:AD24" si="14">IF(AC20="","",LOOKUP($AC20,$A$8:$B$35))</f>
        <v>Corn</v>
      </c>
      <c r="AE20" s="334">
        <v>0.05</v>
      </c>
      <c r="AF20" s="30">
        <v>0.01</v>
      </c>
      <c r="AG20" s="203">
        <f t="shared" ref="AG20:AG24" si="15">IF(AC20="","",$AD$17*(AE20/LOOKUP(AC20,$A$8:$E$35)*(1+AF20)))</f>
        <v>1.9605882352941177</v>
      </c>
      <c r="AH20" s="72"/>
      <c r="AI20" s="272">
        <f t="shared" si="7"/>
        <v>0.12253676470588236</v>
      </c>
      <c r="AJ20" s="275">
        <f t="shared" ref="AJ20:AJ24" si="16">AI20*AH$17</f>
        <v>3.6761029411764707</v>
      </c>
      <c r="AL20" s="274" t="s">
        <v>97</v>
      </c>
      <c r="AM20" s="332">
        <v>2</v>
      </c>
      <c r="AN20" s="72" t="str">
        <f t="shared" ref="AN20:AN24" si="17">IF(AM20="","",LOOKUP($AM20,$A$8:$B$35))</f>
        <v>Hay</v>
      </c>
      <c r="AO20" s="334">
        <v>0.4</v>
      </c>
      <c r="AP20" s="30">
        <v>0.1</v>
      </c>
      <c r="AQ20" s="203">
        <f t="shared" ref="AQ20:AQ24" si="18">IF(AM20="","",$AN$17*(AO20/LOOKUP(AM20,$A$8:$E$35)*(1+AP20)))</f>
        <v>15.529411764705884</v>
      </c>
      <c r="AR20" s="72"/>
      <c r="AS20" s="272">
        <f t="shared" si="8"/>
        <v>0.73764705882352954</v>
      </c>
      <c r="AT20" s="275">
        <f t="shared" ref="AT20:AT24" si="19">AS20*AR$17</f>
        <v>33.194117647058832</v>
      </c>
    </row>
    <row r="21" spans="1:46">
      <c r="A21" s="264">
        <v>14</v>
      </c>
      <c r="B21" s="326" t="s">
        <v>185</v>
      </c>
      <c r="C21" s="327">
        <v>2000</v>
      </c>
      <c r="D21" s="246"/>
      <c r="E21" s="247">
        <v>0.4</v>
      </c>
      <c r="F21" s="247">
        <v>0.53</v>
      </c>
      <c r="G21" s="247">
        <v>0.1</v>
      </c>
      <c r="H21" s="274" t="s">
        <v>98</v>
      </c>
      <c r="I21" s="332">
        <v>1</v>
      </c>
      <c r="J21" s="72" t="str">
        <f t="shared" si="4"/>
        <v>Corn</v>
      </c>
      <c r="K21" s="334">
        <v>0.1</v>
      </c>
      <c r="L21" s="30">
        <v>0.01</v>
      </c>
      <c r="M21" s="203">
        <f t="shared" si="9"/>
        <v>3.9211764705882355</v>
      </c>
      <c r="N21" s="72"/>
      <c r="O21" s="272">
        <f t="shared" si="5"/>
        <v>0.24507352941176472</v>
      </c>
      <c r="P21" s="275">
        <f t="shared" si="10"/>
        <v>9.802941176470588</v>
      </c>
      <c r="R21" s="274" t="s">
        <v>98</v>
      </c>
      <c r="S21" s="332">
        <v>4</v>
      </c>
      <c r="T21" s="72" t="str">
        <f t="shared" si="11"/>
        <v>Corn silage</v>
      </c>
      <c r="U21" s="334">
        <v>0.15</v>
      </c>
      <c r="V21" s="30">
        <v>0.05</v>
      </c>
      <c r="W21" s="203">
        <f t="shared" si="12"/>
        <v>13.500000000000002</v>
      </c>
      <c r="X21" s="72"/>
      <c r="Y21" s="272">
        <f t="shared" si="6"/>
        <v>0.23625000000000004</v>
      </c>
      <c r="Z21" s="275">
        <f t="shared" si="13"/>
        <v>10.631250000000001</v>
      </c>
      <c r="AA21" s="273"/>
      <c r="AB21" s="274" t="s">
        <v>98</v>
      </c>
      <c r="AC21" s="332"/>
      <c r="AD21" s="72" t="str">
        <f t="shared" si="14"/>
        <v/>
      </c>
      <c r="AE21" s="334"/>
      <c r="AF21" s="30"/>
      <c r="AG21" s="203" t="str">
        <f t="shared" si="15"/>
        <v/>
      </c>
      <c r="AH21" s="72"/>
      <c r="AI21" s="272">
        <f t="shared" si="7"/>
        <v>0</v>
      </c>
      <c r="AJ21" s="275">
        <f t="shared" si="16"/>
        <v>0</v>
      </c>
      <c r="AL21" s="274" t="s">
        <v>98</v>
      </c>
      <c r="AM21" s="332">
        <v>3</v>
      </c>
      <c r="AN21" s="72" t="str">
        <f t="shared" si="17"/>
        <v>Corn stalks</v>
      </c>
      <c r="AO21" s="334">
        <v>0.1</v>
      </c>
      <c r="AP21" s="30">
        <v>0.15</v>
      </c>
      <c r="AQ21" s="203">
        <f t="shared" si="18"/>
        <v>4.3125</v>
      </c>
      <c r="AR21" s="72"/>
      <c r="AS21" s="272">
        <f t="shared" si="8"/>
        <v>0.12937499999999999</v>
      </c>
      <c r="AT21" s="275">
        <f t="shared" si="19"/>
        <v>5.8218749999999995</v>
      </c>
    </row>
    <row r="22" spans="1:46">
      <c r="A22" s="264">
        <v>15</v>
      </c>
      <c r="B22" s="326" t="s">
        <v>186</v>
      </c>
      <c r="C22" s="327">
        <v>2000</v>
      </c>
      <c r="D22" s="246"/>
      <c r="E22" s="247">
        <v>0.69</v>
      </c>
      <c r="F22" s="247">
        <v>0.52</v>
      </c>
      <c r="G22" s="247">
        <v>0.09</v>
      </c>
      <c r="H22" s="274" t="s">
        <v>99</v>
      </c>
      <c r="I22" s="332">
        <v>5</v>
      </c>
      <c r="J22" s="72" t="str">
        <f t="shared" si="4"/>
        <v>mdgs-6-9% fat</v>
      </c>
      <c r="K22" s="334">
        <v>0.03</v>
      </c>
      <c r="L22" s="30">
        <v>0.01</v>
      </c>
      <c r="M22" s="203">
        <f t="shared" si="9"/>
        <v>2.0406122448979591</v>
      </c>
      <c r="N22" s="72"/>
      <c r="O22" s="272">
        <f t="shared" si="5"/>
        <v>7.142142857142858E-2</v>
      </c>
      <c r="P22" s="275">
        <f t="shared" si="10"/>
        <v>2.8568571428571432</v>
      </c>
      <c r="R22" s="274" t="s">
        <v>99</v>
      </c>
      <c r="S22" s="332"/>
      <c r="T22" s="72" t="str">
        <f t="shared" si="11"/>
        <v/>
      </c>
      <c r="U22" s="334"/>
      <c r="V22" s="30"/>
      <c r="W22" s="203" t="str">
        <f t="shared" si="12"/>
        <v/>
      </c>
      <c r="X22" s="72"/>
      <c r="Y22" s="272">
        <f t="shared" si="6"/>
        <v>0</v>
      </c>
      <c r="Z22" s="275">
        <f t="shared" si="13"/>
        <v>0</v>
      </c>
      <c r="AA22" s="273"/>
      <c r="AB22" s="274" t="s">
        <v>99</v>
      </c>
      <c r="AC22" s="332"/>
      <c r="AD22" s="72" t="str">
        <f t="shared" si="14"/>
        <v/>
      </c>
      <c r="AE22" s="334"/>
      <c r="AF22" s="30"/>
      <c r="AG22" s="203" t="str">
        <f t="shared" si="15"/>
        <v/>
      </c>
      <c r="AH22" s="72"/>
      <c r="AI22" s="272">
        <f t="shared" si="7"/>
        <v>0</v>
      </c>
      <c r="AJ22" s="275">
        <f t="shared" si="16"/>
        <v>0</v>
      </c>
      <c r="AL22" s="274" t="s">
        <v>99</v>
      </c>
      <c r="AM22" s="332"/>
      <c r="AN22" s="72" t="str">
        <f t="shared" si="17"/>
        <v/>
      </c>
      <c r="AO22" s="334"/>
      <c r="AP22" s="30"/>
      <c r="AQ22" s="203" t="str">
        <f t="shared" si="18"/>
        <v/>
      </c>
      <c r="AR22" s="72"/>
      <c r="AS22" s="272">
        <f t="shared" si="8"/>
        <v>0</v>
      </c>
      <c r="AT22" s="275">
        <f t="shared" si="19"/>
        <v>0</v>
      </c>
    </row>
    <row r="23" spans="1:46">
      <c r="A23" s="264">
        <v>16</v>
      </c>
      <c r="B23" s="326"/>
      <c r="C23" s="326"/>
      <c r="D23" s="246"/>
      <c r="E23" s="247"/>
      <c r="F23" s="247"/>
      <c r="G23" s="328"/>
      <c r="H23" s="274" t="s">
        <v>105</v>
      </c>
      <c r="I23" s="333"/>
      <c r="J23" s="72" t="str">
        <f t="shared" si="4"/>
        <v/>
      </c>
      <c r="K23" s="334"/>
      <c r="L23" s="30"/>
      <c r="M23" s="203" t="str">
        <f t="shared" si="9"/>
        <v/>
      </c>
      <c r="N23" s="72"/>
      <c r="O23" s="272">
        <f t="shared" si="5"/>
        <v>0</v>
      </c>
      <c r="P23" s="275">
        <f t="shared" si="10"/>
        <v>0</v>
      </c>
      <c r="R23" s="274" t="s">
        <v>105</v>
      </c>
      <c r="S23" s="333"/>
      <c r="T23" s="72" t="str">
        <f t="shared" si="11"/>
        <v/>
      </c>
      <c r="U23" s="334"/>
      <c r="V23" s="30"/>
      <c r="W23" s="203" t="str">
        <f t="shared" si="12"/>
        <v/>
      </c>
      <c r="X23" s="72"/>
      <c r="Y23" s="272">
        <f t="shared" si="6"/>
        <v>0</v>
      </c>
      <c r="Z23" s="275">
        <f t="shared" si="13"/>
        <v>0</v>
      </c>
      <c r="AA23" s="273"/>
      <c r="AB23" s="274" t="s">
        <v>105</v>
      </c>
      <c r="AC23" s="333"/>
      <c r="AD23" s="72" t="str">
        <f t="shared" si="14"/>
        <v/>
      </c>
      <c r="AE23" s="334"/>
      <c r="AF23" s="30"/>
      <c r="AG23" s="203" t="str">
        <f t="shared" si="15"/>
        <v/>
      </c>
      <c r="AH23" s="72"/>
      <c r="AI23" s="272">
        <f t="shared" si="7"/>
        <v>0</v>
      </c>
      <c r="AJ23" s="275">
        <f t="shared" si="16"/>
        <v>0</v>
      </c>
      <c r="AL23" s="274" t="s">
        <v>105</v>
      </c>
      <c r="AM23" s="333"/>
      <c r="AN23" s="72" t="str">
        <f t="shared" si="17"/>
        <v/>
      </c>
      <c r="AO23" s="334"/>
      <c r="AP23" s="30"/>
      <c r="AQ23" s="203" t="str">
        <f t="shared" si="18"/>
        <v/>
      </c>
      <c r="AR23" s="72"/>
      <c r="AS23" s="272">
        <f t="shared" si="8"/>
        <v>0</v>
      </c>
      <c r="AT23" s="275">
        <f t="shared" si="19"/>
        <v>0</v>
      </c>
    </row>
    <row r="24" spans="1:46">
      <c r="A24" s="264">
        <v>17</v>
      </c>
      <c r="B24" s="326"/>
      <c r="C24" s="326"/>
      <c r="D24" s="246"/>
      <c r="E24" s="247"/>
      <c r="F24" s="247"/>
      <c r="G24" s="247"/>
      <c r="H24" s="274" t="s">
        <v>106</v>
      </c>
      <c r="I24" s="333"/>
      <c r="J24" s="72" t="str">
        <f t="shared" si="4"/>
        <v/>
      </c>
      <c r="K24" s="334"/>
      <c r="L24" s="30"/>
      <c r="M24" s="203" t="str">
        <f t="shared" si="9"/>
        <v/>
      </c>
      <c r="N24" s="72"/>
      <c r="O24" s="272">
        <f t="shared" si="5"/>
        <v>0</v>
      </c>
      <c r="P24" s="275">
        <f t="shared" si="10"/>
        <v>0</v>
      </c>
      <c r="R24" s="274" t="s">
        <v>106</v>
      </c>
      <c r="S24" s="333"/>
      <c r="T24" s="72" t="str">
        <f t="shared" si="11"/>
        <v/>
      </c>
      <c r="U24" s="334"/>
      <c r="V24" s="30"/>
      <c r="W24" s="203" t="str">
        <f t="shared" si="12"/>
        <v/>
      </c>
      <c r="X24" s="72"/>
      <c r="Y24" s="272">
        <f t="shared" si="6"/>
        <v>0</v>
      </c>
      <c r="Z24" s="275">
        <f t="shared" si="13"/>
        <v>0</v>
      </c>
      <c r="AA24" s="273"/>
      <c r="AB24" s="274" t="s">
        <v>106</v>
      </c>
      <c r="AC24" s="333"/>
      <c r="AD24" s="72" t="str">
        <f t="shared" si="14"/>
        <v/>
      </c>
      <c r="AE24" s="334"/>
      <c r="AF24" s="30"/>
      <c r="AG24" s="203" t="str">
        <f t="shared" si="15"/>
        <v/>
      </c>
      <c r="AH24" s="72"/>
      <c r="AI24" s="272">
        <f t="shared" si="7"/>
        <v>0</v>
      </c>
      <c r="AJ24" s="275">
        <f t="shared" si="16"/>
        <v>0</v>
      </c>
      <c r="AL24" s="274" t="s">
        <v>106</v>
      </c>
      <c r="AM24" s="333"/>
      <c r="AN24" s="72" t="str">
        <f t="shared" si="17"/>
        <v/>
      </c>
      <c r="AO24" s="334"/>
      <c r="AP24" s="30"/>
      <c r="AQ24" s="203" t="str">
        <f t="shared" si="18"/>
        <v/>
      </c>
      <c r="AR24" s="72"/>
      <c r="AS24" s="272">
        <f t="shared" si="8"/>
        <v>0</v>
      </c>
      <c r="AT24" s="275">
        <f t="shared" si="19"/>
        <v>0</v>
      </c>
    </row>
    <row r="25" spans="1:46">
      <c r="A25" s="264">
        <v>18</v>
      </c>
      <c r="B25" s="326"/>
      <c r="C25" s="326"/>
      <c r="D25" s="246"/>
      <c r="E25" s="247"/>
      <c r="F25" s="247"/>
      <c r="G25" s="247"/>
      <c r="H25" s="274"/>
      <c r="I25" s="145"/>
      <c r="J25" s="276" t="str">
        <f t="shared" si="4"/>
        <v/>
      </c>
      <c r="K25" s="277">
        <f>SUM(K19:K24)</f>
        <v>1</v>
      </c>
      <c r="L25" s="278" t="str">
        <f>IF(K25&gt;0,IF(K25=1," ","check %")," ")</f>
        <v xml:space="preserve"> </v>
      </c>
      <c r="M25" s="279"/>
      <c r="N25" s="134"/>
      <c r="O25" s="273">
        <f>SUM(O19:O24)</f>
        <v>1.8010581932773109</v>
      </c>
      <c r="P25" s="280">
        <f>SUM(P19:P24)</f>
        <v>72.042327731092428</v>
      </c>
      <c r="R25" s="274"/>
      <c r="S25" s="145"/>
      <c r="T25" s="276" t="str">
        <f t="shared" ref="T25" si="20">IF(S25="","",LOOKUP($I25,$A$8:$B$35))</f>
        <v/>
      </c>
      <c r="U25" s="277">
        <f>SUM(U19:U24)</f>
        <v>1</v>
      </c>
      <c r="V25" s="278" t="str">
        <f>IF(U25&gt;0,IF(U25=1," ","check %")," ")</f>
        <v xml:space="preserve"> </v>
      </c>
      <c r="W25" s="279"/>
      <c r="X25" s="134"/>
      <c r="Y25" s="273">
        <f>SUM(Y19:Y24)</f>
        <v>1.5053823529411765</v>
      </c>
      <c r="Z25" s="280">
        <f>SUM(Z19:Z24)</f>
        <v>67.742205882352948</v>
      </c>
      <c r="AA25" s="273"/>
      <c r="AB25" s="274"/>
      <c r="AC25" s="145"/>
      <c r="AD25" s="276" t="str">
        <f t="shared" ref="AD25" si="21">IF(AC25="","",LOOKUP($I25,$A$8:$B$35))</f>
        <v/>
      </c>
      <c r="AE25" s="277">
        <f>SUM(AE19:AE24)</f>
        <v>1</v>
      </c>
      <c r="AF25" s="278" t="str">
        <f>IF(AE25&gt;0,IF(AE25=1," ","check %")," ")</f>
        <v xml:space="preserve"> </v>
      </c>
      <c r="AG25" s="279"/>
      <c r="AH25" s="134"/>
      <c r="AI25" s="273">
        <f>SUM(AI19:AI24)</f>
        <v>2.049639705882353</v>
      </c>
      <c r="AJ25" s="280">
        <f>SUM(AJ19:AJ24)</f>
        <v>61.489191176470591</v>
      </c>
      <c r="AL25" s="274"/>
      <c r="AM25" s="145"/>
      <c r="AN25" s="276" t="str">
        <f t="shared" ref="AN25" si="22">IF(AM25="","",LOOKUP($I25,$A$8:$B$35))</f>
        <v/>
      </c>
      <c r="AO25" s="277">
        <f>SUM(AO19:AO24)</f>
        <v>1</v>
      </c>
      <c r="AP25" s="278" t="str">
        <f>IF(AO25&gt;0,IF(AO25=1," ","check %")," ")</f>
        <v xml:space="preserve"> </v>
      </c>
      <c r="AQ25" s="279"/>
      <c r="AR25" s="134"/>
      <c r="AS25" s="273">
        <f>SUM(AS19:AS24)</f>
        <v>1.9809926470588237</v>
      </c>
      <c r="AT25" s="280">
        <f>SUM(AT19:AT24)</f>
        <v>89.144669117647084</v>
      </c>
    </row>
    <row r="26" spans="1:46">
      <c r="A26" s="264">
        <v>19</v>
      </c>
      <c r="B26" s="326"/>
      <c r="C26" s="326"/>
      <c r="D26" s="246"/>
      <c r="E26" s="247"/>
      <c r="F26" s="247"/>
      <c r="G26" s="247"/>
      <c r="H26" s="274"/>
      <c r="I26" s="109"/>
      <c r="J26" s="73" t="s">
        <v>71</v>
      </c>
      <c r="K26" s="266" t="s">
        <v>77</v>
      </c>
      <c r="L26" s="266" t="s">
        <v>78</v>
      </c>
      <c r="M26" s="171"/>
      <c r="N26" s="73" t="s">
        <v>286</v>
      </c>
      <c r="O26" s="73"/>
      <c r="P26" s="127"/>
      <c r="R26" s="274"/>
      <c r="S26" s="109"/>
      <c r="T26" s="73" t="s">
        <v>71</v>
      </c>
      <c r="U26" s="266" t="s">
        <v>77</v>
      </c>
      <c r="V26" s="266" t="s">
        <v>78</v>
      </c>
      <c r="W26" s="171"/>
      <c r="X26" s="73" t="s">
        <v>286</v>
      </c>
      <c r="Y26" s="73"/>
      <c r="Z26" s="127"/>
      <c r="AA26" s="143"/>
      <c r="AB26" s="274"/>
      <c r="AC26" s="109"/>
      <c r="AD26" s="73" t="s">
        <v>71</v>
      </c>
      <c r="AE26" s="266" t="s">
        <v>77</v>
      </c>
      <c r="AF26" s="266" t="s">
        <v>78</v>
      </c>
      <c r="AG26" s="171"/>
      <c r="AH26" s="73" t="s">
        <v>286</v>
      </c>
      <c r="AI26" s="73"/>
      <c r="AJ26" s="127"/>
      <c r="AL26" s="274"/>
      <c r="AM26" s="109"/>
      <c r="AN26" s="73" t="s">
        <v>71</v>
      </c>
      <c r="AO26" s="266" t="s">
        <v>77</v>
      </c>
      <c r="AP26" s="266" t="s">
        <v>78</v>
      </c>
      <c r="AQ26" s="171"/>
      <c r="AR26" s="73" t="s">
        <v>286</v>
      </c>
      <c r="AS26" s="73"/>
      <c r="AT26" s="127"/>
    </row>
    <row r="27" spans="1:46">
      <c r="A27" s="264">
        <v>20</v>
      </c>
      <c r="B27" s="326"/>
      <c r="C27" s="326"/>
      <c r="D27" s="246"/>
      <c r="E27" s="247"/>
      <c r="F27" s="247"/>
      <c r="G27" s="247"/>
      <c r="H27" s="274"/>
      <c r="I27" s="109" t="s">
        <v>81</v>
      </c>
      <c r="J27" s="326">
        <v>33</v>
      </c>
      <c r="K27" s="270">
        <f>(IF(I29="",0,((M29*(1-L29))*LOOKUP(I29,$A$8:$E$35)*LOOKUP(I29,$A$8:$F$35)))+(IF(I30="",0,((M30*(1-L30))*LOOKUP(I30,$A$8:$E$35)*LOOKUP(I30,$A$8:$F$35)))+(IF(I31="",0,((M31*(1-L31))*LOOKUP(I31,$A$8:$E$35)*LOOKUP(I31,$A$8:$F$35)))+IF(I32="",0,((M32*(1-L32))*LOOKUP(I32,$A$8:$E$35)*LOOKUP(I32,$A$8:$F$35))+IF(I33="",0,((M33*(1-L33))*LOOKUP(I33,$A$8:$E$35)*LOOKUP(I33,$A$8:$F$35))+IF(I34="",0,((M34*(1-L34))*LOOKUP(I34,$A$8:$E$35)*LOOKUP(I34,$A$8:$F$35))))))))/J27</f>
        <v>0.53974259999999996</v>
      </c>
      <c r="L27" s="270">
        <f>(IF(I29="",0,((M29*(1-L29))*LOOKUP(I29,$A$8:$E$35)*LOOKUP(I29,$A$8:$G$35)))+(IF(I30="",0,((M30*(1-L30))*LOOKUP(I30,$A$8:$E$35)*LOOKUP(I30,$A$8:$G$35)))+(IF(I31="",0,((M31*(1-L31))*LOOKUP(I31,$A$8:$E$35)*LOOKUP(I31,$A$8:$G$35)))+IF(I32="",0,((M32*(1-L32))*LOOKUP(I32,$A$8:$E$35)*LOOKUP(I32,$A$8:$G$35))+IF(I33="",0,((M33*(1-L33))*LOOKUP(I33,$A$8:$E$35)*LOOKUP(I33,$A$8:$G$35))+IF(I34="",0,((M34*(1-L34))*LOOKUP(I34,$A$8:$E$35)*LOOKUP(J34,$A$8:$G$35))))))))/J27</f>
        <v>0.10726560000000002</v>
      </c>
      <c r="M27" s="171"/>
      <c r="N27" s="326">
        <v>40</v>
      </c>
      <c r="O27" s="73" t="s">
        <v>92</v>
      </c>
      <c r="P27" s="127" t="s">
        <v>93</v>
      </c>
      <c r="R27" s="274"/>
      <c r="S27" s="109" t="s">
        <v>81</v>
      </c>
      <c r="T27" s="326">
        <v>30</v>
      </c>
      <c r="U27" s="270">
        <f>(IF(S29="",0,((W29*(1-V29))*LOOKUP(S29,$A$8:$E$35)*LOOKUP(S29,$A$8:$F$35)))+(IF(S30="",0,((W30*(1-V30))*LOOKUP(S30,$A$8:$E$35)*LOOKUP(S30,$A$8:$F$35)))+(IF(S31="",0,((W31*(1-V31))*LOOKUP(S31,$A$8:$E$35)*LOOKUP(S31,$A$8:$F$35)))+IF(S32="",0,((W32*(1-V32))*LOOKUP(S32,$A$8:$E$35)*LOOKUP(S32,$A$8:$F$35))+IF(S33="",0,((W33*(1-V33))*LOOKUP(S33,$A$8:$E$35)*LOOKUP(S33,$A$8:$F$35))+IF(S34="",0,((W34*(1-V34))*LOOKUP(S34,$A$8:$E$35)*LOOKUP(S34,$A$8:$F$35))))))))/T27</f>
        <v>0.51823577999999992</v>
      </c>
      <c r="V27" s="270">
        <f>(IF(S29="",0,((W29*(1-V29))*LOOKUP(S29,$A$8:$E$35)*LOOKUP(S29,$A$8:$G$35)))+(IF(S30="",0,((W30*(1-V30))*LOOKUP(S30,$A$8:$E$35)*LOOKUP(S30,$A$8:$G$35)))+(IF(S31="",0,((W31*(1-V31))*LOOKUP(S31,$A$8:$E$35)*LOOKUP(S31,$A$8:$G$35)))+IF(S32="",0,((W32*(1-V32))*LOOKUP(S32,$A$8:$E$35)*LOOKUP(S32,$A$8:$G$35))+IF(S33="",0,((W33*(1-V33))*LOOKUP(S33,$A$8:$E$35)*LOOKUP(S33,$A$8:$G$35))+IF(S34="",0,((W34*(1-V34))*LOOKUP(S34,$A$8:$E$35)*LOOKUP(T34,$A$8:$G$35))))))))/T27</f>
        <v>8.5687609999999997E-2</v>
      </c>
      <c r="W27" s="171"/>
      <c r="X27" s="326">
        <v>85</v>
      </c>
      <c r="Y27" s="73" t="s">
        <v>92</v>
      </c>
      <c r="Z27" s="127" t="s">
        <v>93</v>
      </c>
      <c r="AA27" s="143"/>
      <c r="AB27" s="274"/>
      <c r="AC27" s="109" t="s">
        <v>81</v>
      </c>
      <c r="AD27" s="326">
        <v>30</v>
      </c>
      <c r="AE27" s="270">
        <f>(IF(AC29="",0,((AG29*(1-AF29))*LOOKUP(AC29,$A$8:$E$35)*LOOKUP(AC29,$A$8:$F$35)))+(IF(AC30="",0,((AG30*(1-AF30))*LOOKUP(AC30,$A$8:$E$35)*LOOKUP(AC30,$A$8:$F$35)))+(IF(AC31="",0,((AG31*(1-AF31))*LOOKUP(AC31,$A$8:$E$35)*LOOKUP(AC31,$A$8:$F$35)))+IF(AC32="",0,((AG32*(1-AF32))*LOOKUP(AC32,$A$8:$E$35)*LOOKUP(AC32,$A$8:$F$35))+IF(AC33="",0,((AG33*(1-AF33))*LOOKUP(AC33,$A$8:$E$35)*LOOKUP(AC33,$A$8:$F$35))+IF(AC34="",0,((AG34*(1-AF34))*LOOKUP(AC34,$A$8:$E$35)*LOOKUP(AC34,$A$8:$F$35))))))))/AD27</f>
        <v>0</v>
      </c>
      <c r="AF27" s="270">
        <f>(IF(AC29="",0,((AG29*(1-AF29))*LOOKUP(AC29,$A$8:$E$35)*LOOKUP(AC29,$A$8:$G$35)))+(IF(AC30="",0,((AG30*(1-AF30))*LOOKUP(AC30,$A$8:$E$35)*LOOKUP(AC30,$A$8:$G$35)))+(IF(AC31="",0,((AG31*(1-AF31))*LOOKUP(AC31,$A$8:$E$35)*LOOKUP(AC31,$A$8:$G$35)))+IF(AC32="",0,((AG32*(1-AF32))*LOOKUP(AC32,$A$8:$E$35)*LOOKUP(AC32,$A$8:$G$35))+IF(AC33="",0,((AG33*(1-AF33))*LOOKUP(AC33,$A$8:$E$35)*LOOKUP(AC33,$A$8:$G$35))+IF(AC34="",0,((AG34*(1-AF34))*LOOKUP(AC34,$A$8:$E$35)*LOOKUP(AD34,$A$8:$G$35))))))))/AD27</f>
        <v>0</v>
      </c>
      <c r="AG27" s="171"/>
      <c r="AH27" s="326"/>
      <c r="AI27" s="73" t="s">
        <v>92</v>
      </c>
      <c r="AJ27" s="127" t="s">
        <v>93</v>
      </c>
      <c r="AL27" s="274"/>
      <c r="AM27" s="109" t="s">
        <v>81</v>
      </c>
      <c r="AN27" s="326">
        <v>33</v>
      </c>
      <c r="AO27" s="270">
        <f>(IF(AM29="",0,((AQ29*(1-AP29))*LOOKUP(AM29,$A$8:$E$35)*LOOKUP(AM29,$A$8:$F$35)))+(IF(AM30="",0,((AQ30*(1-AP30))*LOOKUP(AM30,$A$8:$E$35)*LOOKUP(AM30,$A$8:$F$35)))+(IF(AM31="",0,((AQ31*(1-AP31))*LOOKUP(AM31,$A$8:$E$35)*LOOKUP(AM31,$A$8:$F$35)))+IF(AM32="",0,((AQ32*(1-AP32))*LOOKUP(AM32,$A$8:$E$35)*LOOKUP(AM32,$A$8:$F$35))+IF(AM33="",0,((AQ33*(1-AP33))*LOOKUP(AM33,$A$8:$E$35)*LOOKUP(AM33,$A$8:$F$35))+IF(AM34="",0,((AQ34*(1-AP34))*LOOKUP(AM34,$A$8:$E$35)*LOOKUP(AM34,$A$8:$F$35))))))))/AN27</f>
        <v>0.69194250000000002</v>
      </c>
      <c r="AP27" s="270">
        <f>(IF(AM29="",0,((AQ29*(1-AP29))*LOOKUP(AM29,$A$8:$E$35)*LOOKUP(AM29,$A$8:$G$35)))+(IF(AM30="",0,((AQ30*(1-AP30))*LOOKUP(AM30,$A$8:$E$35)*LOOKUP(AM30,$A$8:$G$35)))+(IF(AM31="",0,((AQ31*(1-AP31))*LOOKUP(AM31,$A$8:$E$35)*LOOKUP(AM31,$A$8:$G$35)))+IF(AM32="",0,((AQ32*(1-AP32))*LOOKUP(AM32,$A$8:$E$35)*LOOKUP(AM32,$A$8:$G$35))+IF(AM33="",0,((AQ33*(1-AP33))*LOOKUP(AM33,$A$8:$E$35)*LOOKUP(AM33,$A$8:$G$35))+IF(AM34="",0,((AQ34*(1-AP34))*LOOKUP(AM34,$A$8:$E$35)*LOOKUP(AN34,$A$8:$G$35))))))))/AN27</f>
        <v>9.5386000000000012E-2</v>
      </c>
      <c r="AQ27" s="171"/>
      <c r="AR27" s="326">
        <v>45</v>
      </c>
      <c r="AS27" s="73" t="s">
        <v>92</v>
      </c>
      <c r="AT27" s="127" t="s">
        <v>93</v>
      </c>
    </row>
    <row r="28" spans="1:46">
      <c r="A28" s="264">
        <v>21</v>
      </c>
      <c r="B28" s="326"/>
      <c r="C28" s="326"/>
      <c r="D28" s="246"/>
      <c r="E28" s="247"/>
      <c r="F28" s="247"/>
      <c r="G28" s="247"/>
      <c r="H28" s="274"/>
      <c r="I28" s="109" t="s">
        <v>42</v>
      </c>
      <c r="J28" s="73"/>
      <c r="K28" s="73" t="s">
        <v>28</v>
      </c>
      <c r="L28" s="138" t="s">
        <v>54</v>
      </c>
      <c r="M28" s="271" t="s">
        <v>130</v>
      </c>
      <c r="N28" s="168"/>
      <c r="O28" s="272"/>
      <c r="P28" s="127"/>
      <c r="R28" s="274"/>
      <c r="S28" s="109" t="s">
        <v>42</v>
      </c>
      <c r="T28" s="73"/>
      <c r="U28" s="73" t="s">
        <v>28</v>
      </c>
      <c r="V28" s="138" t="s">
        <v>54</v>
      </c>
      <c r="W28" s="271" t="s">
        <v>130</v>
      </c>
      <c r="X28" s="168"/>
      <c r="Y28" s="272"/>
      <c r="Z28" s="127"/>
      <c r="AA28" s="273"/>
      <c r="AB28" s="274"/>
      <c r="AC28" s="109" t="s">
        <v>42</v>
      </c>
      <c r="AD28" s="73"/>
      <c r="AE28" s="73" t="s">
        <v>28</v>
      </c>
      <c r="AF28" s="138" t="s">
        <v>54</v>
      </c>
      <c r="AG28" s="271" t="s">
        <v>130</v>
      </c>
      <c r="AH28" s="168"/>
      <c r="AI28" s="272"/>
      <c r="AJ28" s="127"/>
      <c r="AL28" s="274"/>
      <c r="AM28" s="109" t="s">
        <v>42</v>
      </c>
      <c r="AN28" s="73"/>
      <c r="AO28" s="73" t="s">
        <v>28</v>
      </c>
      <c r="AP28" s="138" t="s">
        <v>54</v>
      </c>
      <c r="AQ28" s="271" t="s">
        <v>130</v>
      </c>
      <c r="AR28" s="168"/>
      <c r="AS28" s="272"/>
      <c r="AT28" s="127"/>
    </row>
    <row r="29" spans="1:46">
      <c r="A29" s="264">
        <v>22</v>
      </c>
      <c r="B29" s="326"/>
      <c r="C29" s="326"/>
      <c r="D29" s="246"/>
      <c r="E29" s="247"/>
      <c r="F29" s="247"/>
      <c r="G29" s="247"/>
      <c r="H29" s="274" t="s">
        <v>96</v>
      </c>
      <c r="I29" s="331">
        <v>2</v>
      </c>
      <c r="J29" s="72" t="str">
        <f t="shared" ref="J29:J35" si="23">IF(I29="","",LOOKUP($I29,$A$8:$B$35))</f>
        <v>Hay</v>
      </c>
      <c r="K29" s="334">
        <v>0.4</v>
      </c>
      <c r="L29" s="30">
        <v>0.1</v>
      </c>
      <c r="M29" s="203">
        <f>IF(I29="","",$J$27*(K29/LOOKUP(I29,$A$8:$E$35)*(1+L29)))</f>
        <v>17.082352941176474</v>
      </c>
      <c r="N29" s="72"/>
      <c r="O29" s="272">
        <f t="shared" ref="O29:O34" si="24">IF(M29="",0,M29*(LOOKUP(I29,$A$8:$D$35)/(LOOKUP(I29,$A$8:$C$35))))</f>
        <v>0.8114117647058825</v>
      </c>
      <c r="P29" s="275">
        <f>O29*N$27</f>
        <v>32.456470588235298</v>
      </c>
      <c r="R29" s="274" t="s">
        <v>96</v>
      </c>
      <c r="S29" s="331">
        <v>2</v>
      </c>
      <c r="T29" s="72" t="str">
        <f t="shared" ref="T29:T34" si="25">IF(S29="","",LOOKUP($S29,$A$8:$B$35))</f>
        <v>Hay</v>
      </c>
      <c r="U29" s="334">
        <v>0.35</v>
      </c>
      <c r="V29" s="30">
        <v>0.05</v>
      </c>
      <c r="W29" s="203">
        <f>IF(S29="","",$T$27*(U29/LOOKUP(S29,$A$8:$E$35)*(1+V29)))</f>
        <v>12.970588235294118</v>
      </c>
      <c r="X29" s="72"/>
      <c r="Y29" s="272">
        <f t="shared" ref="Y29:Y34" si="26">IF(W29="",0,W29*(LOOKUP(S29,$A$8:$D$35)/(LOOKUP(S29,$A$8:$C$35))))</f>
        <v>0.61610294117647058</v>
      </c>
      <c r="Z29" s="275">
        <f>Y29*X$27</f>
        <v>52.368749999999999</v>
      </c>
      <c r="AA29" s="273"/>
      <c r="AB29" s="274" t="s">
        <v>96</v>
      </c>
      <c r="AC29" s="331"/>
      <c r="AD29" s="72" t="str">
        <f t="shared" ref="AD29:AD34" si="27">IF(AC29="","",LOOKUP($AC29,$A$8:$B$35))</f>
        <v/>
      </c>
      <c r="AE29" s="334"/>
      <c r="AF29" s="30"/>
      <c r="AG29" s="203" t="str">
        <f>IF(AC29="","",$AD$27*(AE29/LOOKUP(AC29,$A$8:$E$35)*(1+AF29)))</f>
        <v/>
      </c>
      <c r="AH29" s="72"/>
      <c r="AI29" s="272">
        <f t="shared" ref="AI29:AI34" si="28">IF(AG29="",0,AG29*(LOOKUP(AC29,$A$8:$D$35)/(LOOKUP(AC29,$A$8:$C$35))))</f>
        <v>0</v>
      </c>
      <c r="AJ29" s="275">
        <f>AI29*AH$27</f>
        <v>0</v>
      </c>
      <c r="AL29" s="274" t="s">
        <v>96</v>
      </c>
      <c r="AM29" s="331">
        <v>1</v>
      </c>
      <c r="AN29" s="72" t="str">
        <f t="shared" ref="AN29:AN34" si="29">IF(AM29="","",LOOKUP($AM29,$A$8:$B$35))</f>
        <v>Corn</v>
      </c>
      <c r="AO29" s="334">
        <v>0.5</v>
      </c>
      <c r="AP29" s="30">
        <v>0.01</v>
      </c>
      <c r="AQ29" s="203">
        <f>IF(AM29="","",$AN$27*(AO29/LOOKUP(AM29,$A$8:$E$35)*(1+AP29)))</f>
        <v>19.605882352941176</v>
      </c>
      <c r="AR29" s="72"/>
      <c r="AS29" s="272">
        <f t="shared" ref="AS29:AS34" si="30">IF(AQ29="",0,AQ29*(LOOKUP(AM29,$A$8:$D$35)/(LOOKUP(AM29,$A$8:$C$35))))</f>
        <v>1.2253676470588235</v>
      </c>
      <c r="AT29" s="275">
        <f>AS29*AR$27</f>
        <v>55.141544117647058</v>
      </c>
    </row>
    <row r="30" spans="1:46">
      <c r="A30" s="264">
        <v>23</v>
      </c>
      <c r="B30" s="326"/>
      <c r="C30" s="326"/>
      <c r="D30" s="246"/>
      <c r="E30" s="247"/>
      <c r="F30" s="247"/>
      <c r="G30" s="247"/>
      <c r="H30" s="274" t="s">
        <v>97</v>
      </c>
      <c r="I30" s="332">
        <v>3</v>
      </c>
      <c r="J30" s="72" t="str">
        <f t="shared" si="23"/>
        <v>Corn stalks</v>
      </c>
      <c r="K30" s="334">
        <v>0.4</v>
      </c>
      <c r="L30" s="30">
        <v>0.1</v>
      </c>
      <c r="M30" s="203">
        <f t="shared" ref="M30:M34" si="31">IF(I30="","",$J$27*(K30/LOOKUP(I30,$A$8:$E$35)*(1+L30)))</f>
        <v>18.150000000000002</v>
      </c>
      <c r="N30" s="72"/>
      <c r="O30" s="272">
        <f t="shared" si="24"/>
        <v>0.5445000000000001</v>
      </c>
      <c r="P30" s="275">
        <f t="shared" ref="P30:P34" si="32">O30*N$27</f>
        <v>21.780000000000005</v>
      </c>
      <c r="R30" s="274" t="s">
        <v>97</v>
      </c>
      <c r="S30" s="332">
        <v>3</v>
      </c>
      <c r="T30" s="72" t="str">
        <f t="shared" si="25"/>
        <v>Corn stalks</v>
      </c>
      <c r="U30" s="334">
        <v>0.47</v>
      </c>
      <c r="V30" s="30">
        <v>0.06</v>
      </c>
      <c r="W30" s="203">
        <f t="shared" ref="W30:W34" si="33">IF(S30="","",$T$27*(U30/LOOKUP(S30,$A$8:$E$35)*(1+V30)))</f>
        <v>18.682499999999997</v>
      </c>
      <c r="X30" s="72"/>
      <c r="Y30" s="272">
        <f t="shared" si="26"/>
        <v>0.56047499999999995</v>
      </c>
      <c r="Z30" s="275">
        <f t="shared" ref="Z30:Z34" si="34">Y30*X$27</f>
        <v>47.640374999999999</v>
      </c>
      <c r="AA30" s="273"/>
      <c r="AB30" s="274" t="s">
        <v>97</v>
      </c>
      <c r="AC30" s="332"/>
      <c r="AD30" s="72" t="str">
        <f t="shared" si="27"/>
        <v/>
      </c>
      <c r="AE30" s="334"/>
      <c r="AF30" s="30"/>
      <c r="AG30" s="203" t="str">
        <f t="shared" ref="AG30:AG34" si="35">IF(AC30="","",$AD$27*(AE30/LOOKUP(AC30,$A$8:$E$35)*(1+AF30)))</f>
        <v/>
      </c>
      <c r="AH30" s="72"/>
      <c r="AI30" s="272">
        <f t="shared" si="28"/>
        <v>0</v>
      </c>
      <c r="AJ30" s="275">
        <f t="shared" ref="AJ30:AJ34" si="36">AI30*AH$27</f>
        <v>0</v>
      </c>
      <c r="AL30" s="274" t="s">
        <v>97</v>
      </c>
      <c r="AM30" s="332">
        <v>2</v>
      </c>
      <c r="AN30" s="72" t="str">
        <f t="shared" si="29"/>
        <v>Hay</v>
      </c>
      <c r="AO30" s="334">
        <v>0.4</v>
      </c>
      <c r="AP30" s="30">
        <v>0.1</v>
      </c>
      <c r="AQ30" s="203">
        <f t="shared" ref="AQ30:AQ34" si="37">IF(AM30="","",$AN$27*(AO30/LOOKUP(AM30,$A$8:$E$35)*(1+AP30)))</f>
        <v>17.082352941176474</v>
      </c>
      <c r="AR30" s="72"/>
      <c r="AS30" s="272">
        <f t="shared" si="30"/>
        <v>0.8114117647058825</v>
      </c>
      <c r="AT30" s="275">
        <f t="shared" ref="AT30:AT34" si="38">AS30*AR$27</f>
        <v>36.513529411764715</v>
      </c>
    </row>
    <row r="31" spans="1:46">
      <c r="A31" s="264">
        <v>24</v>
      </c>
      <c r="B31" s="326"/>
      <c r="C31" s="326"/>
      <c r="D31" s="246"/>
      <c r="E31" s="247"/>
      <c r="F31" s="247"/>
      <c r="G31" s="247"/>
      <c r="H31" s="274" t="s">
        <v>98</v>
      </c>
      <c r="I31" s="332">
        <v>4</v>
      </c>
      <c r="J31" s="72" t="str">
        <f t="shared" si="23"/>
        <v>Corn silage</v>
      </c>
      <c r="K31" s="334">
        <v>0.1</v>
      </c>
      <c r="L31" s="30">
        <v>0.08</v>
      </c>
      <c r="M31" s="203">
        <f t="shared" si="31"/>
        <v>10.182857142857143</v>
      </c>
      <c r="N31" s="72"/>
      <c r="O31" s="272">
        <f t="shared" si="24"/>
        <v>0.17820000000000003</v>
      </c>
      <c r="P31" s="275">
        <f t="shared" si="32"/>
        <v>7.128000000000001</v>
      </c>
      <c r="R31" s="274" t="s">
        <v>98</v>
      </c>
      <c r="S31" s="332">
        <v>4</v>
      </c>
      <c r="T31" s="72" t="str">
        <f t="shared" si="25"/>
        <v>Corn silage</v>
      </c>
      <c r="U31" s="334">
        <v>0.15</v>
      </c>
      <c r="V31" s="30">
        <v>0.05</v>
      </c>
      <c r="W31" s="203">
        <f t="shared" si="33"/>
        <v>13.500000000000002</v>
      </c>
      <c r="X31" s="72"/>
      <c r="Y31" s="272">
        <f t="shared" si="26"/>
        <v>0.23625000000000004</v>
      </c>
      <c r="Z31" s="275">
        <f t="shared" si="34"/>
        <v>20.081250000000004</v>
      </c>
      <c r="AA31" s="273"/>
      <c r="AB31" s="274" t="s">
        <v>98</v>
      </c>
      <c r="AC31" s="332"/>
      <c r="AD31" s="72" t="str">
        <f t="shared" si="27"/>
        <v/>
      </c>
      <c r="AE31" s="334"/>
      <c r="AF31" s="30"/>
      <c r="AG31" s="203" t="str">
        <f t="shared" si="35"/>
        <v/>
      </c>
      <c r="AH31" s="72"/>
      <c r="AI31" s="272">
        <f t="shared" si="28"/>
        <v>0</v>
      </c>
      <c r="AJ31" s="275">
        <f t="shared" si="36"/>
        <v>0</v>
      </c>
      <c r="AL31" s="274" t="s">
        <v>98</v>
      </c>
      <c r="AM31" s="332">
        <v>3</v>
      </c>
      <c r="AN31" s="72" t="str">
        <f t="shared" si="29"/>
        <v>Corn stalks</v>
      </c>
      <c r="AO31" s="334">
        <v>0.1</v>
      </c>
      <c r="AP31" s="30">
        <v>0.15</v>
      </c>
      <c r="AQ31" s="203">
        <f t="shared" si="37"/>
        <v>4.7437499999999995</v>
      </c>
      <c r="AR31" s="72"/>
      <c r="AS31" s="272">
        <f t="shared" si="30"/>
        <v>0.14231249999999998</v>
      </c>
      <c r="AT31" s="275">
        <f t="shared" si="38"/>
        <v>6.4040624999999993</v>
      </c>
    </row>
    <row r="32" spans="1:46">
      <c r="A32" s="264">
        <v>25</v>
      </c>
      <c r="B32" s="326"/>
      <c r="C32" s="326"/>
      <c r="D32" s="246"/>
      <c r="E32" s="247"/>
      <c r="F32" s="247"/>
      <c r="G32" s="247"/>
      <c r="H32" s="274" t="s">
        <v>99</v>
      </c>
      <c r="I32" s="332">
        <v>5</v>
      </c>
      <c r="J32" s="72" t="str">
        <f t="shared" si="23"/>
        <v>mdgs-6-9% fat</v>
      </c>
      <c r="K32" s="334">
        <v>0.1</v>
      </c>
      <c r="L32" s="30">
        <v>0.01</v>
      </c>
      <c r="M32" s="203">
        <f t="shared" si="31"/>
        <v>6.8020408163265307</v>
      </c>
      <c r="N32" s="72"/>
      <c r="O32" s="272">
        <f t="shared" si="24"/>
        <v>0.2380714285714286</v>
      </c>
      <c r="P32" s="275">
        <f t="shared" si="32"/>
        <v>9.5228571428571449</v>
      </c>
      <c r="R32" s="274" t="s">
        <v>99</v>
      </c>
      <c r="S32" s="332">
        <v>5</v>
      </c>
      <c r="T32" s="72" t="str">
        <f t="shared" si="25"/>
        <v>mdgs-6-9% fat</v>
      </c>
      <c r="U32" s="334">
        <v>0.03</v>
      </c>
      <c r="V32" s="30">
        <v>0.01</v>
      </c>
      <c r="W32" s="203">
        <f t="shared" si="33"/>
        <v>1.8551020408163266</v>
      </c>
      <c r="X32" s="72"/>
      <c r="Y32" s="272">
        <f t="shared" si="26"/>
        <v>6.4928571428571433E-2</v>
      </c>
      <c r="Z32" s="275">
        <f t="shared" si="34"/>
        <v>5.5189285714285718</v>
      </c>
      <c r="AA32" s="273"/>
      <c r="AB32" s="274" t="s">
        <v>99</v>
      </c>
      <c r="AC32" s="332"/>
      <c r="AD32" s="72" t="str">
        <f t="shared" si="27"/>
        <v/>
      </c>
      <c r="AE32" s="334"/>
      <c r="AF32" s="30"/>
      <c r="AG32" s="203" t="str">
        <f t="shared" si="35"/>
        <v/>
      </c>
      <c r="AH32" s="72"/>
      <c r="AI32" s="272">
        <f t="shared" si="28"/>
        <v>0</v>
      </c>
      <c r="AJ32" s="275">
        <f t="shared" si="36"/>
        <v>0</v>
      </c>
      <c r="AL32" s="274" t="s">
        <v>99</v>
      </c>
      <c r="AM32" s="332"/>
      <c r="AN32" s="72" t="str">
        <f t="shared" si="29"/>
        <v/>
      </c>
      <c r="AO32" s="334"/>
      <c r="AP32" s="30"/>
      <c r="AQ32" s="203" t="str">
        <f t="shared" si="37"/>
        <v/>
      </c>
      <c r="AR32" s="72"/>
      <c r="AS32" s="272">
        <f t="shared" si="30"/>
        <v>0</v>
      </c>
      <c r="AT32" s="275">
        <f t="shared" si="38"/>
        <v>0</v>
      </c>
    </row>
    <row r="33" spans="1:46">
      <c r="A33" s="264">
        <v>26</v>
      </c>
      <c r="B33" s="326"/>
      <c r="C33" s="326"/>
      <c r="D33" s="246"/>
      <c r="E33" s="247"/>
      <c r="F33" s="247"/>
      <c r="G33" s="247"/>
      <c r="H33" s="274" t="s">
        <v>105</v>
      </c>
      <c r="I33" s="333"/>
      <c r="J33" s="72" t="str">
        <f t="shared" si="23"/>
        <v/>
      </c>
      <c r="K33" s="334"/>
      <c r="L33" s="30"/>
      <c r="M33" s="203" t="str">
        <f t="shared" si="31"/>
        <v/>
      </c>
      <c r="N33" s="72"/>
      <c r="O33" s="272">
        <f t="shared" si="24"/>
        <v>0</v>
      </c>
      <c r="P33" s="275">
        <f t="shared" si="32"/>
        <v>0</v>
      </c>
      <c r="R33" s="274" t="s">
        <v>105</v>
      </c>
      <c r="S33" s="333"/>
      <c r="T33" s="72" t="str">
        <f t="shared" si="25"/>
        <v/>
      </c>
      <c r="U33" s="334"/>
      <c r="V33" s="30"/>
      <c r="W33" s="203" t="str">
        <f t="shared" si="33"/>
        <v/>
      </c>
      <c r="X33" s="72"/>
      <c r="Y33" s="272">
        <f t="shared" si="26"/>
        <v>0</v>
      </c>
      <c r="Z33" s="275">
        <f t="shared" si="34"/>
        <v>0</v>
      </c>
      <c r="AA33" s="273"/>
      <c r="AB33" s="274" t="s">
        <v>105</v>
      </c>
      <c r="AC33" s="333"/>
      <c r="AD33" s="72" t="str">
        <f t="shared" si="27"/>
        <v/>
      </c>
      <c r="AE33" s="334"/>
      <c r="AF33" s="30"/>
      <c r="AG33" s="203" t="str">
        <f t="shared" si="35"/>
        <v/>
      </c>
      <c r="AH33" s="72"/>
      <c r="AI33" s="272">
        <f t="shared" si="28"/>
        <v>0</v>
      </c>
      <c r="AJ33" s="275">
        <f t="shared" si="36"/>
        <v>0</v>
      </c>
      <c r="AL33" s="274" t="s">
        <v>105</v>
      </c>
      <c r="AM33" s="333"/>
      <c r="AN33" s="72" t="str">
        <f t="shared" si="29"/>
        <v/>
      </c>
      <c r="AO33" s="334"/>
      <c r="AP33" s="30"/>
      <c r="AQ33" s="203" t="str">
        <f t="shared" si="37"/>
        <v/>
      </c>
      <c r="AR33" s="72"/>
      <c r="AS33" s="272">
        <f t="shared" si="30"/>
        <v>0</v>
      </c>
      <c r="AT33" s="275">
        <f t="shared" si="38"/>
        <v>0</v>
      </c>
    </row>
    <row r="34" spans="1:46">
      <c r="A34" s="264">
        <v>27</v>
      </c>
      <c r="B34" s="326"/>
      <c r="C34" s="326"/>
      <c r="D34" s="246"/>
      <c r="E34" s="247"/>
      <c r="F34" s="247"/>
      <c r="G34" s="247"/>
      <c r="H34" s="274" t="s">
        <v>106</v>
      </c>
      <c r="I34" s="333"/>
      <c r="J34" s="72" t="str">
        <f t="shared" si="23"/>
        <v/>
      </c>
      <c r="K34" s="334"/>
      <c r="L34" s="30"/>
      <c r="M34" s="203" t="str">
        <f t="shared" si="31"/>
        <v/>
      </c>
      <c r="N34" s="72"/>
      <c r="O34" s="272">
        <f t="shared" si="24"/>
        <v>0</v>
      </c>
      <c r="P34" s="275">
        <f t="shared" si="32"/>
        <v>0</v>
      </c>
      <c r="R34" s="274" t="s">
        <v>106</v>
      </c>
      <c r="S34" s="333"/>
      <c r="T34" s="72" t="str">
        <f t="shared" si="25"/>
        <v/>
      </c>
      <c r="U34" s="334"/>
      <c r="V34" s="30"/>
      <c r="W34" s="203" t="str">
        <f t="shared" si="33"/>
        <v/>
      </c>
      <c r="X34" s="72"/>
      <c r="Y34" s="272">
        <f t="shared" si="26"/>
        <v>0</v>
      </c>
      <c r="Z34" s="275">
        <f t="shared" si="34"/>
        <v>0</v>
      </c>
      <c r="AA34" s="273"/>
      <c r="AB34" s="274" t="s">
        <v>106</v>
      </c>
      <c r="AC34" s="333"/>
      <c r="AD34" s="72" t="str">
        <f t="shared" si="27"/>
        <v/>
      </c>
      <c r="AE34" s="334"/>
      <c r="AF34" s="30"/>
      <c r="AG34" s="203" t="str">
        <f t="shared" si="35"/>
        <v/>
      </c>
      <c r="AH34" s="72"/>
      <c r="AI34" s="272">
        <f t="shared" si="28"/>
        <v>0</v>
      </c>
      <c r="AJ34" s="275">
        <f t="shared" si="36"/>
        <v>0</v>
      </c>
      <c r="AL34" s="274" t="s">
        <v>106</v>
      </c>
      <c r="AM34" s="333"/>
      <c r="AN34" s="72" t="str">
        <f t="shared" si="29"/>
        <v/>
      </c>
      <c r="AO34" s="334"/>
      <c r="AP34" s="30"/>
      <c r="AQ34" s="203" t="str">
        <f t="shared" si="37"/>
        <v/>
      </c>
      <c r="AR34" s="72"/>
      <c r="AS34" s="272">
        <f t="shared" si="30"/>
        <v>0</v>
      </c>
      <c r="AT34" s="275">
        <f t="shared" si="38"/>
        <v>0</v>
      </c>
    </row>
    <row r="35" spans="1:46">
      <c r="A35" s="264">
        <v>28</v>
      </c>
      <c r="B35" s="326"/>
      <c r="C35" s="326"/>
      <c r="D35" s="246"/>
      <c r="E35" s="247"/>
      <c r="F35" s="247"/>
      <c r="G35" s="247"/>
      <c r="H35" s="274"/>
      <c r="I35" s="145"/>
      <c r="J35" s="276" t="str">
        <f t="shared" si="23"/>
        <v/>
      </c>
      <c r="K35" s="277">
        <f>SUM(K29:K34)</f>
        <v>1</v>
      </c>
      <c r="L35" s="278" t="str">
        <f>IF(K35&gt;0,IF(K35=1," ","check %")," ")</f>
        <v xml:space="preserve"> </v>
      </c>
      <c r="M35" s="279"/>
      <c r="N35" s="134"/>
      <c r="O35" s="273">
        <f>SUM(O29:O34)</f>
        <v>1.7721831932773111</v>
      </c>
      <c r="P35" s="280">
        <f>SUM(P29:P34)</f>
        <v>70.887327731092455</v>
      </c>
      <c r="R35" s="274"/>
      <c r="S35" s="145"/>
      <c r="T35" s="276" t="str">
        <f t="shared" ref="T35" si="39">IF(S35="","",LOOKUP($I35,$A$8:$B$35))</f>
        <v/>
      </c>
      <c r="U35" s="277">
        <f>SUM(U29:U34)</f>
        <v>1</v>
      </c>
      <c r="V35" s="278" t="str">
        <f>IF(U35&gt;0,IF(U35=1," ","check %")," ")</f>
        <v xml:space="preserve"> </v>
      </c>
      <c r="W35" s="279"/>
      <c r="X35" s="134"/>
      <c r="Y35" s="273">
        <f>SUM(Y29:Y34)</f>
        <v>1.477756512605042</v>
      </c>
      <c r="Z35" s="280">
        <f>SUM(Z29:Z34)</f>
        <v>125.60930357142857</v>
      </c>
      <c r="AA35" s="168"/>
      <c r="AB35" s="274"/>
      <c r="AC35" s="145"/>
      <c r="AD35" s="276" t="str">
        <f t="shared" ref="AD35" si="40">IF(AC35="","",LOOKUP($I35,$A$8:$B$35))</f>
        <v/>
      </c>
      <c r="AE35" s="277">
        <f>SUM(AE29:AE34)</f>
        <v>0</v>
      </c>
      <c r="AF35" s="278" t="str">
        <f>IF(AE35&gt;0,IF(AE35=1," ","check %")," ")</f>
        <v xml:space="preserve"> </v>
      </c>
      <c r="AG35" s="279"/>
      <c r="AH35" s="134"/>
      <c r="AI35" s="273">
        <f>SUM(AI29:AI34)</f>
        <v>0</v>
      </c>
      <c r="AJ35" s="280">
        <f>SUM(AJ29:AJ34)</f>
        <v>0</v>
      </c>
      <c r="AL35" s="274"/>
      <c r="AM35" s="145"/>
      <c r="AN35" s="276" t="str">
        <f t="shared" ref="AN35" si="41">IF(AM35="","",LOOKUP($I35,$A$8:$B$35))</f>
        <v/>
      </c>
      <c r="AO35" s="277">
        <f>SUM(AO29:AO34)</f>
        <v>1</v>
      </c>
      <c r="AP35" s="278" t="str">
        <f>IF(AO35&gt;0,IF(AO35=1," ","check %")," ")</f>
        <v xml:space="preserve"> </v>
      </c>
      <c r="AQ35" s="279"/>
      <c r="AR35" s="134"/>
      <c r="AS35" s="273">
        <f>SUM(AS29:AS34)</f>
        <v>2.1790919117647061</v>
      </c>
      <c r="AT35" s="280">
        <f>SUM(AT29:AT34)</f>
        <v>98.059136029411761</v>
      </c>
    </row>
    <row r="36" spans="1:46" ht="13.5" thickBot="1">
      <c r="H36" s="274"/>
      <c r="I36" s="109"/>
      <c r="J36" s="73" t="s">
        <v>71</v>
      </c>
      <c r="K36" s="266" t="s">
        <v>77</v>
      </c>
      <c r="L36" s="266" t="s">
        <v>78</v>
      </c>
      <c r="M36" s="171"/>
      <c r="N36" s="73" t="s">
        <v>286</v>
      </c>
      <c r="O36" s="73"/>
      <c r="P36" s="127"/>
      <c r="R36" s="274"/>
      <c r="S36" s="109"/>
      <c r="T36" s="73" t="s">
        <v>71</v>
      </c>
      <c r="U36" s="266" t="s">
        <v>77</v>
      </c>
      <c r="V36" s="266" t="s">
        <v>78</v>
      </c>
      <c r="W36" s="171"/>
      <c r="X36" s="73" t="s">
        <v>286</v>
      </c>
      <c r="Y36" s="73"/>
      <c r="Z36" s="127"/>
      <c r="AA36" s="143"/>
      <c r="AB36" s="274"/>
      <c r="AC36" s="109"/>
      <c r="AD36" s="73" t="s">
        <v>71</v>
      </c>
      <c r="AE36" s="266" t="s">
        <v>77</v>
      </c>
      <c r="AF36" s="266" t="s">
        <v>78</v>
      </c>
      <c r="AG36" s="171"/>
      <c r="AH36" s="73" t="s">
        <v>286</v>
      </c>
      <c r="AI36" s="73"/>
      <c r="AJ36" s="127"/>
      <c r="AL36" s="274"/>
      <c r="AM36" s="109"/>
      <c r="AN36" s="73" t="s">
        <v>71</v>
      </c>
      <c r="AO36" s="266" t="s">
        <v>77</v>
      </c>
      <c r="AP36" s="266" t="s">
        <v>78</v>
      </c>
      <c r="AQ36" s="171"/>
      <c r="AR36" s="73" t="s">
        <v>286</v>
      </c>
      <c r="AS36" s="73"/>
      <c r="AT36" s="127"/>
    </row>
    <row r="37" spans="1:46">
      <c r="A37" s="281" t="s">
        <v>272</v>
      </c>
      <c r="B37" s="282"/>
      <c r="C37" s="282"/>
      <c r="D37" s="282"/>
      <c r="E37" s="282"/>
      <c r="F37" s="283"/>
      <c r="H37" s="274"/>
      <c r="I37" s="109" t="s">
        <v>82</v>
      </c>
      <c r="J37" s="326">
        <v>33</v>
      </c>
      <c r="K37" s="270">
        <f>(IF(I39="",0,((M39*(1-L39))*LOOKUP(I39,$A$8:$E$35)*LOOKUP(I39,$A$8:$F$35)))+(IF(I40="",0,((M40*(1-L40))*LOOKUP(I40,$A$8:$E$35)*LOOKUP(I40,$A$8:$F$35)))+(IF(I41="",0,((M41*(1-L41))*LOOKUP(I41,$A$8:$E$35)*LOOKUP(I41,$A$8:$F$35)))+IF(I42="",0,((M42*(1-L42))*LOOKUP(I42,$A$8:$E$35)*LOOKUP(I42,$A$8:$F$35))+IF(I43="",0,((M43*(1-L43))*LOOKUP(I43,$A$8:$E$35)*LOOKUP(I43,$A$8:$F$35))+IF(I44="",0,((M44*(1-L44))*LOOKUP(I44,$A$8:$E$35)*LOOKUP(I44,$A$8:$F$35))))))))/J37</f>
        <v>0.55958111999999993</v>
      </c>
      <c r="L37" s="270">
        <f>(IF(I39="",0,((M39*(1-L39))*LOOKUP(I39,$A$8:$E$35)*LOOKUP(I39,$A$8:$G$35)))+(IF(I40="",0,((M40*(1-L40))*LOOKUP(I40,$A$8:$E$35)*LOOKUP(I40,$A$8:$G$35)))+(IF(I41="",0,((M41*(1-L41))*LOOKUP(I41,$A$8:$E$35)*LOOKUP(I41,$A$8:$G$35)))+IF(I42="",0,((M42*(1-L42))*LOOKUP(I42,$A$8:$E$35)*LOOKUP(I42,$A$8:$G$35))+IF(I43="",0,((M43*(1-L43))*LOOKUP(I43,$A$8:$E$35)*LOOKUP(I43,$A$8:$G$35))+IF(I44="",0,((M44*(1-L44))*LOOKUP(I44,$A$8:$E$35)*LOOKUP(J44,$A$8:$G$35))))))))/J37</f>
        <v>0.12258072</v>
      </c>
      <c r="M37" s="171"/>
      <c r="N37" s="326">
        <v>40</v>
      </c>
      <c r="O37" s="73" t="s">
        <v>92</v>
      </c>
      <c r="P37" s="127" t="s">
        <v>93</v>
      </c>
      <c r="R37" s="274"/>
      <c r="S37" s="109" t="s">
        <v>82</v>
      </c>
      <c r="T37" s="326">
        <v>30</v>
      </c>
      <c r="U37" s="270">
        <f>(IF(S39="",0,((W39*(1-V39))*LOOKUP(S39,$A$8:$E$35)*LOOKUP(S39,$A$8:$F$35)))+(IF(S40="",0,((W40*(1-V40))*LOOKUP(S40,$A$8:$E$35)*LOOKUP(S40,$A$8:$F$35)))+(IF(S41="",0,((W41*(1-V41))*LOOKUP(S41,$A$8:$E$35)*LOOKUP(S41,$A$8:$F$35)))+IF(S42="",0,((W42*(1-V42))*LOOKUP(S42,$A$8:$E$35)*LOOKUP(S42,$A$8:$F$35))+IF(S43="",0,((W43*(1-V43))*LOOKUP(S43,$A$8:$E$35)*LOOKUP(S43,$A$8:$F$35))+IF(S44="",0,((W44*(1-V44))*LOOKUP(S44,$A$8:$E$35)*LOOKUP(S44,$A$8:$F$35))))))))/T37</f>
        <v>0.56019809999999992</v>
      </c>
      <c r="V37" s="270">
        <f>(IF(S39="",0,((W39*(1-V39))*LOOKUP(S39,$A$8:$E$35)*LOOKUP(S39,$A$8:$G$35)))+(IF(S40="",0,((W40*(1-V40))*LOOKUP(S40,$A$8:$E$35)*LOOKUP(S40,$A$8:$G$35)))+(IF(S41="",0,((W41*(1-V41))*LOOKUP(S41,$A$8:$E$35)*LOOKUP(S41,$A$8:$G$35)))+IF(S42="",0,((W42*(1-V42))*LOOKUP(S42,$A$8:$E$35)*LOOKUP(S42,$A$8:$G$35))+IF(S43="",0,((W43*(1-V43))*LOOKUP(S43,$A$8:$E$35)*LOOKUP(S43,$A$8:$G$35))+IF(S44="",0,((W44*(1-V44))*LOOKUP(S44,$A$8:$E$35)*LOOKUP(T44,$A$8:$G$35))))))))/T37</f>
        <v>0.11876830000000001</v>
      </c>
      <c r="W37" s="171"/>
      <c r="X37" s="326">
        <v>95</v>
      </c>
      <c r="Y37" s="73" t="s">
        <v>92</v>
      </c>
      <c r="Z37" s="127" t="s">
        <v>93</v>
      </c>
      <c r="AA37" s="143"/>
      <c r="AB37" s="274"/>
      <c r="AC37" s="109" t="s">
        <v>82</v>
      </c>
      <c r="AD37" s="326">
        <v>33</v>
      </c>
      <c r="AE37" s="270">
        <f>(IF(AC39="",0,((AG39*(1-AF39))*LOOKUP(AC39,$A$8:$E$35)*LOOKUP(AC39,$A$8:$F$35)))+(IF(AC40="",0,((AG40*(1-AF40))*LOOKUP(AC40,$A$8:$E$35)*LOOKUP(AC40,$A$8:$F$35)))+(IF(AC41="",0,((AG41*(1-AF41))*LOOKUP(AC41,$A$8:$E$35)*LOOKUP(AC41,$A$8:$F$35)))+IF(AC42="",0,((AG42*(1-AF42))*LOOKUP(AC42,$A$8:$E$35)*LOOKUP(AC42,$A$8:$F$35))+IF(AC43="",0,((AG43*(1-AF43))*LOOKUP(AC43,$A$8:$E$35)*LOOKUP(AC43,$A$8:$F$35))+IF(AC44="",0,((AG44*(1-AF44))*LOOKUP(AC44,$A$8:$E$35)*LOOKUP(AC44,$A$8:$F$35))))))))/AD37</f>
        <v>0</v>
      </c>
      <c r="AF37" s="270">
        <f>(IF(AC39="",0,((AG39*(1-AF39))*LOOKUP(AC39,$A$8:$E$35)*LOOKUP(AC39,$A$8:$G$35)))+(IF(AC40="",0,((AG40*(1-AF40))*LOOKUP(AC40,$A$8:$E$35)*LOOKUP(AC40,$A$8:$G$35)))+(IF(AC41="",0,((AG41*(1-AF41))*LOOKUP(AC41,$A$8:$E$35)*LOOKUP(AC41,$A$8:$G$35)))+IF(AC42="",0,((AG42*(1-AF42))*LOOKUP(AC42,$A$8:$E$35)*LOOKUP(AC42,$A$8:$G$35))+IF(AC43="",0,((AG43*(1-AF43))*LOOKUP(AC43,$A$8:$E$35)*LOOKUP(AC43,$A$8:$G$35))+IF(AC44="",0,((AG44*(1-AF44))*LOOKUP(AC44,$A$8:$E$35)*LOOKUP(AD44,$A$8:$G$35))))))))/AD37</f>
        <v>0</v>
      </c>
      <c r="AG37" s="171"/>
      <c r="AH37" s="326"/>
      <c r="AI37" s="73" t="s">
        <v>92</v>
      </c>
      <c r="AJ37" s="127" t="s">
        <v>93</v>
      </c>
      <c r="AL37" s="274"/>
      <c r="AM37" s="109" t="s">
        <v>82</v>
      </c>
      <c r="AN37" s="326">
        <v>33</v>
      </c>
      <c r="AO37" s="270">
        <f>(IF(AM39="",0,((AQ39*(1-AP39))*LOOKUP(AM39,$A$8:$E$35)*LOOKUP(AM39,$A$8:$F$35)))+(IF(AM40="",0,((AQ40*(1-AP40))*LOOKUP(AM40,$A$8:$E$35)*LOOKUP(AM40,$A$8:$F$35)))+(IF(AM41="",0,((AQ41*(1-AP41))*LOOKUP(AM41,$A$8:$E$35)*LOOKUP(AM41,$A$8:$F$35)))+IF(AM42="",0,((AQ42*(1-AP42))*LOOKUP(AM42,$A$8:$E$35)*LOOKUP(AM42,$A$8:$F$35))+IF(AM43="",0,((AQ43*(1-AP43))*LOOKUP(AM43,$A$8:$E$35)*LOOKUP(AM43,$A$8:$F$35))+IF(AM44="",0,((AQ44*(1-AP44))*LOOKUP(AM44,$A$8:$E$35)*LOOKUP(AM44,$A$8:$F$35))))))))/AN37</f>
        <v>0.69194250000000002</v>
      </c>
      <c r="AP37" s="270">
        <f>(IF(AM39="",0,((AQ39*(1-AP39))*LOOKUP(AM39,$A$8:$E$35)*LOOKUP(AM39,$A$8:$G$35)))+(IF(AM40="",0,((AQ40*(1-AP40))*LOOKUP(AM40,$A$8:$E$35)*LOOKUP(AM40,$A$8:$G$35)))+(IF(AM41="",0,((AQ41*(1-AP41))*LOOKUP(AM41,$A$8:$E$35)*LOOKUP(AM41,$A$8:$G$35)))+IF(AM42="",0,((AQ42*(1-AP42))*LOOKUP(AM42,$A$8:$E$35)*LOOKUP(AM42,$A$8:$G$35))+IF(AM43="",0,((AQ43*(1-AP43))*LOOKUP(AM43,$A$8:$E$35)*LOOKUP(AM43,$A$8:$G$35))+IF(AM44="",0,((AQ44*(1-AP44))*LOOKUP(AM44,$A$8:$E$35)*LOOKUP(AN44,$A$8:$G$35))))))))/AN37</f>
        <v>9.5386000000000012E-2</v>
      </c>
      <c r="AQ37" s="171"/>
      <c r="AR37" s="326">
        <v>45</v>
      </c>
      <c r="AS37" s="73" t="s">
        <v>92</v>
      </c>
      <c r="AT37" s="127" t="s">
        <v>93</v>
      </c>
    </row>
    <row r="38" spans="1:46">
      <c r="A38" s="109" t="s">
        <v>136</v>
      </c>
      <c r="B38" s="73"/>
      <c r="C38" s="73"/>
      <c r="D38" s="73"/>
      <c r="E38" s="284" t="s">
        <v>270</v>
      </c>
      <c r="F38" s="329">
        <v>1300</v>
      </c>
      <c r="H38" s="274"/>
      <c r="I38" s="109" t="s">
        <v>42</v>
      </c>
      <c r="J38" s="73"/>
      <c r="K38" s="73" t="s">
        <v>28</v>
      </c>
      <c r="L38" s="138" t="s">
        <v>54</v>
      </c>
      <c r="M38" s="271" t="s">
        <v>130</v>
      </c>
      <c r="N38" s="168"/>
      <c r="O38" s="272"/>
      <c r="P38" s="127"/>
      <c r="R38" s="274"/>
      <c r="S38" s="109" t="s">
        <v>42</v>
      </c>
      <c r="T38" s="73"/>
      <c r="U38" s="73" t="s">
        <v>28</v>
      </c>
      <c r="V38" s="138" t="s">
        <v>54</v>
      </c>
      <c r="W38" s="271" t="s">
        <v>130</v>
      </c>
      <c r="X38" s="168"/>
      <c r="Y38" s="272"/>
      <c r="Z38" s="127"/>
      <c r="AA38" s="273"/>
      <c r="AB38" s="274"/>
      <c r="AC38" s="109" t="s">
        <v>42</v>
      </c>
      <c r="AD38" s="73"/>
      <c r="AE38" s="73" t="s">
        <v>28</v>
      </c>
      <c r="AF38" s="138" t="s">
        <v>54</v>
      </c>
      <c r="AG38" s="271" t="s">
        <v>130</v>
      </c>
      <c r="AH38" s="168"/>
      <c r="AI38" s="272"/>
      <c r="AJ38" s="127"/>
      <c r="AL38" s="274"/>
      <c r="AM38" s="109" t="s">
        <v>42</v>
      </c>
      <c r="AN38" s="73"/>
      <c r="AO38" s="73" t="s">
        <v>28</v>
      </c>
      <c r="AP38" s="138" t="s">
        <v>54</v>
      </c>
      <c r="AQ38" s="271" t="s">
        <v>130</v>
      </c>
      <c r="AR38" s="168"/>
      <c r="AS38" s="272"/>
      <c r="AT38" s="127"/>
    </row>
    <row r="39" spans="1:46">
      <c r="A39" s="109" t="s">
        <v>154</v>
      </c>
      <c r="B39" s="73"/>
      <c r="C39" s="73"/>
      <c r="D39" s="73"/>
      <c r="E39" s="284" t="s">
        <v>271</v>
      </c>
      <c r="F39" s="330">
        <v>2.5000000000000001E-2</v>
      </c>
      <c r="H39" s="274" t="s">
        <v>96</v>
      </c>
      <c r="I39" s="331">
        <v>2</v>
      </c>
      <c r="J39" s="72" t="str">
        <f t="shared" ref="J39:J44" si="42">IF(I39="","",LOOKUP($I39,$A$8:$B$35))</f>
        <v>Hay</v>
      </c>
      <c r="K39" s="334">
        <v>0.5</v>
      </c>
      <c r="L39" s="30">
        <v>0.1</v>
      </c>
      <c r="M39" s="203">
        <f>IF(I39="","",$J$37*(K39/LOOKUP(I39,$A$8:$E$35)*(1+L39)))</f>
        <v>21.352941176470591</v>
      </c>
      <c r="N39" s="72"/>
      <c r="O39" s="272">
        <f t="shared" ref="O39:O44" si="43">IF(M39="",0,M39*(LOOKUP(I39,$A$8:$D$35)/(LOOKUP(I39,$A$8:$C$35))))</f>
        <v>1.0142647058823531</v>
      </c>
      <c r="P39" s="275">
        <f>O39*N$37</f>
        <v>40.570588235294125</v>
      </c>
      <c r="R39" s="274" t="s">
        <v>96</v>
      </c>
      <c r="S39" s="331">
        <v>2</v>
      </c>
      <c r="T39" s="72" t="str">
        <f t="shared" ref="T39:T44" si="44">IF(S39="","",LOOKUP($S39,$A$8:$B$35))</f>
        <v>Hay</v>
      </c>
      <c r="U39" s="334">
        <v>0.5</v>
      </c>
      <c r="V39" s="30">
        <v>0.05</v>
      </c>
      <c r="W39" s="203">
        <f>IF(S39="","",$T$37*(U39/LOOKUP(S39,$A$8:$E$35)*(1+V39)))</f>
        <v>18.529411764705884</v>
      </c>
      <c r="X39" s="72"/>
      <c r="Y39" s="272">
        <f t="shared" ref="Y39:Y44" si="45">IF(W39="",0,W39*(LOOKUP(S39,$A$8:$D$35)/(LOOKUP(S39,$A$8:$C$35))))</f>
        <v>0.8801470588235295</v>
      </c>
      <c r="Z39" s="275">
        <f>Y39*X$37</f>
        <v>83.613970588235304</v>
      </c>
      <c r="AA39" s="273"/>
      <c r="AB39" s="274" t="s">
        <v>96</v>
      </c>
      <c r="AC39" s="331"/>
      <c r="AD39" s="72" t="str">
        <f t="shared" ref="AD39:AD44" si="46">IF(AC39="","",LOOKUP($AC39,$A$8:$B$35))</f>
        <v/>
      </c>
      <c r="AE39" s="334"/>
      <c r="AF39" s="30"/>
      <c r="AG39" s="203" t="str">
        <f>IF(AC39="","",$AD$37*(AE39/LOOKUP(AC39,$A$8:$E$35)*(1+AF39)))</f>
        <v/>
      </c>
      <c r="AH39" s="72"/>
      <c r="AI39" s="272">
        <f t="shared" ref="AI39:AI44" si="47">IF(AG39="",0,AG39*(LOOKUP(AC39,$A$8:$D$35)/(LOOKUP(AC39,$A$8:$C$35))))</f>
        <v>0</v>
      </c>
      <c r="AJ39" s="275">
        <f>AI39*AH$37</f>
        <v>0</v>
      </c>
      <c r="AL39" s="274" t="s">
        <v>96</v>
      </c>
      <c r="AM39" s="331">
        <v>1</v>
      </c>
      <c r="AN39" s="72" t="str">
        <f t="shared" ref="AN39:AN44" si="48">IF(AM39="","",LOOKUP($AM39,$A$8:$B$35))</f>
        <v>Corn</v>
      </c>
      <c r="AO39" s="334">
        <v>0.5</v>
      </c>
      <c r="AP39" s="30">
        <v>0.01</v>
      </c>
      <c r="AQ39" s="203">
        <f>IF(AM39="","",$AN$37*(AO39/LOOKUP(AM39,$A$8:$E$35)*(1+AP39)))</f>
        <v>19.605882352941176</v>
      </c>
      <c r="AR39" s="72"/>
      <c r="AS39" s="272">
        <f t="shared" ref="AS39:AS44" si="49">IF(AQ39="",0,AQ39*(LOOKUP(AM39,$A$8:$D$35)/(LOOKUP(AM39,$A$8:$C$35))))</f>
        <v>1.2253676470588235</v>
      </c>
      <c r="AT39" s="275">
        <f>AS39*AR$37</f>
        <v>55.141544117647058</v>
      </c>
    </row>
    <row r="40" spans="1:46" ht="13.5" thickBot="1">
      <c r="A40" s="285" t="s">
        <v>137</v>
      </c>
      <c r="B40" s="119"/>
      <c r="C40" s="119"/>
      <c r="D40" s="119"/>
      <c r="E40" s="286" t="s">
        <v>239</v>
      </c>
      <c r="F40" s="287">
        <f>F38*F39</f>
        <v>32.5</v>
      </c>
      <c r="H40" s="274" t="s">
        <v>97</v>
      </c>
      <c r="I40" s="332">
        <v>3</v>
      </c>
      <c r="J40" s="72" t="str">
        <f t="shared" si="42"/>
        <v>Corn stalks</v>
      </c>
      <c r="K40" s="334">
        <v>0.26</v>
      </c>
      <c r="L40" s="30">
        <v>0.1</v>
      </c>
      <c r="M40" s="203">
        <f t="shared" ref="M40:M44" si="50">IF(I40="","",$J$37*(K40/LOOKUP(I40,$A$8:$E$35)*(1+L40)))</f>
        <v>11.797500000000001</v>
      </c>
      <c r="N40" s="72"/>
      <c r="O40" s="272">
        <f t="shared" si="43"/>
        <v>0.35392500000000005</v>
      </c>
      <c r="P40" s="275">
        <f t="shared" ref="P40:P44" si="51">O40*N$37</f>
        <v>14.157000000000002</v>
      </c>
      <c r="R40" s="274" t="s">
        <v>97</v>
      </c>
      <c r="S40" s="332">
        <v>3</v>
      </c>
      <c r="T40" s="72" t="str">
        <f t="shared" si="44"/>
        <v>Corn stalks</v>
      </c>
      <c r="U40" s="334">
        <v>0.25</v>
      </c>
      <c r="V40" s="30">
        <v>0.06</v>
      </c>
      <c r="W40" s="203">
        <f t="shared" ref="W40:W44" si="52">IF(S40="","",$T$37*(U40/LOOKUP(S40,$A$8:$E$35)*(1+V40)))</f>
        <v>9.9375000000000018</v>
      </c>
      <c r="X40" s="72"/>
      <c r="Y40" s="272">
        <f t="shared" si="45"/>
        <v>0.29812500000000003</v>
      </c>
      <c r="Z40" s="275">
        <f t="shared" ref="Z40:Z44" si="53">Y40*X$37</f>
        <v>28.321875000000002</v>
      </c>
      <c r="AA40" s="273"/>
      <c r="AB40" s="274" t="s">
        <v>97</v>
      </c>
      <c r="AC40" s="332"/>
      <c r="AD40" s="72" t="str">
        <f t="shared" si="46"/>
        <v/>
      </c>
      <c r="AE40" s="334"/>
      <c r="AF40" s="30"/>
      <c r="AG40" s="203" t="str">
        <f t="shared" ref="AG40:AG43" si="54">IF(AC40="","",$AD$37*(AE40/LOOKUP(AC40,$A$8:$E$35)*(1+AF40)))</f>
        <v/>
      </c>
      <c r="AH40" s="72"/>
      <c r="AI40" s="272">
        <f t="shared" si="47"/>
        <v>0</v>
      </c>
      <c r="AJ40" s="275">
        <f t="shared" ref="AJ40:AJ44" si="55">AI40*AH$37</f>
        <v>0</v>
      </c>
      <c r="AL40" s="274" t="s">
        <v>97</v>
      </c>
      <c r="AM40" s="332">
        <v>2</v>
      </c>
      <c r="AN40" s="72" t="str">
        <f t="shared" si="48"/>
        <v>Hay</v>
      </c>
      <c r="AO40" s="334">
        <v>0.4</v>
      </c>
      <c r="AP40" s="30">
        <v>0.1</v>
      </c>
      <c r="AQ40" s="203">
        <f t="shared" ref="AQ40:AQ44" si="56">IF(AM40="","",$AN$37*(AO40/LOOKUP(AM40,$A$8:$E$35)*(1+AP40)))</f>
        <v>17.082352941176474</v>
      </c>
      <c r="AR40" s="72"/>
      <c r="AS40" s="272">
        <f t="shared" si="49"/>
        <v>0.8114117647058825</v>
      </c>
      <c r="AT40" s="275">
        <f t="shared" ref="AT40:AT44" si="57">AS40*AR$37</f>
        <v>36.513529411764715</v>
      </c>
    </row>
    <row r="41" spans="1:46" ht="13.5" thickBot="1">
      <c r="H41" s="274" t="s">
        <v>98</v>
      </c>
      <c r="I41" s="332">
        <v>4</v>
      </c>
      <c r="J41" s="72" t="str">
        <f t="shared" si="42"/>
        <v>Corn silage</v>
      </c>
      <c r="K41" s="334">
        <v>0.12</v>
      </c>
      <c r="L41" s="30">
        <v>0.08</v>
      </c>
      <c r="M41" s="203">
        <f t="shared" si="50"/>
        <v>12.219428571428573</v>
      </c>
      <c r="N41" s="72"/>
      <c r="O41" s="272">
        <f t="shared" si="43"/>
        <v>0.21384000000000003</v>
      </c>
      <c r="P41" s="275">
        <f t="shared" si="51"/>
        <v>8.5536000000000012</v>
      </c>
      <c r="R41" s="274" t="s">
        <v>98</v>
      </c>
      <c r="S41" s="332">
        <v>4</v>
      </c>
      <c r="T41" s="72" t="str">
        <f t="shared" si="44"/>
        <v>Corn silage</v>
      </c>
      <c r="U41" s="334">
        <v>0.15</v>
      </c>
      <c r="V41" s="30">
        <v>0.05</v>
      </c>
      <c r="W41" s="203">
        <f t="shared" si="52"/>
        <v>13.500000000000002</v>
      </c>
      <c r="X41" s="72"/>
      <c r="Y41" s="272">
        <f t="shared" si="45"/>
        <v>0.23625000000000004</v>
      </c>
      <c r="Z41" s="275">
        <f t="shared" si="53"/>
        <v>22.443750000000005</v>
      </c>
      <c r="AA41" s="273"/>
      <c r="AB41" s="274" t="s">
        <v>98</v>
      </c>
      <c r="AC41" s="332"/>
      <c r="AD41" s="72" t="str">
        <f t="shared" si="46"/>
        <v/>
      </c>
      <c r="AE41" s="30"/>
      <c r="AF41" s="30"/>
      <c r="AG41" s="203" t="str">
        <f>IF(AC41="","",$AD$37*(AE41/LOOKUP(AC41,$A$8:$E$35)*(1+AF41)))</f>
        <v/>
      </c>
      <c r="AH41" s="72"/>
      <c r="AI41" s="272">
        <f t="shared" si="47"/>
        <v>0</v>
      </c>
      <c r="AJ41" s="275">
        <f t="shared" si="55"/>
        <v>0</v>
      </c>
      <c r="AL41" s="274" t="s">
        <v>98</v>
      </c>
      <c r="AM41" s="332">
        <v>3</v>
      </c>
      <c r="AN41" s="72" t="str">
        <f t="shared" si="48"/>
        <v>Corn stalks</v>
      </c>
      <c r="AO41" s="334">
        <v>0.1</v>
      </c>
      <c r="AP41" s="30">
        <v>0.15</v>
      </c>
      <c r="AQ41" s="203">
        <f t="shared" si="56"/>
        <v>4.7437499999999995</v>
      </c>
      <c r="AR41" s="72"/>
      <c r="AS41" s="272">
        <f t="shared" si="49"/>
        <v>0.14231249999999998</v>
      </c>
      <c r="AT41" s="275">
        <f t="shared" si="57"/>
        <v>6.4040624999999993</v>
      </c>
    </row>
    <row r="42" spans="1:46">
      <c r="A42" s="281" t="s">
        <v>273</v>
      </c>
      <c r="B42" s="282"/>
      <c r="C42" s="282"/>
      <c r="D42" s="282"/>
      <c r="E42" s="282"/>
      <c r="F42" s="283"/>
      <c r="H42" s="274" t="s">
        <v>99</v>
      </c>
      <c r="I42" s="332">
        <v>5</v>
      </c>
      <c r="J42" s="72" t="str">
        <f t="shared" si="42"/>
        <v>mdgs-6-9% fat</v>
      </c>
      <c r="K42" s="334">
        <v>0.12</v>
      </c>
      <c r="L42" s="30">
        <v>0.01</v>
      </c>
      <c r="M42" s="203">
        <f t="shared" si="50"/>
        <v>8.1624489795918365</v>
      </c>
      <c r="N42" s="72"/>
      <c r="O42" s="272">
        <f t="shared" si="43"/>
        <v>0.28568571428571432</v>
      </c>
      <c r="P42" s="275">
        <f t="shared" si="51"/>
        <v>11.427428571428573</v>
      </c>
      <c r="R42" s="274" t="s">
        <v>99</v>
      </c>
      <c r="S42" s="332">
        <v>5</v>
      </c>
      <c r="T42" s="72" t="str">
        <f t="shared" si="44"/>
        <v>mdgs-6-9% fat</v>
      </c>
      <c r="U42" s="334">
        <v>0.1</v>
      </c>
      <c r="V42" s="30">
        <v>0.01</v>
      </c>
      <c r="W42" s="203">
        <f t="shared" si="52"/>
        <v>6.1836734693877551</v>
      </c>
      <c r="X42" s="72"/>
      <c r="Y42" s="272">
        <f t="shared" si="45"/>
        <v>0.21642857142857144</v>
      </c>
      <c r="Z42" s="275">
        <f t="shared" si="53"/>
        <v>20.560714285714287</v>
      </c>
      <c r="AA42" s="273"/>
      <c r="AB42" s="274" t="s">
        <v>99</v>
      </c>
      <c r="AC42" s="332"/>
      <c r="AD42" s="72" t="str">
        <f t="shared" si="46"/>
        <v/>
      </c>
      <c r="AE42" s="334"/>
      <c r="AF42" s="30"/>
      <c r="AG42" s="203" t="str">
        <f t="shared" si="54"/>
        <v/>
      </c>
      <c r="AH42" s="72"/>
      <c r="AI42" s="272">
        <f t="shared" si="47"/>
        <v>0</v>
      </c>
      <c r="AJ42" s="275">
        <f t="shared" si="55"/>
        <v>0</v>
      </c>
      <c r="AL42" s="274" t="s">
        <v>99</v>
      </c>
      <c r="AM42" s="332"/>
      <c r="AN42" s="72" t="str">
        <f t="shared" si="48"/>
        <v/>
      </c>
      <c r="AO42" s="334"/>
      <c r="AP42" s="30"/>
      <c r="AQ42" s="203" t="str">
        <f t="shared" si="56"/>
        <v/>
      </c>
      <c r="AR42" s="72"/>
      <c r="AS42" s="272">
        <f t="shared" si="49"/>
        <v>0</v>
      </c>
      <c r="AT42" s="275">
        <f t="shared" si="57"/>
        <v>0</v>
      </c>
    </row>
    <row r="43" spans="1:46">
      <c r="A43" s="109"/>
      <c r="B43" s="73"/>
      <c r="C43" s="266" t="s">
        <v>143</v>
      </c>
      <c r="D43" s="266" t="s">
        <v>144</v>
      </c>
      <c r="E43" s="73"/>
      <c r="F43" s="127"/>
      <c r="H43" s="274" t="s">
        <v>105</v>
      </c>
      <c r="I43" s="333"/>
      <c r="J43" s="72" t="str">
        <f t="shared" si="42"/>
        <v/>
      </c>
      <c r="K43" s="334"/>
      <c r="L43" s="30"/>
      <c r="M43" s="203" t="str">
        <f t="shared" si="50"/>
        <v/>
      </c>
      <c r="N43" s="72"/>
      <c r="O43" s="272">
        <f t="shared" si="43"/>
        <v>0</v>
      </c>
      <c r="P43" s="275">
        <f t="shared" si="51"/>
        <v>0</v>
      </c>
      <c r="R43" s="274" t="s">
        <v>105</v>
      </c>
      <c r="S43" s="333"/>
      <c r="T43" s="72" t="str">
        <f t="shared" si="44"/>
        <v/>
      </c>
      <c r="U43" s="334"/>
      <c r="V43" s="30"/>
      <c r="W43" s="203" t="str">
        <f t="shared" si="52"/>
        <v/>
      </c>
      <c r="X43" s="72"/>
      <c r="Y43" s="272">
        <f t="shared" si="45"/>
        <v>0</v>
      </c>
      <c r="Z43" s="275">
        <f t="shared" si="53"/>
        <v>0</v>
      </c>
      <c r="AA43" s="273"/>
      <c r="AB43" s="274" t="s">
        <v>105</v>
      </c>
      <c r="AC43" s="333"/>
      <c r="AD43" s="72" t="str">
        <f t="shared" si="46"/>
        <v/>
      </c>
      <c r="AE43" s="334"/>
      <c r="AF43" s="30"/>
      <c r="AG43" s="203" t="str">
        <f t="shared" si="54"/>
        <v/>
      </c>
      <c r="AH43" s="72"/>
      <c r="AI43" s="272">
        <f t="shared" si="47"/>
        <v>0</v>
      </c>
      <c r="AJ43" s="275">
        <f t="shared" si="55"/>
        <v>0</v>
      </c>
      <c r="AL43" s="274" t="s">
        <v>105</v>
      </c>
      <c r="AM43" s="333"/>
      <c r="AN43" s="72" t="str">
        <f t="shared" si="48"/>
        <v/>
      </c>
      <c r="AO43" s="334"/>
      <c r="AP43" s="30"/>
      <c r="AQ43" s="203" t="str">
        <f t="shared" si="56"/>
        <v/>
      </c>
      <c r="AR43" s="72"/>
      <c r="AS43" s="272">
        <f t="shared" si="49"/>
        <v>0</v>
      </c>
      <c r="AT43" s="275">
        <f t="shared" si="57"/>
        <v>0</v>
      </c>
    </row>
    <row r="44" spans="1:46">
      <c r="A44" s="109" t="s">
        <v>138</v>
      </c>
      <c r="B44" s="73"/>
      <c r="C44" s="266" t="s">
        <v>145</v>
      </c>
      <c r="D44" s="288" t="s">
        <v>309</v>
      </c>
      <c r="E44" s="73"/>
      <c r="F44" s="127"/>
      <c r="H44" s="274" t="s">
        <v>106</v>
      </c>
      <c r="I44" s="333"/>
      <c r="J44" s="72" t="str">
        <f t="shared" si="42"/>
        <v/>
      </c>
      <c r="K44" s="334"/>
      <c r="L44" s="30"/>
      <c r="M44" s="203" t="str">
        <f t="shared" si="50"/>
        <v/>
      </c>
      <c r="N44" s="72"/>
      <c r="O44" s="272">
        <f t="shared" si="43"/>
        <v>0</v>
      </c>
      <c r="P44" s="275">
        <f t="shared" si="51"/>
        <v>0</v>
      </c>
      <c r="R44" s="274" t="s">
        <v>106</v>
      </c>
      <c r="S44" s="333"/>
      <c r="T44" s="72" t="str">
        <f t="shared" si="44"/>
        <v/>
      </c>
      <c r="U44" s="334"/>
      <c r="V44" s="30"/>
      <c r="W44" s="203" t="str">
        <f t="shared" si="52"/>
        <v/>
      </c>
      <c r="X44" s="72"/>
      <c r="Y44" s="272">
        <f t="shared" si="45"/>
        <v>0</v>
      </c>
      <c r="Z44" s="275">
        <f t="shared" si="53"/>
        <v>0</v>
      </c>
      <c r="AA44" s="273"/>
      <c r="AB44" s="274" t="s">
        <v>106</v>
      </c>
      <c r="AC44" s="333"/>
      <c r="AD44" s="72" t="str">
        <f t="shared" si="46"/>
        <v/>
      </c>
      <c r="AE44" s="334"/>
      <c r="AF44" s="30"/>
      <c r="AG44" s="203" t="str">
        <f>IF(AC44="","",$AD$37*(AE44/LOOKUP(AC44,$A$8:$E$35)*(1+AF44)))</f>
        <v/>
      </c>
      <c r="AH44" s="72"/>
      <c r="AI44" s="272">
        <f t="shared" si="47"/>
        <v>0</v>
      </c>
      <c r="AJ44" s="275">
        <f t="shared" si="55"/>
        <v>0</v>
      </c>
      <c r="AL44" s="274" t="s">
        <v>106</v>
      </c>
      <c r="AM44" s="333"/>
      <c r="AN44" s="72" t="str">
        <f t="shared" si="48"/>
        <v/>
      </c>
      <c r="AO44" s="334"/>
      <c r="AP44" s="30"/>
      <c r="AQ44" s="203" t="str">
        <f t="shared" si="56"/>
        <v/>
      </c>
      <c r="AR44" s="72"/>
      <c r="AS44" s="272">
        <f t="shared" si="49"/>
        <v>0</v>
      </c>
      <c r="AT44" s="275">
        <f t="shared" si="57"/>
        <v>0</v>
      </c>
    </row>
    <row r="45" spans="1:46">
      <c r="A45" s="109" t="s">
        <v>139</v>
      </c>
      <c r="B45" s="73"/>
      <c r="C45" s="266" t="s">
        <v>146</v>
      </c>
      <c r="D45" s="288" t="s">
        <v>310</v>
      </c>
      <c r="E45" s="73"/>
      <c r="F45" s="127"/>
      <c r="H45" s="274"/>
      <c r="I45" s="145"/>
      <c r="J45" s="276"/>
      <c r="K45" s="277">
        <f>SUM(K39:K44)</f>
        <v>1</v>
      </c>
      <c r="L45" s="278" t="str">
        <f>IF(K45&gt;0,IF(K45=1," ","check %")," ")</f>
        <v xml:space="preserve"> </v>
      </c>
      <c r="M45" s="279"/>
      <c r="N45" s="134"/>
      <c r="O45" s="273">
        <f>SUM(O39:O44)</f>
        <v>1.8677154201680675</v>
      </c>
      <c r="P45" s="280">
        <f>SUM(P39:P44)</f>
        <v>74.708616806722702</v>
      </c>
      <c r="R45" s="274"/>
      <c r="S45" s="145"/>
      <c r="T45" s="276"/>
      <c r="U45" s="277">
        <f>SUM(U39:U44)</f>
        <v>1</v>
      </c>
      <c r="V45" s="278" t="str">
        <f>IF(U45&gt;0,IF(U45=1," ","check %")," ")</f>
        <v xml:space="preserve"> </v>
      </c>
      <c r="W45" s="279"/>
      <c r="X45" s="134"/>
      <c r="Y45" s="273">
        <f>SUM(Y39:Y44)</f>
        <v>1.6309506302521011</v>
      </c>
      <c r="Z45" s="280">
        <f>SUM(Z39:Z44)</f>
        <v>154.94030987394959</v>
      </c>
      <c r="AA45" s="73"/>
      <c r="AB45" s="274"/>
      <c r="AC45" s="145"/>
      <c r="AD45" s="276"/>
      <c r="AE45" s="277">
        <f>SUM(AE39:AE44)</f>
        <v>0</v>
      </c>
      <c r="AF45" s="278" t="str">
        <f>IF(AE45&gt;0,IF(AE45=1," ","check %")," ")</f>
        <v xml:space="preserve"> </v>
      </c>
      <c r="AG45" s="279"/>
      <c r="AH45" s="134"/>
      <c r="AI45" s="273">
        <f>SUM(AI39:AI44)</f>
        <v>0</v>
      </c>
      <c r="AJ45" s="280">
        <f>SUM(AJ39:AJ44)</f>
        <v>0</v>
      </c>
      <c r="AL45" s="274"/>
      <c r="AM45" s="145"/>
      <c r="AN45" s="276"/>
      <c r="AO45" s="277">
        <f>SUM(AO39:AO44)</f>
        <v>1</v>
      </c>
      <c r="AP45" s="278" t="str">
        <f>IF(AO45&gt;0,IF(AO45=1," ","check %")," ")</f>
        <v xml:space="preserve"> </v>
      </c>
      <c r="AQ45" s="279"/>
      <c r="AR45" s="134"/>
      <c r="AS45" s="273">
        <f>SUM(AS39:AS44)</f>
        <v>2.1790919117647061</v>
      </c>
      <c r="AT45" s="280">
        <f>SUM(AT39:AT44)</f>
        <v>98.059136029411761</v>
      </c>
    </row>
    <row r="46" spans="1:46">
      <c r="A46" s="109" t="s">
        <v>140</v>
      </c>
      <c r="B46" s="73"/>
      <c r="C46" s="266" t="s">
        <v>148</v>
      </c>
      <c r="D46" s="288" t="s">
        <v>147</v>
      </c>
      <c r="E46" s="73"/>
      <c r="F46" s="127"/>
      <c r="H46" s="274"/>
      <c r="I46" s="109"/>
      <c r="J46" s="73" t="s">
        <v>71</v>
      </c>
      <c r="K46" s="266" t="s">
        <v>77</v>
      </c>
      <c r="L46" s="266" t="s">
        <v>78</v>
      </c>
      <c r="M46" s="171"/>
      <c r="N46" s="73" t="s">
        <v>286</v>
      </c>
      <c r="O46" s="73"/>
      <c r="P46" s="127"/>
      <c r="R46" s="274"/>
      <c r="S46" s="109"/>
      <c r="T46" s="73" t="s">
        <v>71</v>
      </c>
      <c r="U46" s="266" t="s">
        <v>77</v>
      </c>
      <c r="V46" s="266" t="s">
        <v>78</v>
      </c>
      <c r="W46" s="171"/>
      <c r="X46" s="73" t="s">
        <v>286</v>
      </c>
      <c r="Y46" s="73"/>
      <c r="Z46" s="127"/>
      <c r="AA46" s="143"/>
      <c r="AB46" s="274"/>
      <c r="AC46" s="109"/>
      <c r="AD46" s="73" t="s">
        <v>71</v>
      </c>
      <c r="AE46" s="266" t="s">
        <v>77</v>
      </c>
      <c r="AF46" s="266" t="s">
        <v>78</v>
      </c>
      <c r="AG46" s="171"/>
      <c r="AH46" s="73" t="s">
        <v>286</v>
      </c>
      <c r="AI46" s="73"/>
      <c r="AJ46" s="127"/>
      <c r="AL46" s="274"/>
      <c r="AM46" s="109"/>
      <c r="AN46" s="73" t="s">
        <v>71</v>
      </c>
      <c r="AO46" s="266" t="s">
        <v>77</v>
      </c>
      <c r="AP46" s="266" t="s">
        <v>78</v>
      </c>
      <c r="AQ46" s="171"/>
      <c r="AR46" s="73" t="s">
        <v>286</v>
      </c>
      <c r="AS46" s="73"/>
      <c r="AT46" s="127"/>
    </row>
    <row r="47" spans="1:46">
      <c r="A47" s="109" t="s">
        <v>150</v>
      </c>
      <c r="B47" s="73"/>
      <c r="C47" s="266" t="s">
        <v>151</v>
      </c>
      <c r="D47" s="288" t="s">
        <v>149</v>
      </c>
      <c r="E47" s="73"/>
      <c r="F47" s="127"/>
      <c r="H47" s="274"/>
      <c r="I47" s="109" t="s">
        <v>83</v>
      </c>
      <c r="J47" s="326">
        <v>5</v>
      </c>
      <c r="K47" s="270">
        <f>(IF(I49="",0,((M49*(1-L49))*LOOKUP(I49,$A$8:$E$35)*LOOKUP(I49,$A$8:$F$35)))+(IF(I50="",0,((M50*(1-L50))*LOOKUP(I50,$A$8:$E$35)*LOOKUP(I50,$A$8:$F$35)))+(IF(I51="",0,((M51*(1-L51))*LOOKUP(I51,$A$8:$E$35)*LOOKUP(I51,$A$8:$F$35)))+IF(I52="",0,((M52*(1-L52))*LOOKUP(I52,$A$8:$E$35)*LOOKUP(I52,$A$8:$F$35))+IF(I53="",0,((M53*(1-L53))*LOOKUP(I53,$A$8:$E$35)*LOOKUP(I53,$A$8:$F$35))+IF(I54="",0,((M54*(1-L54))*LOOKUP(I54,$A$8:$E$35)*LOOKUP(I54,$A$8:$F$35))))))))/J47</f>
        <v>0.47212499999999996</v>
      </c>
      <c r="L47" s="270">
        <f>(IF(I49="",0,((M49*(1-L49))*LOOKUP(I49,$A$8:$E$35)*LOOKUP(I49,$A$8:$G$35)))+(IF(I50="",0,((M50*(1-L50))*LOOKUP(I50,$A$8:$E$35)*LOOKUP(I50,$A$8:$G$35)))+(IF(I51="",0,((M51*(1-L51))*LOOKUP(I51,$A$8:$E$35)*LOOKUP(I51,$A$8:$G$35)))+IF(I52="",0,((M52*(1-L52))*LOOKUP(I52,$A$8:$E$35)*LOOKUP(I52,$A$8:$G$35))+IF(I53="",0,((M53*(1-L53))*LOOKUP(I53,$A$8:$E$35)*LOOKUP(I53,$A$8:$G$35))+IF(I54="",0,((M54*(1-L54))*LOOKUP(I54,$A$8:$E$35)*LOOKUP(J54,$A$8:$G$35))))))))/J47</f>
        <v>8.4637500000000004E-2</v>
      </c>
      <c r="M47" s="171"/>
      <c r="N47" s="326">
        <v>45</v>
      </c>
      <c r="O47" s="73" t="s">
        <v>92</v>
      </c>
      <c r="P47" s="127" t="s">
        <v>93</v>
      </c>
      <c r="R47" s="274"/>
      <c r="S47" s="109" t="s">
        <v>83</v>
      </c>
      <c r="T47" s="326">
        <v>30</v>
      </c>
      <c r="U47" s="270">
        <f>(IF(S49="",0,((W49*(1-V49))*LOOKUP(S49,$A$8:$E$35)*LOOKUP(S49,$A$8:$F$35)))+(IF(S50="",0,((W50*(1-V50))*LOOKUP(S50,$A$8:$E$35)*LOOKUP(S50,$A$8:$F$35)))+(IF(S51="",0,((W51*(1-V51))*LOOKUP(S51,$A$8:$E$35)*LOOKUP(S51,$A$8:$F$35)))+IF(S52="",0,((W52*(1-V52))*LOOKUP(S52,$A$8:$E$35)*LOOKUP(S52,$A$8:$F$35))+IF(S53="",0,((W53*(1-V53))*LOOKUP(S53,$A$8:$E$35)*LOOKUP(S53,$A$8:$F$35))+IF(S54="",0,((W54*(1-V54))*LOOKUP(S54,$A$8:$E$35)*LOOKUP(S54,$A$8:$F$35))))))))/T47</f>
        <v>0.55315230000000004</v>
      </c>
      <c r="V47" s="270">
        <f>(IF(S49="",0,((W49*(1-V49))*LOOKUP(S49,$A$8:$E$35)*LOOKUP(S49,$A$8:$G$35)))+(IF(S50="",0,((W50*(1-V50))*LOOKUP(S50,$A$8:$E$35)*LOOKUP(S50,$A$8:$G$35)))+(IF(S51="",0,((W51*(1-V51))*LOOKUP(S51,$A$8:$E$35)*LOOKUP(S51,$A$8:$G$35)))+IF(S52="",0,((W52*(1-V52))*LOOKUP(S52,$A$8:$E$35)*LOOKUP(S52,$A$8:$G$35))+IF(S53="",0,((W53*(1-V53))*LOOKUP(S53,$A$8:$E$35)*LOOKUP(S53,$A$8:$G$35))+IF(S54="",0,((W54*(1-V54))*LOOKUP(S54,$A$8:$E$35)*LOOKUP(T54,$A$8:$G$35))))))))/T47</f>
        <v>0.11574179999999998</v>
      </c>
      <c r="W47" s="171"/>
      <c r="X47" s="326">
        <v>95</v>
      </c>
      <c r="Y47" s="73" t="s">
        <v>92</v>
      </c>
      <c r="Z47" s="127" t="s">
        <v>93</v>
      </c>
      <c r="AA47" s="143"/>
      <c r="AB47" s="274"/>
      <c r="AC47" s="109" t="s">
        <v>83</v>
      </c>
      <c r="AD47" s="326">
        <v>30</v>
      </c>
      <c r="AE47" s="270">
        <f>(IF(AC49="",0,((AG49*(1-AF49))*LOOKUP(AC49,$A$8:$E$35)*LOOKUP(AC49,$A$8:$F$35)))+(IF(AC50="",0,((AG50*(1-AF50))*LOOKUP(AC50,$A$8:$E$35)*LOOKUP(AC50,$A$8:$F$35)))+(IF(AC51="",0,((AG51*(1-AF51))*LOOKUP(AC51,$A$8:$E$35)*LOOKUP(AC51,$A$8:$F$35)))+IF(AC52="",0,((AG52*(1-AF52))*LOOKUP(AC52,$A$8:$E$35)*LOOKUP(AC52,$A$8:$F$35))+IF(AC53="",0,((AG53*(1-AF53))*LOOKUP(AC53,$A$8:$E$35)*LOOKUP(AC53,$A$8:$F$35))+IF(AC54="",0,((AG54*(1-AF54))*LOOKUP(AC54,$A$8:$E$35)*LOOKUP(AC54,$A$8:$F$35))))))))/AD47</f>
        <v>0</v>
      </c>
      <c r="AF47" s="270">
        <f>(IF(AC49="",0,((AG49*(1-AF49))*LOOKUP(AC49,$A$8:$E$35)*LOOKUP(AC49,$A$8:$G$35)))+(IF(AC50="",0,((AG50*(1-AF50))*LOOKUP(AC50,$A$8:$E$35)*LOOKUP(AC50,$A$8:$G$35)))+(IF(AC51="",0,((AG51*(1-AF51))*LOOKUP(AC51,$A$8:$E$35)*LOOKUP(AC51,$A$8:$G$35)))+IF(AC52="",0,((AG52*(1-AF52))*LOOKUP(AC52,$A$8:$E$35)*LOOKUP(AC52,$A$8:$G$35))+IF(AC53="",0,((AG53*(1-AF53))*LOOKUP(AC53,$A$8:$E$35)*LOOKUP(AC53,$A$8:$G$35))+IF(AC54="",0,((AG54*(1-AF54))*LOOKUP(AC54,$A$8:$E$35)*LOOKUP(AD54,$A$8:$G$35))))))))/AD47</f>
        <v>0</v>
      </c>
      <c r="AG47" s="171"/>
      <c r="AH47" s="326"/>
      <c r="AI47" s="73" t="s">
        <v>92</v>
      </c>
      <c r="AJ47" s="127" t="s">
        <v>93</v>
      </c>
      <c r="AL47" s="274"/>
      <c r="AM47" s="109" t="s">
        <v>83</v>
      </c>
      <c r="AN47" s="326">
        <v>30</v>
      </c>
      <c r="AO47" s="270">
        <f>(IF(AM49="",0,((AQ49*(1-AP49))*LOOKUP(AM49,$A$8:$E$35)*LOOKUP(AM49,$A$8:$F$35)))+(IF(AM50="",0,((AQ50*(1-AP50))*LOOKUP(AM50,$A$8:$E$35)*LOOKUP(AM50,$A$8:$F$35)))+(IF(AM51="",0,((AQ51*(1-AP51))*LOOKUP(AM51,$A$8:$E$35)*LOOKUP(AM51,$A$8:$F$35)))+IF(AM52="",0,((AQ52*(1-AP52))*LOOKUP(AM52,$A$8:$E$35)*LOOKUP(AM52,$A$8:$F$35))+IF(AM53="",0,((AQ53*(1-AP53))*LOOKUP(AM53,$A$8:$E$35)*LOOKUP(AM53,$A$8:$F$35))+IF(AM54="",0,((AQ54*(1-AP54))*LOOKUP(AM54,$A$8:$E$35)*LOOKUP(AM54,$A$8:$F$35))))))))/AN47</f>
        <v>0.6919424999999999</v>
      </c>
      <c r="AP47" s="270">
        <f>(IF(AM49="",0,((AQ49*(1-AP49))*LOOKUP(AM49,$A$8:$E$35)*LOOKUP(AM49,$A$8:$G$35)))+(IF(AM50="",0,((AQ50*(1-AP50))*LOOKUP(AM50,$A$8:$E$35)*LOOKUP(AM50,$A$8:$G$35)))+(IF(AM51="",0,((AQ51*(1-AP51))*LOOKUP(AM51,$A$8:$E$35)*LOOKUP(AM51,$A$8:$G$35)))+IF(AM52="",0,((AQ52*(1-AP52))*LOOKUP(AM52,$A$8:$E$35)*LOOKUP(AM52,$A$8:$G$35))+IF(AM53="",0,((AQ53*(1-AP53))*LOOKUP(AM53,$A$8:$E$35)*LOOKUP(AM53,$A$8:$G$35))+IF(AM54="",0,((AQ54*(1-AP54))*LOOKUP(AM54,$A$8:$E$35)*LOOKUP(AN54,$A$8:$G$35))))))))/AN47</f>
        <v>9.5385999999999999E-2</v>
      </c>
      <c r="AQ47" s="171"/>
      <c r="AR47" s="326">
        <v>45</v>
      </c>
      <c r="AS47" s="73" t="s">
        <v>92</v>
      </c>
      <c r="AT47" s="127" t="s">
        <v>93</v>
      </c>
    </row>
    <row r="48" spans="1:46">
      <c r="A48" s="109" t="s">
        <v>141</v>
      </c>
      <c r="B48" s="73"/>
      <c r="C48" s="266" t="s">
        <v>152</v>
      </c>
      <c r="D48" s="288" t="s">
        <v>310</v>
      </c>
      <c r="E48" s="73"/>
      <c r="F48" s="127"/>
      <c r="H48" s="274"/>
      <c r="I48" s="109" t="s">
        <v>42</v>
      </c>
      <c r="J48" s="73"/>
      <c r="K48" s="73" t="s">
        <v>28</v>
      </c>
      <c r="L48" s="138" t="s">
        <v>54</v>
      </c>
      <c r="M48" s="271" t="s">
        <v>130</v>
      </c>
      <c r="N48" s="168"/>
      <c r="O48" s="272"/>
      <c r="P48" s="127"/>
      <c r="R48" s="274"/>
      <c r="S48" s="109" t="s">
        <v>42</v>
      </c>
      <c r="T48" s="73"/>
      <c r="U48" s="73" t="s">
        <v>28</v>
      </c>
      <c r="V48" s="138" t="s">
        <v>54</v>
      </c>
      <c r="W48" s="271" t="s">
        <v>130</v>
      </c>
      <c r="X48" s="168"/>
      <c r="Y48" s="272"/>
      <c r="Z48" s="127"/>
      <c r="AA48" s="273"/>
      <c r="AB48" s="274"/>
      <c r="AC48" s="109" t="s">
        <v>42</v>
      </c>
      <c r="AD48" s="73"/>
      <c r="AE48" s="73" t="s">
        <v>28</v>
      </c>
      <c r="AF48" s="138" t="s">
        <v>54</v>
      </c>
      <c r="AG48" s="271" t="s">
        <v>130</v>
      </c>
      <c r="AH48" s="168"/>
      <c r="AI48" s="272"/>
      <c r="AJ48" s="127"/>
      <c r="AL48" s="274"/>
      <c r="AM48" s="109" t="s">
        <v>42</v>
      </c>
      <c r="AN48" s="73"/>
      <c r="AO48" s="73" t="s">
        <v>28</v>
      </c>
      <c r="AP48" s="138" t="s">
        <v>54</v>
      </c>
      <c r="AQ48" s="271" t="s">
        <v>130</v>
      </c>
      <c r="AR48" s="168"/>
      <c r="AS48" s="272"/>
      <c r="AT48" s="127"/>
    </row>
    <row r="49" spans="1:46" ht="13.5" thickBot="1">
      <c r="A49" s="285" t="s">
        <v>142</v>
      </c>
      <c r="B49" s="119"/>
      <c r="C49" s="289" t="s">
        <v>153</v>
      </c>
      <c r="D49" s="290" t="s">
        <v>310</v>
      </c>
      <c r="E49" s="119"/>
      <c r="F49" s="291"/>
      <c r="H49" s="274" t="s">
        <v>96</v>
      </c>
      <c r="I49" s="331">
        <v>2</v>
      </c>
      <c r="J49" s="72" t="str">
        <f t="shared" ref="J49:J53" si="58">IF(I49="","",LOOKUP($I49,$A$8:$B$35))</f>
        <v>Hay</v>
      </c>
      <c r="K49" s="334">
        <v>0.5</v>
      </c>
      <c r="L49" s="30">
        <v>0.05</v>
      </c>
      <c r="M49" s="203">
        <f>IF(I49="","",$J$47*(K49/LOOKUP(I49,$A$8:$E$35)*(1+L49)))</f>
        <v>3.0882352941176472</v>
      </c>
      <c r="N49" s="72"/>
      <c r="O49" s="272">
        <f t="shared" ref="O49:O54" si="59">IF(M49="",0,M49*(LOOKUP(I49,$A$8:$D$35)/(LOOKUP(I49,$A$8:$C$35))))</f>
        <v>0.14669117647058824</v>
      </c>
      <c r="P49" s="275">
        <f>O49*N$47</f>
        <v>6.601102941176471</v>
      </c>
      <c r="R49" s="274" t="s">
        <v>96</v>
      </c>
      <c r="S49" s="331">
        <v>2</v>
      </c>
      <c r="T49" s="72" t="str">
        <f t="shared" ref="T49:T54" si="60">IF(S49="","",LOOKUP($S49,$A$8:$B$35))</f>
        <v>Hay</v>
      </c>
      <c r="U49" s="334">
        <v>0.6</v>
      </c>
      <c r="V49" s="30">
        <v>0.05</v>
      </c>
      <c r="W49" s="203">
        <f>IF(S49="","",$T$47*(U49/LOOKUP(S49,$A$8:$E$35)*(1+V49)))</f>
        <v>22.235294117647058</v>
      </c>
      <c r="X49" s="72"/>
      <c r="Y49" s="272">
        <f t="shared" ref="Y49:Y54" si="61">IF(W49="",0,W49*(LOOKUP(S49,$A$8:$D$35)/(LOOKUP(S49,$A$8:$C$35))))</f>
        <v>1.0561764705882353</v>
      </c>
      <c r="Z49" s="275">
        <f>Y49*X$47</f>
        <v>100.33676470588235</v>
      </c>
      <c r="AA49" s="273"/>
      <c r="AB49" s="274" t="s">
        <v>96</v>
      </c>
      <c r="AC49" s="331"/>
      <c r="AD49" s="72" t="str">
        <f t="shared" ref="AD49:AD54" si="62">IF(AC49="","",LOOKUP($AC49,$A$8:$B$35))</f>
        <v/>
      </c>
      <c r="AE49" s="334"/>
      <c r="AF49" s="30"/>
      <c r="AG49" s="203" t="str">
        <f>IF(AC49="","",$AD$47*(AE49/LOOKUP(AC49,$A$8:$E$35)*(1+AF49)))</f>
        <v/>
      </c>
      <c r="AH49" s="72"/>
      <c r="AI49" s="272">
        <f t="shared" ref="AI49:AI54" si="63">IF(AG49="",0,AG49*(LOOKUP(AC49,$A$8:$D$35)/(LOOKUP(AC49,$A$8:$C$35))))</f>
        <v>0</v>
      </c>
      <c r="AJ49" s="275">
        <f>AI49*AH$47</f>
        <v>0</v>
      </c>
      <c r="AL49" s="274" t="s">
        <v>96</v>
      </c>
      <c r="AM49" s="331">
        <v>1</v>
      </c>
      <c r="AN49" s="72" t="str">
        <f t="shared" ref="AN49:AN54" si="64">IF(AM49="","",LOOKUP($AM49,$A$8:$B$35))</f>
        <v>Corn</v>
      </c>
      <c r="AO49" s="334">
        <v>0.5</v>
      </c>
      <c r="AP49" s="30">
        <v>0.01</v>
      </c>
      <c r="AQ49" s="203">
        <f>IF(AM49="","",$AN$47*(AO49/LOOKUP(AM49,$A$8:$E$35)*(1+AP49)))</f>
        <v>17.823529411764707</v>
      </c>
      <c r="AR49" s="72"/>
      <c r="AS49" s="272">
        <f t="shared" ref="AS49:AS54" si="65">IF(AQ49="",0,AQ49*(LOOKUP(AM49,$A$8:$D$35)/(LOOKUP(AM49,$A$8:$C$35))))</f>
        <v>1.1139705882352942</v>
      </c>
      <c r="AT49" s="275">
        <f>AS49*AR$47</f>
        <v>50.128676470588239</v>
      </c>
    </row>
    <row r="50" spans="1:46" ht="13.5" thickBot="1">
      <c r="H50" s="274" t="s">
        <v>97</v>
      </c>
      <c r="I50" s="332">
        <v>3</v>
      </c>
      <c r="J50" s="72" t="str">
        <f t="shared" si="58"/>
        <v>Corn stalks</v>
      </c>
      <c r="K50" s="334">
        <v>0.5</v>
      </c>
      <c r="L50" s="30">
        <v>0.1</v>
      </c>
      <c r="M50" s="203">
        <f t="shared" ref="M50:M54" si="66">IF(I50="","",$J$47*(K50/LOOKUP(I50,$A$8:$E$35)*(1+L50)))</f>
        <v>3.4375</v>
      </c>
      <c r="N50" s="72"/>
      <c r="O50" s="272">
        <f t="shared" si="59"/>
        <v>0.10312499999999999</v>
      </c>
      <c r="P50" s="275">
        <f t="shared" ref="P50:P54" si="67">O50*N$47</f>
        <v>4.640625</v>
      </c>
      <c r="R50" s="274" t="s">
        <v>97</v>
      </c>
      <c r="S50" s="332">
        <v>3</v>
      </c>
      <c r="T50" s="72" t="str">
        <f t="shared" si="60"/>
        <v>Corn stalks</v>
      </c>
      <c r="U50" s="334">
        <v>0.15</v>
      </c>
      <c r="V50" s="30">
        <v>0.06</v>
      </c>
      <c r="W50" s="203">
        <f t="shared" ref="W50:W54" si="68">IF(S50="","",$T$47*(U50/LOOKUP(S50,$A$8:$E$35)*(1+V50)))</f>
        <v>5.9624999999999995</v>
      </c>
      <c r="X50" s="72"/>
      <c r="Y50" s="272">
        <f t="shared" si="61"/>
        <v>0.17887499999999998</v>
      </c>
      <c r="Z50" s="275">
        <f t="shared" ref="Z50:Z54" si="69">Y50*X$47</f>
        <v>16.993124999999999</v>
      </c>
      <c r="AA50" s="273"/>
      <c r="AB50" s="274" t="s">
        <v>97</v>
      </c>
      <c r="AC50" s="332"/>
      <c r="AD50" s="72" t="str">
        <f t="shared" si="62"/>
        <v/>
      </c>
      <c r="AE50" s="334"/>
      <c r="AF50" s="30"/>
      <c r="AG50" s="203" t="str">
        <f t="shared" ref="AG50:AG54" si="70">IF(AC50="","",$AD$47*(AE50/LOOKUP(AC50,$A$8:$E$35)*(1+AF50)))</f>
        <v/>
      </c>
      <c r="AH50" s="72"/>
      <c r="AI50" s="272">
        <f t="shared" si="63"/>
        <v>0</v>
      </c>
      <c r="AJ50" s="275">
        <f t="shared" ref="AJ50:AJ54" si="71">AI50*AH$47</f>
        <v>0</v>
      </c>
      <c r="AL50" s="274" t="s">
        <v>97</v>
      </c>
      <c r="AM50" s="332">
        <v>2</v>
      </c>
      <c r="AN50" s="72" t="str">
        <f t="shared" si="64"/>
        <v>Hay</v>
      </c>
      <c r="AO50" s="334">
        <v>0.4</v>
      </c>
      <c r="AP50" s="30">
        <v>0.1</v>
      </c>
      <c r="AQ50" s="203">
        <f>IF(AM50="","",$AN$47*(AO50/LOOKUP(AM50,$A$8:$E$35)*(1+AP50)))</f>
        <v>15.529411764705884</v>
      </c>
      <c r="AR50" s="72"/>
      <c r="AS50" s="272">
        <f t="shared" si="65"/>
        <v>0.73764705882352954</v>
      </c>
      <c r="AT50" s="275">
        <f t="shared" ref="AT50:AT54" si="72">AS50*AR$47</f>
        <v>33.194117647058832</v>
      </c>
    </row>
    <row r="51" spans="1:46">
      <c r="A51" s="292"/>
      <c r="B51" s="293"/>
      <c r="C51" s="293"/>
      <c r="D51" s="293"/>
      <c r="E51" s="293"/>
      <c r="F51" s="294" t="s">
        <v>237</v>
      </c>
      <c r="H51" s="274" t="s">
        <v>98</v>
      </c>
      <c r="I51" s="332"/>
      <c r="J51" s="72" t="str">
        <f t="shared" si="58"/>
        <v/>
      </c>
      <c r="K51" s="334"/>
      <c r="L51" s="30"/>
      <c r="M51" s="203" t="str">
        <f t="shared" si="66"/>
        <v/>
      </c>
      <c r="N51" s="72"/>
      <c r="O51" s="272">
        <f t="shared" si="59"/>
        <v>0</v>
      </c>
      <c r="P51" s="275">
        <f t="shared" si="67"/>
        <v>0</v>
      </c>
      <c r="R51" s="274" t="s">
        <v>98</v>
      </c>
      <c r="S51" s="332">
        <v>4</v>
      </c>
      <c r="T51" s="72" t="str">
        <f t="shared" si="60"/>
        <v>Corn silage</v>
      </c>
      <c r="U51" s="334">
        <v>0.2</v>
      </c>
      <c r="V51" s="30">
        <v>0.05</v>
      </c>
      <c r="W51" s="203">
        <f t="shared" si="68"/>
        <v>18.000000000000004</v>
      </c>
      <c r="X51" s="72"/>
      <c r="Y51" s="272">
        <f t="shared" si="61"/>
        <v>0.31500000000000011</v>
      </c>
      <c r="Z51" s="275">
        <f t="shared" si="69"/>
        <v>29.925000000000011</v>
      </c>
      <c r="AA51" s="273"/>
      <c r="AB51" s="274" t="s">
        <v>98</v>
      </c>
      <c r="AC51" s="332"/>
      <c r="AD51" s="72" t="str">
        <f t="shared" si="62"/>
        <v/>
      </c>
      <c r="AE51" s="334"/>
      <c r="AF51" s="30"/>
      <c r="AG51" s="203" t="str">
        <f t="shared" si="70"/>
        <v/>
      </c>
      <c r="AH51" s="72"/>
      <c r="AI51" s="272">
        <f t="shared" si="63"/>
        <v>0</v>
      </c>
      <c r="AJ51" s="275">
        <f t="shared" si="71"/>
        <v>0</v>
      </c>
      <c r="AL51" s="274" t="s">
        <v>98</v>
      </c>
      <c r="AM51" s="332">
        <v>3</v>
      </c>
      <c r="AN51" s="72" t="str">
        <f t="shared" si="64"/>
        <v>Corn stalks</v>
      </c>
      <c r="AO51" s="334">
        <v>0.1</v>
      </c>
      <c r="AP51" s="30">
        <v>0.15</v>
      </c>
      <c r="AQ51" s="203">
        <f t="shared" ref="AQ51:AQ54" si="73">IF(AM51="","",$AN$47*(AO51/LOOKUP(AM51,$A$8:$E$35)*(1+AP51)))</f>
        <v>4.3125</v>
      </c>
      <c r="AR51" s="72"/>
      <c r="AS51" s="272">
        <f t="shared" si="65"/>
        <v>0.12937499999999999</v>
      </c>
      <c r="AT51" s="275">
        <f t="shared" si="72"/>
        <v>5.8218749999999995</v>
      </c>
    </row>
    <row r="52" spans="1:46">
      <c r="A52" s="295" t="s">
        <v>274</v>
      </c>
      <c r="B52" s="296"/>
      <c r="C52" s="297"/>
      <c r="D52" s="298" t="s">
        <v>29</v>
      </c>
      <c r="E52" s="298" t="s">
        <v>77</v>
      </c>
      <c r="F52" s="299" t="s">
        <v>238</v>
      </c>
      <c r="H52" s="274" t="s">
        <v>99</v>
      </c>
      <c r="I52" s="332"/>
      <c r="J52" s="72" t="str">
        <f t="shared" si="58"/>
        <v/>
      </c>
      <c r="K52" s="334"/>
      <c r="L52" s="30"/>
      <c r="M52" s="203" t="str">
        <f t="shared" si="66"/>
        <v/>
      </c>
      <c r="N52" s="72"/>
      <c r="O52" s="272">
        <f t="shared" si="59"/>
        <v>0</v>
      </c>
      <c r="P52" s="275">
        <f t="shared" si="67"/>
        <v>0</v>
      </c>
      <c r="R52" s="274" t="s">
        <v>99</v>
      </c>
      <c r="S52" s="332">
        <v>5</v>
      </c>
      <c r="T52" s="72" t="str">
        <f t="shared" si="60"/>
        <v>mdgs-6-9% fat</v>
      </c>
      <c r="U52" s="334">
        <v>0.05</v>
      </c>
      <c r="V52" s="30">
        <v>0.01</v>
      </c>
      <c r="W52" s="203">
        <f t="shared" si="68"/>
        <v>3.0918367346938775</v>
      </c>
      <c r="X52" s="72"/>
      <c r="Y52" s="272">
        <f t="shared" si="61"/>
        <v>0.10821428571428572</v>
      </c>
      <c r="Z52" s="275">
        <f t="shared" si="69"/>
        <v>10.280357142857143</v>
      </c>
      <c r="AA52" s="273"/>
      <c r="AB52" s="274" t="s">
        <v>99</v>
      </c>
      <c r="AC52" s="332"/>
      <c r="AD52" s="72" t="str">
        <f t="shared" si="62"/>
        <v/>
      </c>
      <c r="AE52" s="334"/>
      <c r="AF52" s="30"/>
      <c r="AG52" s="203" t="str">
        <f t="shared" si="70"/>
        <v/>
      </c>
      <c r="AH52" s="72"/>
      <c r="AI52" s="272">
        <f t="shared" si="63"/>
        <v>0</v>
      </c>
      <c r="AJ52" s="275">
        <f t="shared" si="71"/>
        <v>0</v>
      </c>
      <c r="AL52" s="274" t="s">
        <v>99</v>
      </c>
      <c r="AM52" s="332"/>
      <c r="AN52" s="72" t="str">
        <f t="shared" si="64"/>
        <v/>
      </c>
      <c r="AO52" s="334"/>
      <c r="AP52" s="30"/>
      <c r="AQ52" s="203" t="str">
        <f t="shared" si="73"/>
        <v/>
      </c>
      <c r="AR52" s="72"/>
      <c r="AS52" s="272">
        <f t="shared" si="65"/>
        <v>0</v>
      </c>
      <c r="AT52" s="275">
        <f t="shared" si="72"/>
        <v>0</v>
      </c>
    </row>
    <row r="53" spans="1:46">
      <c r="A53" s="300" t="s">
        <v>155</v>
      </c>
      <c r="B53" s="301" t="s">
        <v>156</v>
      </c>
      <c r="C53" s="302"/>
      <c r="D53" s="266" t="s">
        <v>157</v>
      </c>
      <c r="E53" s="266" t="s">
        <v>157</v>
      </c>
      <c r="F53" s="267" t="s">
        <v>157</v>
      </c>
      <c r="H53" s="274" t="s">
        <v>105</v>
      </c>
      <c r="I53" s="333"/>
      <c r="J53" s="72" t="str">
        <f t="shared" si="58"/>
        <v/>
      </c>
      <c r="K53" s="334"/>
      <c r="L53" s="30"/>
      <c r="M53" s="203" t="str">
        <f t="shared" si="66"/>
        <v/>
      </c>
      <c r="N53" s="72"/>
      <c r="O53" s="272">
        <f t="shared" si="59"/>
        <v>0</v>
      </c>
      <c r="P53" s="275">
        <f t="shared" si="67"/>
        <v>0</v>
      </c>
      <c r="R53" s="274" t="s">
        <v>105</v>
      </c>
      <c r="S53" s="333"/>
      <c r="T53" s="72" t="str">
        <f t="shared" si="60"/>
        <v/>
      </c>
      <c r="U53" s="334"/>
      <c r="V53" s="30"/>
      <c r="W53" s="203" t="str">
        <f t="shared" si="68"/>
        <v/>
      </c>
      <c r="X53" s="72"/>
      <c r="Y53" s="272">
        <f t="shared" si="61"/>
        <v>0</v>
      </c>
      <c r="Z53" s="275">
        <f t="shared" si="69"/>
        <v>0</v>
      </c>
      <c r="AA53" s="273"/>
      <c r="AB53" s="274" t="s">
        <v>105</v>
      </c>
      <c r="AC53" s="333"/>
      <c r="AD53" s="72" t="str">
        <f t="shared" si="62"/>
        <v/>
      </c>
      <c r="AE53" s="334"/>
      <c r="AF53" s="30"/>
      <c r="AG53" s="203" t="str">
        <f t="shared" si="70"/>
        <v/>
      </c>
      <c r="AH53" s="72"/>
      <c r="AI53" s="272">
        <f t="shared" si="63"/>
        <v>0</v>
      </c>
      <c r="AJ53" s="275">
        <f t="shared" si="71"/>
        <v>0</v>
      </c>
      <c r="AL53" s="274" t="s">
        <v>105</v>
      </c>
      <c r="AM53" s="333"/>
      <c r="AN53" s="72" t="str">
        <f t="shared" si="64"/>
        <v/>
      </c>
      <c r="AO53" s="334"/>
      <c r="AP53" s="30"/>
      <c r="AQ53" s="203" t="str">
        <f t="shared" si="73"/>
        <v/>
      </c>
      <c r="AR53" s="72"/>
      <c r="AS53" s="272">
        <f t="shared" si="65"/>
        <v>0</v>
      </c>
      <c r="AT53" s="275">
        <f t="shared" si="72"/>
        <v>0</v>
      </c>
    </row>
    <row r="54" spans="1:46">
      <c r="A54" s="303" t="s">
        <v>158</v>
      </c>
      <c r="B54" s="304">
        <v>2000</v>
      </c>
      <c r="C54" s="305"/>
      <c r="D54" s="306">
        <v>0.86</v>
      </c>
      <c r="E54" s="306">
        <v>0.65</v>
      </c>
      <c r="F54" s="307">
        <v>0.21</v>
      </c>
      <c r="H54" s="274" t="s">
        <v>106</v>
      </c>
      <c r="I54" s="333"/>
      <c r="J54" s="72" t="str">
        <f>IF(I54="","",LOOKUP($I54,$A$8:$B$35))</f>
        <v/>
      </c>
      <c r="K54" s="334"/>
      <c r="L54" s="30"/>
      <c r="M54" s="203" t="str">
        <f t="shared" si="66"/>
        <v/>
      </c>
      <c r="N54" s="72"/>
      <c r="O54" s="272">
        <f t="shared" si="59"/>
        <v>0</v>
      </c>
      <c r="P54" s="275">
        <f t="shared" si="67"/>
        <v>0</v>
      </c>
      <c r="R54" s="274" t="s">
        <v>106</v>
      </c>
      <c r="S54" s="333"/>
      <c r="T54" s="72" t="str">
        <f t="shared" si="60"/>
        <v/>
      </c>
      <c r="U54" s="334"/>
      <c r="V54" s="30"/>
      <c r="W54" s="203" t="str">
        <f t="shared" si="68"/>
        <v/>
      </c>
      <c r="X54" s="72"/>
      <c r="Y54" s="272">
        <f t="shared" si="61"/>
        <v>0</v>
      </c>
      <c r="Z54" s="275">
        <f t="shared" si="69"/>
        <v>0</v>
      </c>
      <c r="AA54" s="273"/>
      <c r="AB54" s="274" t="s">
        <v>106</v>
      </c>
      <c r="AC54" s="333"/>
      <c r="AD54" s="72" t="str">
        <f t="shared" si="62"/>
        <v/>
      </c>
      <c r="AE54" s="334"/>
      <c r="AF54" s="30"/>
      <c r="AG54" s="203" t="str">
        <f t="shared" si="70"/>
        <v/>
      </c>
      <c r="AH54" s="72"/>
      <c r="AI54" s="272">
        <f t="shared" si="63"/>
        <v>0</v>
      </c>
      <c r="AJ54" s="275">
        <f t="shared" si="71"/>
        <v>0</v>
      </c>
      <c r="AL54" s="274" t="s">
        <v>106</v>
      </c>
      <c r="AM54" s="333"/>
      <c r="AN54" s="72" t="str">
        <f t="shared" si="64"/>
        <v/>
      </c>
      <c r="AO54" s="334"/>
      <c r="AP54" s="30"/>
      <c r="AQ54" s="203" t="str">
        <f t="shared" si="73"/>
        <v/>
      </c>
      <c r="AR54" s="72"/>
      <c r="AS54" s="272">
        <f t="shared" si="65"/>
        <v>0</v>
      </c>
      <c r="AT54" s="275">
        <f t="shared" si="72"/>
        <v>0</v>
      </c>
    </row>
    <row r="55" spans="1:46">
      <c r="A55" s="303" t="s">
        <v>159</v>
      </c>
      <c r="B55" s="304">
        <v>2000</v>
      </c>
      <c r="C55" s="305"/>
      <c r="D55" s="306">
        <v>0.86</v>
      </c>
      <c r="E55" s="306">
        <v>0.57999999999999996</v>
      </c>
      <c r="F55" s="307">
        <v>0.16</v>
      </c>
      <c r="H55" s="274"/>
      <c r="I55" s="145"/>
      <c r="J55" s="276"/>
      <c r="K55" s="277">
        <f>SUM(K49:K54)</f>
        <v>1</v>
      </c>
      <c r="L55" s="278" t="str">
        <f>IF(K55&gt;0,IF(K55=1," ","check %")," ")</f>
        <v xml:space="preserve"> </v>
      </c>
      <c r="M55" s="134"/>
      <c r="N55" s="134"/>
      <c r="O55" s="273">
        <f>SUM(O49:O54)</f>
        <v>0.24981617647058824</v>
      </c>
      <c r="P55" s="280">
        <f>SUM(P49:P54)</f>
        <v>11.241727941176471</v>
      </c>
      <c r="R55" s="274"/>
      <c r="S55" s="145"/>
      <c r="T55" s="276"/>
      <c r="U55" s="277">
        <f>SUM(U49:U54)</f>
        <v>1</v>
      </c>
      <c r="V55" s="278" t="str">
        <f>IF(U55&gt;0,IF(U55=1," ","check %")," ")</f>
        <v xml:space="preserve"> </v>
      </c>
      <c r="W55" s="134"/>
      <c r="X55" s="134"/>
      <c r="Y55" s="273">
        <f>SUM(Y49:Y54)</f>
        <v>1.6582657563025212</v>
      </c>
      <c r="Z55" s="280">
        <f>SUM(Z49:Z54)</f>
        <v>157.53524684873952</v>
      </c>
      <c r="AA55" s="73"/>
      <c r="AB55" s="274"/>
      <c r="AC55" s="145"/>
      <c r="AD55" s="276"/>
      <c r="AE55" s="277">
        <f>SUM(AE49:AE54)</f>
        <v>0</v>
      </c>
      <c r="AF55" s="278" t="str">
        <f>IF(AE55&gt;0,IF(AE55=1," ","check %")," ")</f>
        <v xml:space="preserve"> </v>
      </c>
      <c r="AG55" s="134"/>
      <c r="AH55" s="134"/>
      <c r="AI55" s="273">
        <f>SUM(AI49:AI54)</f>
        <v>0</v>
      </c>
      <c r="AJ55" s="280">
        <f>SUM(AJ49:AJ54)</f>
        <v>0</v>
      </c>
      <c r="AL55" s="274"/>
      <c r="AM55" s="145"/>
      <c r="AN55" s="276"/>
      <c r="AO55" s="277">
        <f>SUM(AO49:AO54)</f>
        <v>1</v>
      </c>
      <c r="AP55" s="278" t="str">
        <f>IF(AO55&gt;0,IF(AO55=1," ","check %")," ")</f>
        <v xml:space="preserve"> </v>
      </c>
      <c r="AQ55" s="134"/>
      <c r="AR55" s="134"/>
      <c r="AS55" s="273">
        <f>SUM(AS49:AS54)</f>
        <v>1.9809926470588237</v>
      </c>
      <c r="AT55" s="280">
        <f>SUM(AT49:AT54)</f>
        <v>89.144669117647084</v>
      </c>
    </row>
    <row r="56" spans="1:46">
      <c r="A56" s="303" t="s">
        <v>160</v>
      </c>
      <c r="B56" s="304">
        <v>2000</v>
      </c>
      <c r="C56" s="305"/>
      <c r="D56" s="306">
        <v>0.86</v>
      </c>
      <c r="E56" s="306">
        <v>0.45</v>
      </c>
      <c r="F56" s="307">
        <v>0.11</v>
      </c>
      <c r="H56" s="274"/>
      <c r="I56" s="109"/>
      <c r="J56" s="73"/>
      <c r="K56" s="73"/>
      <c r="L56" s="73"/>
      <c r="M56" s="308" t="s">
        <v>126</v>
      </c>
      <c r="N56" s="73">
        <f>SUM(N47+N37+N27+N17)</f>
        <v>165</v>
      </c>
      <c r="O56" s="171">
        <f>P56/N56</f>
        <v>1.3871515164247519</v>
      </c>
      <c r="P56" s="275">
        <f>SUM(P55+P45+P35+P25)</f>
        <v>228.88000021008406</v>
      </c>
      <c r="R56" s="274"/>
      <c r="S56" s="109"/>
      <c r="T56" s="73"/>
      <c r="U56" s="73"/>
      <c r="V56" s="73"/>
      <c r="W56" s="308" t="s">
        <v>126</v>
      </c>
      <c r="X56" s="73">
        <f>SUM(X47+X37+X27+X17)</f>
        <v>320</v>
      </c>
      <c r="Y56" s="171">
        <f>Z56/X56</f>
        <v>1.5807095818014707</v>
      </c>
      <c r="Z56" s="275">
        <f>SUM(Z55+Z45+Z35+Z25)</f>
        <v>505.82706617647062</v>
      </c>
      <c r="AA56" s="73"/>
      <c r="AB56" s="274"/>
      <c r="AC56" s="109"/>
      <c r="AD56" s="73"/>
      <c r="AE56" s="73"/>
      <c r="AF56" s="73"/>
      <c r="AG56" s="308" t="s">
        <v>126</v>
      </c>
      <c r="AH56" s="73">
        <f>SUM(AH47+AH37+AH27+AH17)</f>
        <v>30</v>
      </c>
      <c r="AI56" s="171">
        <f>AJ56/AH56</f>
        <v>2.049639705882353</v>
      </c>
      <c r="AJ56" s="275">
        <f>SUM(AJ55+AJ45+AJ35+AJ25)</f>
        <v>61.489191176470591</v>
      </c>
      <c r="AL56" s="274"/>
      <c r="AM56" s="109"/>
      <c r="AN56" s="73"/>
      <c r="AO56" s="73"/>
      <c r="AP56" s="73"/>
      <c r="AQ56" s="308" t="s">
        <v>126</v>
      </c>
      <c r="AR56" s="73">
        <f>SUM(AR47+AR37+AR27+AR17)</f>
        <v>180</v>
      </c>
      <c r="AS56" s="171">
        <f>AT56/AR56</f>
        <v>2.080042279411765</v>
      </c>
      <c r="AT56" s="275">
        <f>SUM(AT55+AT45+AT35+AT25)</f>
        <v>374.40761029411772</v>
      </c>
    </row>
    <row r="57" spans="1:46">
      <c r="A57" s="300" t="s">
        <v>292</v>
      </c>
      <c r="B57" s="72"/>
      <c r="C57" s="72"/>
      <c r="D57" s="306"/>
      <c r="E57" s="306"/>
      <c r="F57" s="307"/>
      <c r="H57" s="274"/>
      <c r="I57" s="214" t="s">
        <v>88</v>
      </c>
      <c r="J57" s="73"/>
      <c r="K57" s="73"/>
      <c r="L57" s="73"/>
      <c r="M57" s="73"/>
      <c r="N57" s="73"/>
      <c r="O57" s="73"/>
      <c r="P57" s="127"/>
      <c r="R57" s="274"/>
      <c r="S57" s="214" t="s">
        <v>88</v>
      </c>
      <c r="T57" s="73"/>
      <c r="U57" s="73"/>
      <c r="V57" s="73"/>
      <c r="W57" s="73"/>
      <c r="X57" s="73"/>
      <c r="Y57" s="73"/>
      <c r="Z57" s="127"/>
      <c r="AA57" s="73"/>
      <c r="AB57" s="274"/>
      <c r="AC57" s="214" t="s">
        <v>88</v>
      </c>
      <c r="AD57" s="73"/>
      <c r="AE57" s="73"/>
      <c r="AF57" s="73"/>
      <c r="AG57" s="73"/>
      <c r="AH57" s="73"/>
      <c r="AI57" s="73"/>
      <c r="AJ57" s="127"/>
      <c r="AL57" s="274"/>
      <c r="AM57" s="214" t="s">
        <v>88</v>
      </c>
      <c r="AN57" s="73"/>
      <c r="AO57" s="73"/>
      <c r="AP57" s="73"/>
      <c r="AQ57" s="73"/>
      <c r="AR57" s="73"/>
      <c r="AS57" s="73"/>
      <c r="AT57" s="127"/>
    </row>
    <row r="58" spans="1:46">
      <c r="A58" s="303" t="s">
        <v>161</v>
      </c>
      <c r="B58" s="304">
        <v>2000</v>
      </c>
      <c r="C58" s="305"/>
      <c r="D58" s="306">
        <v>0.86</v>
      </c>
      <c r="E58" s="306">
        <v>0.63</v>
      </c>
      <c r="F58" s="307">
        <v>0.14000000000000001</v>
      </c>
      <c r="H58" s="274"/>
      <c r="I58" s="109"/>
      <c r="J58" s="73" t="s">
        <v>86</v>
      </c>
      <c r="K58" s="73"/>
      <c r="L58" s="72" t="s">
        <v>40</v>
      </c>
      <c r="M58" s="72"/>
      <c r="N58" s="73" t="s">
        <v>286</v>
      </c>
      <c r="O58" s="73"/>
      <c r="P58" s="127"/>
      <c r="R58" s="274"/>
      <c r="S58" s="109"/>
      <c r="T58" s="73" t="s">
        <v>86</v>
      </c>
      <c r="U58" s="73"/>
      <c r="V58" s="72" t="s">
        <v>40</v>
      </c>
      <c r="W58" s="72"/>
      <c r="X58" s="73" t="s">
        <v>286</v>
      </c>
      <c r="Y58" s="73"/>
      <c r="Z58" s="127"/>
      <c r="AA58" s="73"/>
      <c r="AB58" s="274"/>
      <c r="AC58" s="109"/>
      <c r="AD58" s="73" t="s">
        <v>86</v>
      </c>
      <c r="AE58" s="73"/>
      <c r="AF58" s="72" t="s">
        <v>40</v>
      </c>
      <c r="AG58" s="72"/>
      <c r="AH58" s="73" t="s">
        <v>286</v>
      </c>
      <c r="AI58" s="73"/>
      <c r="AJ58" s="127"/>
      <c r="AL58" s="274"/>
      <c r="AM58" s="109"/>
      <c r="AN58" s="73" t="s">
        <v>86</v>
      </c>
      <c r="AO58" s="73"/>
      <c r="AP58" s="72" t="s">
        <v>40</v>
      </c>
      <c r="AQ58" s="72"/>
      <c r="AR58" s="73" t="s">
        <v>286</v>
      </c>
      <c r="AS58" s="73"/>
      <c r="AT58" s="127"/>
    </row>
    <row r="59" spans="1:46">
      <c r="A59" s="303" t="s">
        <v>162</v>
      </c>
      <c r="B59" s="304">
        <v>2000</v>
      </c>
      <c r="C59" s="305"/>
      <c r="D59" s="306">
        <v>0.86</v>
      </c>
      <c r="E59" s="306">
        <v>0.57999999999999996</v>
      </c>
      <c r="F59" s="307">
        <v>0.105</v>
      </c>
      <c r="H59" s="274"/>
      <c r="I59" s="109"/>
      <c r="J59" s="326">
        <v>3</v>
      </c>
      <c r="K59" s="72"/>
      <c r="L59" s="246">
        <v>5</v>
      </c>
      <c r="M59" s="72"/>
      <c r="N59" s="326">
        <v>65</v>
      </c>
      <c r="O59" s="72"/>
      <c r="P59" s="268">
        <f>J59*L59</f>
        <v>15</v>
      </c>
      <c r="R59" s="274"/>
      <c r="S59" s="109"/>
      <c r="T59" s="326">
        <v>3</v>
      </c>
      <c r="U59" s="72"/>
      <c r="V59" s="246">
        <v>5</v>
      </c>
      <c r="W59" s="72"/>
      <c r="X59" s="326">
        <v>45</v>
      </c>
      <c r="Y59" s="72"/>
      <c r="Z59" s="268">
        <f>T59*V59</f>
        <v>15</v>
      </c>
      <c r="AA59" s="73"/>
      <c r="AB59" s="274"/>
      <c r="AC59" s="109"/>
      <c r="AD59" s="326">
        <v>3</v>
      </c>
      <c r="AE59" s="72"/>
      <c r="AF59" s="246">
        <v>5</v>
      </c>
      <c r="AG59" s="72"/>
      <c r="AH59" s="326">
        <v>35</v>
      </c>
      <c r="AI59" s="72"/>
      <c r="AJ59" s="268">
        <f>AD59*AF59</f>
        <v>15</v>
      </c>
      <c r="AL59" s="274"/>
      <c r="AM59" s="109"/>
      <c r="AN59" s="326">
        <v>3</v>
      </c>
      <c r="AO59" s="72"/>
      <c r="AP59" s="246">
        <v>5</v>
      </c>
      <c r="AQ59" s="72"/>
      <c r="AR59" s="326">
        <v>65</v>
      </c>
      <c r="AS59" s="72"/>
      <c r="AT59" s="268">
        <f>AN59*AP59</f>
        <v>15</v>
      </c>
    </row>
    <row r="60" spans="1:46">
      <c r="A60" s="303" t="s">
        <v>163</v>
      </c>
      <c r="B60" s="304">
        <v>2000</v>
      </c>
      <c r="C60" s="305"/>
      <c r="D60" s="306">
        <v>0.86</v>
      </c>
      <c r="E60" s="306">
        <v>0.54</v>
      </c>
      <c r="F60" s="307">
        <v>0.08</v>
      </c>
      <c r="H60" s="274"/>
      <c r="I60" s="109"/>
      <c r="J60" s="326"/>
      <c r="K60" s="72"/>
      <c r="L60" s="246"/>
      <c r="M60" s="72"/>
      <c r="N60" s="326"/>
      <c r="O60" s="72"/>
      <c r="P60" s="268">
        <f>J60*L60*O60</f>
        <v>0</v>
      </c>
      <c r="R60" s="274"/>
      <c r="S60" s="109"/>
      <c r="T60" s="326"/>
      <c r="U60" s="72"/>
      <c r="V60" s="246"/>
      <c r="W60" s="72"/>
      <c r="X60" s="326"/>
      <c r="Y60" s="72"/>
      <c r="Z60" s="268">
        <f>T60*V60*Y60</f>
        <v>0</v>
      </c>
      <c r="AA60" s="73"/>
      <c r="AB60" s="274"/>
      <c r="AC60" s="109"/>
      <c r="AD60" s="326"/>
      <c r="AE60" s="72"/>
      <c r="AF60" s="246"/>
      <c r="AG60" s="72"/>
      <c r="AH60" s="326"/>
      <c r="AI60" s="72"/>
      <c r="AJ60" s="268">
        <f>AD60*AF60*AI60</f>
        <v>0</v>
      </c>
      <c r="AL60" s="274"/>
      <c r="AM60" s="109"/>
      <c r="AN60" s="326"/>
      <c r="AO60" s="72"/>
      <c r="AP60" s="246"/>
      <c r="AQ60" s="72"/>
      <c r="AR60" s="326"/>
      <c r="AS60" s="72"/>
      <c r="AT60" s="268">
        <f>AN60*AP60*AS60</f>
        <v>0</v>
      </c>
    </row>
    <row r="61" spans="1:46">
      <c r="A61" s="303" t="s">
        <v>164</v>
      </c>
      <c r="B61" s="304">
        <v>2000</v>
      </c>
      <c r="C61" s="305"/>
      <c r="D61" s="306">
        <v>0.86</v>
      </c>
      <c r="E61" s="306">
        <v>0.48</v>
      </c>
      <c r="F61" s="307">
        <v>0.06</v>
      </c>
      <c r="H61" s="274"/>
      <c r="I61" s="109"/>
      <c r="J61" s="326"/>
      <c r="K61" s="72"/>
      <c r="L61" s="246"/>
      <c r="M61" s="72"/>
      <c r="N61" s="326"/>
      <c r="O61" s="72"/>
      <c r="P61" s="268">
        <f>J61*L61*O61</f>
        <v>0</v>
      </c>
      <c r="R61" s="274"/>
      <c r="S61" s="109"/>
      <c r="T61" s="326"/>
      <c r="U61" s="72"/>
      <c r="V61" s="246"/>
      <c r="W61" s="72"/>
      <c r="X61" s="326"/>
      <c r="Y61" s="72"/>
      <c r="Z61" s="268">
        <f>T61*V61*Y61</f>
        <v>0</v>
      </c>
      <c r="AA61" s="73"/>
      <c r="AB61" s="274"/>
      <c r="AC61" s="109"/>
      <c r="AD61" s="326"/>
      <c r="AE61" s="72"/>
      <c r="AF61" s="246"/>
      <c r="AG61" s="72"/>
      <c r="AH61" s="326"/>
      <c r="AI61" s="72"/>
      <c r="AJ61" s="268">
        <f>AD61*AF61*AI61</f>
        <v>0</v>
      </c>
      <c r="AL61" s="274"/>
      <c r="AM61" s="109"/>
      <c r="AN61" s="326"/>
      <c r="AO61" s="72"/>
      <c r="AP61" s="246"/>
      <c r="AQ61" s="72"/>
      <c r="AR61" s="326"/>
      <c r="AS61" s="72"/>
      <c r="AT61" s="268">
        <f>AN61*AP61*AS61</f>
        <v>0</v>
      </c>
    </row>
    <row r="62" spans="1:46">
      <c r="A62" s="300" t="s">
        <v>165</v>
      </c>
      <c r="B62" s="72"/>
      <c r="C62" s="72"/>
      <c r="D62" s="306"/>
      <c r="E62" s="306"/>
      <c r="F62" s="307"/>
      <c r="H62" s="274"/>
      <c r="I62" s="109"/>
      <c r="J62" s="326"/>
      <c r="K62" s="72"/>
      <c r="L62" s="246"/>
      <c r="M62" s="72"/>
      <c r="N62" s="326"/>
      <c r="O62" s="72"/>
      <c r="P62" s="268">
        <f>J62*L62*O62</f>
        <v>0</v>
      </c>
      <c r="R62" s="274"/>
      <c r="S62" s="109"/>
      <c r="T62" s="326"/>
      <c r="U62" s="72"/>
      <c r="V62" s="246"/>
      <c r="W62" s="72"/>
      <c r="X62" s="326"/>
      <c r="Y62" s="72"/>
      <c r="Z62" s="268">
        <f>T62*V62*Y62</f>
        <v>0</v>
      </c>
      <c r="AA62" s="73"/>
      <c r="AB62" s="274"/>
      <c r="AC62" s="109"/>
      <c r="AD62" s="326"/>
      <c r="AE62" s="72"/>
      <c r="AF62" s="246"/>
      <c r="AG62" s="72"/>
      <c r="AH62" s="326"/>
      <c r="AI62" s="72"/>
      <c r="AJ62" s="268">
        <f>AD62*AF62*AI62</f>
        <v>0</v>
      </c>
      <c r="AL62" s="274"/>
      <c r="AM62" s="109"/>
      <c r="AN62" s="326"/>
      <c r="AO62" s="72"/>
      <c r="AP62" s="246"/>
      <c r="AQ62" s="72"/>
      <c r="AR62" s="326"/>
      <c r="AS62" s="72"/>
      <c r="AT62" s="268">
        <f>AN62*AP62*AS62</f>
        <v>0</v>
      </c>
    </row>
    <row r="63" spans="1:46">
      <c r="A63" s="303" t="s">
        <v>166</v>
      </c>
      <c r="B63" s="304">
        <v>2000</v>
      </c>
      <c r="C63" s="305"/>
      <c r="D63" s="306">
        <v>0.86</v>
      </c>
      <c r="E63" s="306">
        <v>0.63</v>
      </c>
      <c r="F63" s="307">
        <v>0.16500000000000001</v>
      </c>
      <c r="H63" s="274"/>
      <c r="I63" s="109"/>
      <c r="J63" s="73"/>
      <c r="K63" s="73"/>
      <c r="L63" s="73"/>
      <c r="M63" s="308" t="s">
        <v>264</v>
      </c>
      <c r="N63" s="73">
        <f>+SUM(N59:N62)</f>
        <v>65</v>
      </c>
      <c r="O63" s="73"/>
      <c r="P63" s="268">
        <f>SUM(P59:P62)</f>
        <v>15</v>
      </c>
      <c r="R63" s="274"/>
      <c r="S63" s="109"/>
      <c r="T63" s="73"/>
      <c r="U63" s="73"/>
      <c r="V63" s="73"/>
      <c r="W63" s="308" t="s">
        <v>264</v>
      </c>
      <c r="X63" s="73">
        <f>+SUM(X59:X62)</f>
        <v>45</v>
      </c>
      <c r="Y63" s="73"/>
      <c r="Z63" s="268">
        <f>SUM(Z59:Z62)</f>
        <v>15</v>
      </c>
      <c r="AA63" s="73"/>
      <c r="AB63" s="274"/>
      <c r="AC63" s="109"/>
      <c r="AD63" s="73"/>
      <c r="AE63" s="73"/>
      <c r="AF63" s="73"/>
      <c r="AG63" s="308" t="s">
        <v>264</v>
      </c>
      <c r="AH63" s="73">
        <f>+SUM(AH59:AH62)</f>
        <v>35</v>
      </c>
      <c r="AI63" s="73"/>
      <c r="AJ63" s="268">
        <f>SUM(AJ59:AJ62)</f>
        <v>15</v>
      </c>
      <c r="AL63" s="274"/>
      <c r="AM63" s="109"/>
      <c r="AN63" s="73"/>
      <c r="AO63" s="73"/>
      <c r="AP63" s="73"/>
      <c r="AQ63" s="308" t="s">
        <v>264</v>
      </c>
      <c r="AR63" s="73">
        <f>+SUM(AR59:AR62)</f>
        <v>65</v>
      </c>
      <c r="AS63" s="73"/>
      <c r="AT63" s="268">
        <f>SUM(AT59:AT62)</f>
        <v>15</v>
      </c>
    </row>
    <row r="64" spans="1:46">
      <c r="A64" s="303" t="s">
        <v>167</v>
      </c>
      <c r="B64" s="304">
        <v>2000</v>
      </c>
      <c r="C64" s="305"/>
      <c r="D64" s="306">
        <v>0.86</v>
      </c>
      <c r="E64" s="306">
        <v>0.54500000000000004</v>
      </c>
      <c r="F64" s="307">
        <v>0.12</v>
      </c>
      <c r="I64" s="214" t="s">
        <v>89</v>
      </c>
      <c r="J64" s="73"/>
      <c r="K64" s="73"/>
      <c r="L64" s="73"/>
      <c r="M64" s="73"/>
      <c r="N64" s="73">
        <f>N63+N56+N13</f>
        <v>410</v>
      </c>
      <c r="O64" s="309" t="str">
        <f>IF((N63+N56+N13)&gt;365,"Feed days &gt;365","")</f>
        <v>Feed days &gt;365</v>
      </c>
      <c r="P64" s="127"/>
      <c r="S64" s="214" t="s">
        <v>89</v>
      </c>
      <c r="T64" s="73"/>
      <c r="U64" s="73"/>
      <c r="V64" s="73"/>
      <c r="W64" s="73"/>
      <c r="X64" s="73">
        <f>X63+X56+X13</f>
        <v>365</v>
      </c>
      <c r="Y64" s="309" t="str">
        <f>IF((X63+X56+X13)&gt;365,"Feed days &gt;365","")</f>
        <v/>
      </c>
      <c r="Z64" s="127"/>
      <c r="AA64" s="73"/>
      <c r="AC64" s="214" t="s">
        <v>89</v>
      </c>
      <c r="AD64" s="73"/>
      <c r="AE64" s="73"/>
      <c r="AF64" s="73"/>
      <c r="AG64" s="73"/>
      <c r="AH64" s="73">
        <f>AH63+AH56+AH13</f>
        <v>365</v>
      </c>
      <c r="AI64" s="309" t="str">
        <f>IF((AH63+AH56+AH13)&gt;365,"Feed days &gt;365","")</f>
        <v/>
      </c>
      <c r="AJ64" s="127"/>
      <c r="AM64" s="214" t="s">
        <v>89</v>
      </c>
      <c r="AN64" s="73"/>
      <c r="AO64" s="73"/>
      <c r="AP64" s="73"/>
      <c r="AQ64" s="73"/>
      <c r="AR64" s="73">
        <f>AR63+AR56+AR13</f>
        <v>335</v>
      </c>
      <c r="AS64" s="309" t="str">
        <f>IF((AR63+AR56+AR13)&gt;365,"Feed days &gt;365","")</f>
        <v/>
      </c>
      <c r="AT64" s="127"/>
    </row>
    <row r="65" spans="1:46">
      <c r="A65" s="303" t="s">
        <v>168</v>
      </c>
      <c r="B65" s="304">
        <v>2000</v>
      </c>
      <c r="C65" s="305"/>
      <c r="D65" s="306">
        <v>0.86</v>
      </c>
      <c r="E65" s="306">
        <v>0.495</v>
      </c>
      <c r="F65" s="307">
        <v>9.7500000000000003E-2</v>
      </c>
      <c r="I65" s="109" t="s">
        <v>65</v>
      </c>
      <c r="J65" s="73"/>
      <c r="K65" s="73" t="s">
        <v>102</v>
      </c>
      <c r="L65" s="73"/>
      <c r="M65" s="73"/>
      <c r="N65" s="73" t="s">
        <v>286</v>
      </c>
      <c r="O65" s="73"/>
      <c r="P65" s="127"/>
      <c r="S65" s="109" t="s">
        <v>65</v>
      </c>
      <c r="T65" s="73"/>
      <c r="U65" s="73" t="s">
        <v>102</v>
      </c>
      <c r="V65" s="73"/>
      <c r="W65" s="73"/>
      <c r="X65" s="73" t="s">
        <v>286</v>
      </c>
      <c r="Y65" s="73"/>
      <c r="Z65" s="127"/>
      <c r="AA65" s="73"/>
      <c r="AC65" s="109" t="s">
        <v>65</v>
      </c>
      <c r="AD65" s="73"/>
      <c r="AE65" s="73" t="s">
        <v>102</v>
      </c>
      <c r="AF65" s="73"/>
      <c r="AG65" s="73"/>
      <c r="AH65" s="73" t="s">
        <v>286</v>
      </c>
      <c r="AI65" s="73"/>
      <c r="AJ65" s="127"/>
      <c r="AM65" s="109" t="s">
        <v>65</v>
      </c>
      <c r="AN65" s="73"/>
      <c r="AO65" s="73" t="s">
        <v>102</v>
      </c>
      <c r="AP65" s="73"/>
      <c r="AQ65" s="73"/>
      <c r="AR65" s="73" t="s">
        <v>286</v>
      </c>
      <c r="AS65" s="73"/>
      <c r="AT65" s="127"/>
    </row>
    <row r="66" spans="1:46">
      <c r="A66" s="300" t="s">
        <v>291</v>
      </c>
      <c r="B66" s="72"/>
      <c r="C66" s="72"/>
      <c r="D66" s="306"/>
      <c r="E66" s="306"/>
      <c r="F66" s="307"/>
      <c r="I66" s="336">
        <v>600</v>
      </c>
      <c r="J66" s="73"/>
      <c r="K66" s="335">
        <v>4</v>
      </c>
      <c r="L66" s="73" t="s">
        <v>327</v>
      </c>
      <c r="M66" s="73"/>
      <c r="N66" s="326">
        <v>365</v>
      </c>
      <c r="O66" s="72"/>
      <c r="P66" s="268">
        <f>I66/2000*K66/16*N66</f>
        <v>27.375</v>
      </c>
      <c r="S66" s="336">
        <v>600</v>
      </c>
      <c r="T66" s="73"/>
      <c r="U66" s="335">
        <v>4</v>
      </c>
      <c r="V66" s="73" t="s">
        <v>327</v>
      </c>
      <c r="W66" s="73"/>
      <c r="X66" s="326">
        <v>365</v>
      </c>
      <c r="Y66" s="72"/>
      <c r="Z66" s="268">
        <f>S66/2000*U66/16*X66</f>
        <v>27.375</v>
      </c>
      <c r="AA66" s="73"/>
      <c r="AC66" s="336">
        <v>600</v>
      </c>
      <c r="AD66" s="73"/>
      <c r="AE66" s="335">
        <v>4</v>
      </c>
      <c r="AF66" s="73" t="s">
        <v>327</v>
      </c>
      <c r="AG66" s="73"/>
      <c r="AH66" s="326">
        <v>365</v>
      </c>
      <c r="AI66" s="72"/>
      <c r="AJ66" s="268">
        <f>AC66/2000*AE66/16*AH66</f>
        <v>27.375</v>
      </c>
      <c r="AM66" s="336">
        <v>600</v>
      </c>
      <c r="AN66" s="73"/>
      <c r="AO66" s="335">
        <v>4</v>
      </c>
      <c r="AP66" s="73" t="s">
        <v>327</v>
      </c>
      <c r="AQ66" s="73"/>
      <c r="AR66" s="326">
        <v>365</v>
      </c>
      <c r="AS66" s="72"/>
      <c r="AT66" s="268">
        <f>AM66/2000*AO66/16*AR66</f>
        <v>27.375</v>
      </c>
    </row>
    <row r="67" spans="1:46">
      <c r="A67" s="303" t="s">
        <v>169</v>
      </c>
      <c r="B67" s="304">
        <v>2000</v>
      </c>
      <c r="C67" s="305"/>
      <c r="D67" s="306">
        <v>0.86</v>
      </c>
      <c r="E67" s="306">
        <v>0.63</v>
      </c>
      <c r="F67" s="307">
        <v>0.09</v>
      </c>
      <c r="I67" s="336"/>
      <c r="J67" s="73"/>
      <c r="K67" s="335"/>
      <c r="L67" s="73" t="s">
        <v>327</v>
      </c>
      <c r="M67" s="73"/>
      <c r="N67" s="326"/>
      <c r="O67" s="72"/>
      <c r="P67" s="268">
        <f>I67/2000*K67/16*N67</f>
        <v>0</v>
      </c>
      <c r="S67" s="336"/>
      <c r="T67" s="73"/>
      <c r="U67" s="335"/>
      <c r="V67" s="73" t="s">
        <v>327</v>
      </c>
      <c r="W67" s="73"/>
      <c r="X67" s="326"/>
      <c r="Y67" s="72"/>
      <c r="Z67" s="268">
        <f>S67/2000*U67/16*X67</f>
        <v>0</v>
      </c>
      <c r="AA67" s="73"/>
      <c r="AC67" s="336"/>
      <c r="AD67" s="73"/>
      <c r="AE67" s="335"/>
      <c r="AF67" s="73" t="s">
        <v>327</v>
      </c>
      <c r="AG67" s="73"/>
      <c r="AH67" s="326"/>
      <c r="AI67" s="72"/>
      <c r="AJ67" s="268">
        <f>AC67/2000*AE67/16*AH67</f>
        <v>0</v>
      </c>
      <c r="AM67" s="336"/>
      <c r="AN67" s="73"/>
      <c r="AO67" s="335"/>
      <c r="AP67" s="73" t="s">
        <v>327</v>
      </c>
      <c r="AQ67" s="73"/>
      <c r="AR67" s="326"/>
      <c r="AS67" s="72"/>
      <c r="AT67" s="268">
        <f>AM67/2000*AO67/16*AR67</f>
        <v>0</v>
      </c>
    </row>
    <row r="68" spans="1:46">
      <c r="A68" s="303" t="s">
        <v>170</v>
      </c>
      <c r="B68" s="304">
        <v>2000</v>
      </c>
      <c r="C68" s="305"/>
      <c r="D68" s="306">
        <v>0.86</v>
      </c>
      <c r="E68" s="306">
        <v>0.6</v>
      </c>
      <c r="F68" s="307">
        <v>7.0000000000000007E-2</v>
      </c>
      <c r="I68" s="336"/>
      <c r="J68" s="73"/>
      <c r="K68" s="335"/>
      <c r="L68" s="73" t="s">
        <v>327</v>
      </c>
      <c r="M68" s="73"/>
      <c r="N68" s="326"/>
      <c r="O68" s="72"/>
      <c r="P68" s="268">
        <f>I68/2000*K68/16*N68</f>
        <v>0</v>
      </c>
      <c r="S68" s="336"/>
      <c r="T68" s="73"/>
      <c r="U68" s="335"/>
      <c r="V68" s="73" t="s">
        <v>327</v>
      </c>
      <c r="W68" s="73"/>
      <c r="X68" s="326"/>
      <c r="Y68" s="72"/>
      <c r="Z68" s="268">
        <f>S68/2000*U68/16*X68</f>
        <v>0</v>
      </c>
      <c r="AA68" s="73"/>
      <c r="AC68" s="336"/>
      <c r="AD68" s="73"/>
      <c r="AE68" s="335"/>
      <c r="AF68" s="73" t="s">
        <v>327</v>
      </c>
      <c r="AG68" s="73"/>
      <c r="AH68" s="326"/>
      <c r="AI68" s="72"/>
      <c r="AJ68" s="268">
        <f>AC68/2000*AE68/16*AH68</f>
        <v>0</v>
      </c>
      <c r="AM68" s="336"/>
      <c r="AN68" s="73"/>
      <c r="AO68" s="335"/>
      <c r="AP68" s="73" t="s">
        <v>327</v>
      </c>
      <c r="AQ68" s="73"/>
      <c r="AR68" s="326"/>
      <c r="AS68" s="72"/>
      <c r="AT68" s="268">
        <f>AM68/2000*AO68/16*AR68</f>
        <v>0</v>
      </c>
    </row>
    <row r="69" spans="1:46">
      <c r="A69" s="303" t="s">
        <v>171</v>
      </c>
      <c r="B69" s="304">
        <v>2000</v>
      </c>
      <c r="C69" s="305"/>
      <c r="D69" s="306">
        <v>0.86</v>
      </c>
      <c r="E69" s="306">
        <v>0.56000000000000005</v>
      </c>
      <c r="F69" s="307">
        <v>0.05</v>
      </c>
      <c r="I69" s="109"/>
      <c r="J69" s="73"/>
      <c r="K69" s="73"/>
      <c r="L69" s="73"/>
      <c r="M69" s="73"/>
      <c r="N69" s="73"/>
      <c r="O69" s="73" t="s">
        <v>288</v>
      </c>
      <c r="P69" s="268">
        <f>SUM(P66:P68)</f>
        <v>27.375</v>
      </c>
      <c r="S69" s="109"/>
      <c r="T69" s="73"/>
      <c r="U69" s="73"/>
      <c r="V69" s="73"/>
      <c r="W69" s="73"/>
      <c r="X69" s="73"/>
      <c r="Y69" s="73" t="s">
        <v>288</v>
      </c>
      <c r="Z69" s="268">
        <f>SUM(Z66:Z68)</f>
        <v>27.375</v>
      </c>
      <c r="AA69" s="73"/>
      <c r="AC69" s="109"/>
      <c r="AD69" s="73"/>
      <c r="AE69" s="73"/>
      <c r="AF69" s="73"/>
      <c r="AG69" s="73"/>
      <c r="AH69" s="73"/>
      <c r="AI69" s="73" t="s">
        <v>288</v>
      </c>
      <c r="AJ69" s="268">
        <f>SUM(AJ66:AJ68)</f>
        <v>27.375</v>
      </c>
      <c r="AM69" s="109"/>
      <c r="AN69" s="73"/>
      <c r="AO69" s="73"/>
      <c r="AP69" s="73"/>
      <c r="AQ69" s="73"/>
      <c r="AR69" s="73"/>
      <c r="AS69" s="73" t="s">
        <v>288</v>
      </c>
      <c r="AT69" s="268">
        <f>SUM(AT66:AT68)</f>
        <v>27.375</v>
      </c>
    </row>
    <row r="70" spans="1:46">
      <c r="A70" s="300" t="s">
        <v>324</v>
      </c>
      <c r="B70" s="72"/>
      <c r="C70" s="72"/>
      <c r="D70" s="306"/>
      <c r="E70" s="306"/>
      <c r="F70" s="307"/>
      <c r="I70" s="109"/>
      <c r="J70" s="73"/>
      <c r="K70" s="73"/>
      <c r="L70" s="73"/>
      <c r="M70" s="73"/>
      <c r="N70" s="73"/>
      <c r="O70" s="73"/>
      <c r="P70" s="127"/>
      <c r="S70" s="109"/>
      <c r="T70" s="73"/>
      <c r="U70" s="73"/>
      <c r="V70" s="73"/>
      <c r="W70" s="73"/>
      <c r="X70" s="73"/>
      <c r="Y70" s="73"/>
      <c r="Z70" s="127"/>
      <c r="AA70" s="73"/>
      <c r="AC70" s="109"/>
      <c r="AD70" s="73"/>
      <c r="AE70" s="73"/>
      <c r="AF70" s="73"/>
      <c r="AG70" s="73"/>
      <c r="AH70" s="73"/>
      <c r="AI70" s="73"/>
      <c r="AJ70" s="127"/>
      <c r="AM70" s="109"/>
      <c r="AN70" s="73"/>
      <c r="AO70" s="73"/>
      <c r="AP70" s="73"/>
      <c r="AQ70" s="73"/>
      <c r="AR70" s="73"/>
      <c r="AS70" s="73"/>
      <c r="AT70" s="127"/>
    </row>
    <row r="71" spans="1:46">
      <c r="A71" s="303" t="s">
        <v>172</v>
      </c>
      <c r="B71" s="304">
        <v>2000</v>
      </c>
      <c r="C71" s="305"/>
      <c r="D71" s="306">
        <v>0.88</v>
      </c>
      <c r="E71" s="306">
        <v>0.5</v>
      </c>
      <c r="F71" s="307">
        <v>4.4000000953674318E-2</v>
      </c>
      <c r="I71" s="109"/>
      <c r="J71" s="73"/>
      <c r="K71" s="73"/>
      <c r="L71" s="73"/>
      <c r="N71" s="310"/>
      <c r="O71" s="174" t="s">
        <v>103</v>
      </c>
      <c r="P71" s="311">
        <f>SUM(P69+P63+P56+P13)</f>
        <v>421.25500021008406</v>
      </c>
      <c r="S71" s="109"/>
      <c r="T71" s="73"/>
      <c r="U71" s="73"/>
      <c r="V71" s="73"/>
      <c r="X71" s="310"/>
      <c r="Y71" s="174" t="s">
        <v>103</v>
      </c>
      <c r="Z71" s="311">
        <f>SUM(Z69+Z63+Z56+Z13)</f>
        <v>548.20206617647068</v>
      </c>
      <c r="AC71" s="109"/>
      <c r="AD71" s="73"/>
      <c r="AE71" s="73"/>
      <c r="AF71" s="73"/>
      <c r="AH71" s="310"/>
      <c r="AI71" s="174" t="s">
        <v>103</v>
      </c>
      <c r="AJ71" s="311">
        <f>SUM(AJ69+AJ63+AJ56+AJ13)</f>
        <v>366.36419117647063</v>
      </c>
      <c r="AM71" s="109"/>
      <c r="AN71" s="73"/>
      <c r="AO71" s="73"/>
      <c r="AP71" s="73"/>
      <c r="AR71" s="310"/>
      <c r="AS71" s="174" t="s">
        <v>103</v>
      </c>
      <c r="AT71" s="311">
        <f>SUM(AT69+AT63+AT56+AT13)</f>
        <v>491.78261029411772</v>
      </c>
    </row>
    <row r="72" spans="1:46" ht="13.5" thickBot="1">
      <c r="A72" s="303" t="s">
        <v>173</v>
      </c>
      <c r="B72" s="304">
        <v>2000</v>
      </c>
      <c r="C72" s="305"/>
      <c r="D72" s="306">
        <v>0.8</v>
      </c>
      <c r="E72" s="306">
        <v>0.52347541809082032</v>
      </c>
      <c r="F72" s="307">
        <v>7.0000000000000007E-2</v>
      </c>
      <c r="I72" s="285"/>
      <c r="J72" s="119"/>
      <c r="K72" s="119"/>
      <c r="L72" s="119"/>
      <c r="M72" s="119"/>
      <c r="N72" s="119"/>
      <c r="O72" s="312" t="s">
        <v>328</v>
      </c>
      <c r="P72" s="291"/>
      <c r="S72" s="285"/>
      <c r="T72" s="119"/>
      <c r="U72" s="119"/>
      <c r="V72" s="119"/>
      <c r="W72" s="119"/>
      <c r="X72" s="119"/>
      <c r="Y72" s="312" t="s">
        <v>328</v>
      </c>
      <c r="Z72" s="291"/>
      <c r="AC72" s="285"/>
      <c r="AD72" s="119"/>
      <c r="AE72" s="119"/>
      <c r="AF72" s="119"/>
      <c r="AG72" s="119"/>
      <c r="AH72" s="119"/>
      <c r="AI72" s="312" t="s">
        <v>328</v>
      </c>
      <c r="AJ72" s="291"/>
      <c r="AM72" s="285"/>
      <c r="AN72" s="119"/>
      <c r="AO72" s="119"/>
      <c r="AP72" s="119"/>
      <c r="AQ72" s="119"/>
      <c r="AR72" s="119"/>
      <c r="AS72" s="312" t="s">
        <v>328</v>
      </c>
      <c r="AT72" s="291"/>
    </row>
    <row r="73" spans="1:46">
      <c r="A73" s="303" t="s">
        <v>174</v>
      </c>
      <c r="B73" s="304">
        <v>2000</v>
      </c>
      <c r="C73" s="305"/>
      <c r="D73" s="306">
        <v>0.75</v>
      </c>
      <c r="E73" s="306">
        <v>0.44718547821044924</v>
      </c>
      <c r="F73" s="307">
        <v>4.8000001907348634E-2</v>
      </c>
    </row>
    <row r="74" spans="1:46">
      <c r="A74" s="303" t="s">
        <v>175</v>
      </c>
      <c r="B74" s="304">
        <v>2000</v>
      </c>
      <c r="C74" s="305"/>
      <c r="D74" s="306">
        <v>0.9</v>
      </c>
      <c r="E74" s="306">
        <v>0.35</v>
      </c>
      <c r="F74" s="307">
        <v>0.04</v>
      </c>
    </row>
    <row r="75" spans="1:46">
      <c r="A75" s="303" t="s">
        <v>339</v>
      </c>
      <c r="B75" s="304">
        <v>2000</v>
      </c>
      <c r="C75" s="305"/>
      <c r="D75" s="306">
        <v>0.5</v>
      </c>
      <c r="E75" s="306">
        <v>0.56999999999999995</v>
      </c>
      <c r="F75" s="307">
        <v>0.13500000000000001</v>
      </c>
    </row>
    <row r="76" spans="1:46" ht="15.75">
      <c r="A76" s="313" t="s">
        <v>325</v>
      </c>
      <c r="B76" s="72"/>
      <c r="C76" s="72"/>
      <c r="D76" s="306"/>
      <c r="E76" s="306"/>
      <c r="F76" s="307"/>
      <c r="I76" s="456" t="s">
        <v>326</v>
      </c>
      <c r="J76" s="456"/>
      <c r="K76" s="456"/>
      <c r="S76" s="64"/>
      <c r="AC76" s="64"/>
      <c r="AM76" s="64"/>
    </row>
    <row r="77" spans="1:46">
      <c r="A77" s="300" t="s">
        <v>155</v>
      </c>
      <c r="B77" s="72"/>
      <c r="C77" s="72"/>
      <c r="D77" s="306"/>
      <c r="E77" s="306"/>
      <c r="F77" s="307"/>
    </row>
    <row r="78" spans="1:46">
      <c r="A78" s="303" t="s">
        <v>158</v>
      </c>
      <c r="B78" s="304">
        <v>2000</v>
      </c>
      <c r="C78" s="305"/>
      <c r="D78" s="306">
        <v>0.5</v>
      </c>
      <c r="E78" s="306">
        <v>0.65</v>
      </c>
      <c r="F78" s="307">
        <v>0.21</v>
      </c>
    </row>
    <row r="79" spans="1:46">
      <c r="A79" s="303" t="s">
        <v>159</v>
      </c>
      <c r="B79" s="304">
        <v>2000</v>
      </c>
      <c r="C79" s="305"/>
      <c r="D79" s="306">
        <v>0.5</v>
      </c>
      <c r="E79" s="306">
        <v>0.57999999999999996</v>
      </c>
      <c r="F79" s="307">
        <v>0.16</v>
      </c>
    </row>
    <row r="80" spans="1:46">
      <c r="A80" s="303" t="s">
        <v>160</v>
      </c>
      <c r="B80" s="304">
        <v>2000</v>
      </c>
      <c r="C80" s="305"/>
      <c r="D80" s="306">
        <v>0.5</v>
      </c>
      <c r="E80" s="306">
        <v>0.45</v>
      </c>
      <c r="F80" s="307">
        <v>0.11</v>
      </c>
    </row>
    <row r="81" spans="1:6">
      <c r="A81" s="300" t="s">
        <v>292</v>
      </c>
      <c r="B81" s="72"/>
      <c r="C81" s="72"/>
      <c r="D81" s="306"/>
      <c r="E81" s="306"/>
      <c r="F81" s="307"/>
    </row>
    <row r="82" spans="1:6">
      <c r="A82" s="303" t="s">
        <v>161</v>
      </c>
      <c r="B82" s="304">
        <v>2000</v>
      </c>
      <c r="C82" s="305"/>
      <c r="D82" s="306">
        <v>0.5</v>
      </c>
      <c r="E82" s="306">
        <v>0.63</v>
      </c>
      <c r="F82" s="307">
        <v>0.14000000000000001</v>
      </c>
    </row>
    <row r="83" spans="1:6">
      <c r="A83" s="303" t="s">
        <v>162</v>
      </c>
      <c r="B83" s="304">
        <v>2000</v>
      </c>
      <c r="C83" s="305"/>
      <c r="D83" s="306">
        <v>0.5</v>
      </c>
      <c r="E83" s="306">
        <v>0.57999999999999996</v>
      </c>
      <c r="F83" s="307">
        <v>0.105</v>
      </c>
    </row>
    <row r="84" spans="1:6">
      <c r="A84" s="303" t="s">
        <v>163</v>
      </c>
      <c r="B84" s="304">
        <v>2000</v>
      </c>
      <c r="C84" s="305"/>
      <c r="D84" s="306">
        <v>0.5</v>
      </c>
      <c r="E84" s="306">
        <v>0.54</v>
      </c>
      <c r="F84" s="307">
        <v>0.08</v>
      </c>
    </row>
    <row r="85" spans="1:6">
      <c r="A85" s="303" t="s">
        <v>164</v>
      </c>
      <c r="B85" s="304">
        <v>2000</v>
      </c>
      <c r="C85" s="305"/>
      <c r="D85" s="306">
        <v>0.5</v>
      </c>
      <c r="E85" s="306">
        <v>0.48</v>
      </c>
      <c r="F85" s="307">
        <v>0.06</v>
      </c>
    </row>
    <row r="86" spans="1:6">
      <c r="A86" s="300" t="s">
        <v>165</v>
      </c>
      <c r="B86" s="72"/>
      <c r="C86" s="72"/>
      <c r="D86" s="306"/>
      <c r="E86" s="306"/>
      <c r="F86" s="307"/>
    </row>
    <row r="87" spans="1:6">
      <c r="A87" s="303" t="s">
        <v>166</v>
      </c>
      <c r="B87" s="304">
        <v>2000</v>
      </c>
      <c r="C87" s="305"/>
      <c r="D87" s="306">
        <v>0.5</v>
      </c>
      <c r="E87" s="306">
        <v>0.63</v>
      </c>
      <c r="F87" s="307">
        <v>0.16500000000000001</v>
      </c>
    </row>
    <row r="88" spans="1:6">
      <c r="A88" s="303" t="s">
        <v>167</v>
      </c>
      <c r="B88" s="304">
        <v>2000</v>
      </c>
      <c r="C88" s="305"/>
      <c r="D88" s="306">
        <v>0.5</v>
      </c>
      <c r="E88" s="306">
        <v>0.54500000000000004</v>
      </c>
      <c r="F88" s="307">
        <v>0.12</v>
      </c>
    </row>
    <row r="89" spans="1:6">
      <c r="A89" s="303" t="s">
        <v>168</v>
      </c>
      <c r="B89" s="304">
        <v>2000</v>
      </c>
      <c r="C89" s="305"/>
      <c r="D89" s="306">
        <v>0.5</v>
      </c>
      <c r="E89" s="306">
        <v>0.495</v>
      </c>
      <c r="F89" s="307">
        <v>9.7500000000000003E-2</v>
      </c>
    </row>
    <row r="90" spans="1:6">
      <c r="A90" s="314" t="s">
        <v>291</v>
      </c>
      <c r="B90" s="72"/>
      <c r="C90" s="72"/>
      <c r="D90" s="306">
        <v>0</v>
      </c>
      <c r="E90" s="306">
        <v>0</v>
      </c>
      <c r="F90" s="307">
        <v>0</v>
      </c>
    </row>
    <row r="91" spans="1:6">
      <c r="A91" s="303" t="s">
        <v>169</v>
      </c>
      <c r="B91" s="304">
        <v>2000</v>
      </c>
      <c r="C91" s="305"/>
      <c r="D91" s="306">
        <v>0.5</v>
      </c>
      <c r="E91" s="306">
        <v>0.63</v>
      </c>
      <c r="F91" s="307">
        <v>0.09</v>
      </c>
    </row>
    <row r="92" spans="1:6">
      <c r="A92" s="303" t="s">
        <v>170</v>
      </c>
      <c r="B92" s="304">
        <v>2000</v>
      </c>
      <c r="C92" s="305"/>
      <c r="D92" s="306">
        <v>0.5</v>
      </c>
      <c r="E92" s="306">
        <v>0.6</v>
      </c>
      <c r="F92" s="307">
        <v>7.0000000000000007E-2</v>
      </c>
    </row>
    <row r="93" spans="1:6">
      <c r="A93" s="303" t="s">
        <v>171</v>
      </c>
      <c r="B93" s="304">
        <v>2000</v>
      </c>
      <c r="C93" s="305"/>
      <c r="D93" s="306">
        <v>0.5</v>
      </c>
      <c r="E93" s="306">
        <v>0.56000000000000005</v>
      </c>
      <c r="F93" s="307">
        <v>0.05</v>
      </c>
    </row>
    <row r="94" spans="1:6">
      <c r="A94" s="300" t="s">
        <v>176</v>
      </c>
      <c r="B94" s="304"/>
      <c r="C94" s="305"/>
      <c r="D94" s="306"/>
      <c r="E94" s="306"/>
      <c r="F94" s="307"/>
    </row>
    <row r="95" spans="1:6">
      <c r="A95" s="303" t="s">
        <v>177</v>
      </c>
      <c r="B95" s="304">
        <v>2000</v>
      </c>
      <c r="C95" s="305"/>
      <c r="D95" s="306">
        <v>0.43</v>
      </c>
      <c r="E95" s="306">
        <v>0.7</v>
      </c>
      <c r="F95" s="307">
        <v>6.8000001907348631E-2</v>
      </c>
    </row>
    <row r="96" spans="1:6">
      <c r="A96" s="303" t="s">
        <v>178</v>
      </c>
      <c r="B96" s="304">
        <v>2000</v>
      </c>
      <c r="C96" s="305"/>
      <c r="D96" s="306">
        <v>0.44</v>
      </c>
      <c r="E96" s="306">
        <v>0.62</v>
      </c>
      <c r="F96" s="307">
        <v>8.1000003814697269E-2</v>
      </c>
    </row>
    <row r="97" spans="1:40">
      <c r="A97" s="303" t="s">
        <v>179</v>
      </c>
      <c r="B97" s="304">
        <v>2000</v>
      </c>
      <c r="C97" s="305"/>
      <c r="D97" s="306">
        <v>0.4</v>
      </c>
      <c r="E97" s="306">
        <v>0.65</v>
      </c>
      <c r="F97" s="307">
        <v>0.115</v>
      </c>
    </row>
    <row r="98" spans="1:40">
      <c r="A98" s="303" t="s">
        <v>180</v>
      </c>
      <c r="B98" s="304">
        <v>2000</v>
      </c>
      <c r="C98" s="305"/>
      <c r="D98" s="306">
        <v>0.3</v>
      </c>
      <c r="E98" s="306">
        <v>0.76</v>
      </c>
      <c r="F98" s="307">
        <v>0.12</v>
      </c>
    </row>
    <row r="99" spans="1:40">
      <c r="A99" s="303" t="s">
        <v>181</v>
      </c>
      <c r="B99" s="304">
        <v>2000</v>
      </c>
      <c r="C99" s="305"/>
      <c r="D99" s="306">
        <v>0.45</v>
      </c>
      <c r="E99" s="306">
        <v>0.72</v>
      </c>
      <c r="F99" s="307">
        <v>0.08</v>
      </c>
    </row>
    <row r="100" spans="1:40">
      <c r="A100" s="303" t="s">
        <v>182</v>
      </c>
      <c r="B100" s="304">
        <v>2000</v>
      </c>
      <c r="C100" s="305"/>
      <c r="D100" s="306">
        <v>0.3</v>
      </c>
      <c r="E100" s="306">
        <v>0.68</v>
      </c>
      <c r="F100" s="307">
        <v>8.600000381469726E-2</v>
      </c>
    </row>
    <row r="101" spans="1:40">
      <c r="A101" s="303" t="s">
        <v>183</v>
      </c>
      <c r="B101" s="304">
        <v>2000</v>
      </c>
      <c r="C101" s="305"/>
      <c r="D101" s="306">
        <v>0.5</v>
      </c>
      <c r="E101" s="306">
        <v>0.53</v>
      </c>
      <c r="F101" s="307">
        <v>0.19</v>
      </c>
      <c r="H101" s="315"/>
      <c r="I101" s="315"/>
      <c r="J101" s="315"/>
      <c r="S101" s="315"/>
      <c r="T101" s="315"/>
      <c r="AC101" s="315"/>
      <c r="AD101" s="315"/>
      <c r="AM101" s="315"/>
      <c r="AN101" s="315"/>
    </row>
    <row r="102" spans="1:40">
      <c r="A102" s="303" t="s">
        <v>184</v>
      </c>
      <c r="B102" s="304">
        <v>2000</v>
      </c>
      <c r="C102" s="305"/>
      <c r="D102" s="306">
        <v>0.45</v>
      </c>
      <c r="E102" s="306">
        <v>0.56999999999999995</v>
      </c>
      <c r="F102" s="307">
        <v>0.13</v>
      </c>
    </row>
    <row r="103" spans="1:40">
      <c r="A103" s="303" t="s">
        <v>185</v>
      </c>
      <c r="B103" s="304">
        <v>2000</v>
      </c>
      <c r="C103" s="305"/>
      <c r="D103" s="306">
        <v>0.4</v>
      </c>
      <c r="E103" s="306">
        <v>0.53</v>
      </c>
      <c r="F103" s="307">
        <v>0.10300000190734863</v>
      </c>
    </row>
    <row r="104" spans="1:40">
      <c r="A104" s="303" t="s">
        <v>186</v>
      </c>
      <c r="B104" s="304">
        <v>2000</v>
      </c>
      <c r="C104" s="305"/>
      <c r="D104" s="306">
        <v>0.69</v>
      </c>
      <c r="E104" s="306">
        <v>0.52400001525878903</v>
      </c>
      <c r="F104" s="307">
        <v>8.8000001907348635E-2</v>
      </c>
    </row>
    <row r="105" spans="1:40">
      <c r="A105" s="303" t="s">
        <v>187</v>
      </c>
      <c r="B105" s="304">
        <v>2000</v>
      </c>
      <c r="C105" s="305"/>
      <c r="D105" s="306">
        <v>0.5</v>
      </c>
      <c r="E105" s="306">
        <v>0.6</v>
      </c>
      <c r="F105" s="307">
        <v>0.12</v>
      </c>
    </row>
    <row r="106" spans="1:40">
      <c r="A106" s="316" t="s">
        <v>188</v>
      </c>
      <c r="B106" s="72"/>
      <c r="C106" s="72"/>
      <c r="D106" s="306"/>
      <c r="E106" s="306"/>
      <c r="F106" s="307"/>
    </row>
    <row r="107" spans="1:40">
      <c r="A107" s="303" t="s">
        <v>189</v>
      </c>
      <c r="B107" s="304">
        <v>2000</v>
      </c>
      <c r="C107" s="305"/>
      <c r="D107" s="306">
        <v>0.88</v>
      </c>
      <c r="E107" s="306">
        <v>0.84</v>
      </c>
      <c r="F107" s="307">
        <v>0.12</v>
      </c>
    </row>
    <row r="108" spans="1:40">
      <c r="A108" s="303" t="s">
        <v>190</v>
      </c>
      <c r="B108" s="304">
        <v>2000</v>
      </c>
      <c r="C108" s="305"/>
      <c r="D108" s="306">
        <v>0.86</v>
      </c>
      <c r="E108" s="306">
        <v>0.65</v>
      </c>
      <c r="F108" s="307">
        <v>0.09</v>
      </c>
    </row>
    <row r="109" spans="1:40">
      <c r="A109" s="303" t="s">
        <v>191</v>
      </c>
      <c r="B109" s="304">
        <v>2000</v>
      </c>
      <c r="C109" s="305"/>
      <c r="D109" s="306">
        <v>0.25</v>
      </c>
      <c r="E109" s="306">
        <v>0.8</v>
      </c>
      <c r="F109" s="307">
        <v>0.25399999618530272</v>
      </c>
    </row>
    <row r="110" spans="1:40">
      <c r="A110" s="303" t="s">
        <v>192</v>
      </c>
      <c r="B110" s="304">
        <v>2000</v>
      </c>
      <c r="C110" s="305"/>
      <c r="D110" s="306">
        <v>0.9</v>
      </c>
      <c r="E110" s="306">
        <v>0.71099998474121096</v>
      </c>
      <c r="F110" s="307">
        <v>0.41099998474121091</v>
      </c>
    </row>
    <row r="111" spans="1:40">
      <c r="A111" s="303" t="s">
        <v>193</v>
      </c>
      <c r="B111" s="304">
        <v>2000</v>
      </c>
      <c r="C111" s="305"/>
      <c r="D111" s="306">
        <v>0.85</v>
      </c>
      <c r="E111" s="306">
        <v>0.9</v>
      </c>
      <c r="F111" s="307">
        <v>0.08</v>
      </c>
    </row>
    <row r="112" spans="1:40">
      <c r="A112" s="303" t="s">
        <v>194</v>
      </c>
      <c r="B112" s="304">
        <v>2000</v>
      </c>
      <c r="C112" s="305"/>
      <c r="D112" s="306">
        <v>0.85</v>
      </c>
      <c r="E112" s="306">
        <v>0.93</v>
      </c>
      <c r="F112" s="307">
        <v>0.08</v>
      </c>
    </row>
    <row r="113" spans="1:6">
      <c r="A113" s="303" t="s">
        <v>195</v>
      </c>
      <c r="B113" s="304">
        <v>2000</v>
      </c>
      <c r="C113" s="305"/>
      <c r="D113" s="306">
        <v>0.7</v>
      </c>
      <c r="E113" s="306">
        <v>0.94</v>
      </c>
      <c r="F113" s="307">
        <v>0.08</v>
      </c>
    </row>
    <row r="114" spans="1:6">
      <c r="A114" s="303" t="s">
        <v>196</v>
      </c>
      <c r="B114" s="304">
        <v>2000</v>
      </c>
      <c r="C114" s="305"/>
      <c r="D114" s="306">
        <v>0.85</v>
      </c>
      <c r="E114" s="306">
        <v>0.92</v>
      </c>
      <c r="F114" s="307">
        <v>0.08</v>
      </c>
    </row>
    <row r="115" spans="1:6">
      <c r="A115" s="303" t="s">
        <v>197</v>
      </c>
      <c r="B115" s="304">
        <v>2000</v>
      </c>
      <c r="C115" s="305"/>
      <c r="D115" s="306">
        <v>0.85</v>
      </c>
      <c r="E115" s="306">
        <v>0.95</v>
      </c>
      <c r="F115" s="307">
        <v>0.08</v>
      </c>
    </row>
    <row r="116" spans="1:6">
      <c r="A116" s="303" t="s">
        <v>198</v>
      </c>
      <c r="B116" s="304">
        <v>2000</v>
      </c>
      <c r="C116" s="305"/>
      <c r="D116" s="306">
        <v>0.87</v>
      </c>
      <c r="E116" s="306">
        <v>0.79500000000000004</v>
      </c>
      <c r="F116" s="307">
        <v>7.0000000000000007E-2</v>
      </c>
    </row>
    <row r="117" spans="1:6">
      <c r="A117" s="303" t="s">
        <v>199</v>
      </c>
      <c r="B117" s="304">
        <v>2000</v>
      </c>
      <c r="C117" s="305"/>
      <c r="D117" s="306">
        <v>0.85</v>
      </c>
      <c r="E117" s="306">
        <v>0.9630000305175781</v>
      </c>
      <c r="F117" s="307">
        <v>0.1</v>
      </c>
    </row>
    <row r="118" spans="1:6">
      <c r="A118" s="303" t="s">
        <v>200</v>
      </c>
      <c r="B118" s="304">
        <v>2000</v>
      </c>
      <c r="C118" s="305"/>
      <c r="D118" s="306">
        <v>0.9</v>
      </c>
      <c r="E118" s="306">
        <v>0.93</v>
      </c>
      <c r="F118" s="307">
        <v>0.3</v>
      </c>
    </row>
    <row r="119" spans="1:6">
      <c r="A119" s="317" t="s">
        <v>201</v>
      </c>
      <c r="B119" s="304">
        <v>2000</v>
      </c>
      <c r="C119" s="305"/>
      <c r="D119" s="306">
        <v>0.9</v>
      </c>
      <c r="E119" s="306">
        <v>0.91</v>
      </c>
      <c r="F119" s="307">
        <v>0.31</v>
      </c>
    </row>
    <row r="120" spans="1:6">
      <c r="A120" s="303" t="s">
        <v>202</v>
      </c>
      <c r="B120" s="304">
        <v>2000</v>
      </c>
      <c r="C120" s="305"/>
      <c r="D120" s="306">
        <v>0.9</v>
      </c>
      <c r="E120" s="306">
        <v>0.88</v>
      </c>
      <c r="F120" s="307">
        <v>0.28000000000000003</v>
      </c>
    </row>
    <row r="121" spans="1:6">
      <c r="A121" s="303" t="s">
        <v>203</v>
      </c>
      <c r="B121" s="304">
        <v>2000</v>
      </c>
      <c r="C121" s="305"/>
      <c r="D121" s="306">
        <v>0.49</v>
      </c>
      <c r="E121" s="306">
        <v>0.97</v>
      </c>
      <c r="F121" s="307">
        <v>0.31</v>
      </c>
    </row>
    <row r="122" spans="1:6">
      <c r="A122" s="303" t="s">
        <v>204</v>
      </c>
      <c r="B122" s="304">
        <v>2000</v>
      </c>
      <c r="C122" s="305"/>
      <c r="D122" s="306">
        <v>0.49</v>
      </c>
      <c r="E122" s="306">
        <v>0.94</v>
      </c>
      <c r="F122" s="307">
        <v>0.32</v>
      </c>
    </row>
    <row r="123" spans="1:6">
      <c r="A123" s="303" t="s">
        <v>205</v>
      </c>
      <c r="B123" s="304">
        <v>2000</v>
      </c>
      <c r="C123" s="305"/>
      <c r="D123" s="306">
        <v>0.35</v>
      </c>
      <c r="E123" s="306">
        <v>1</v>
      </c>
      <c r="F123" s="307">
        <v>0.31</v>
      </c>
    </row>
    <row r="124" spans="1:6">
      <c r="A124" s="303" t="s">
        <v>206</v>
      </c>
      <c r="B124" s="304">
        <v>2000</v>
      </c>
      <c r="C124" s="305"/>
      <c r="D124" s="306">
        <v>0.35</v>
      </c>
      <c r="E124" s="306">
        <v>0.97</v>
      </c>
      <c r="F124" s="307">
        <v>0.33</v>
      </c>
    </row>
    <row r="125" spans="1:6">
      <c r="A125" s="303" t="s">
        <v>207</v>
      </c>
      <c r="B125" s="304">
        <v>2000</v>
      </c>
      <c r="C125" s="305"/>
      <c r="D125" s="306">
        <v>0.9</v>
      </c>
      <c r="E125" s="306">
        <v>0.98</v>
      </c>
      <c r="F125" s="307">
        <v>0.15100000381469728</v>
      </c>
    </row>
    <row r="126" spans="1:6">
      <c r="A126" s="303" t="s">
        <v>208</v>
      </c>
      <c r="B126" s="304">
        <v>2000</v>
      </c>
      <c r="C126" s="305"/>
      <c r="D126" s="306">
        <v>0.90591163635253902</v>
      </c>
      <c r="E126" s="306">
        <v>0.78567207336425782</v>
      </c>
      <c r="F126" s="307">
        <v>0.2214467430114746</v>
      </c>
    </row>
    <row r="127" spans="1:6">
      <c r="A127" s="303" t="s">
        <v>209</v>
      </c>
      <c r="B127" s="304">
        <v>2000</v>
      </c>
      <c r="C127" s="305"/>
      <c r="D127" s="306">
        <v>0.9</v>
      </c>
      <c r="E127" s="306">
        <v>0.83</v>
      </c>
      <c r="F127" s="307">
        <v>0.22</v>
      </c>
    </row>
    <row r="128" spans="1:6">
      <c r="A128" s="303" t="s">
        <v>210</v>
      </c>
      <c r="B128" s="304">
        <v>2000</v>
      </c>
      <c r="C128" s="305"/>
      <c r="D128" s="306">
        <v>0.60069869995117187</v>
      </c>
      <c r="E128" s="306">
        <v>0.89</v>
      </c>
      <c r="F128" s="307">
        <v>0.23764789581298829</v>
      </c>
    </row>
    <row r="129" spans="1:6">
      <c r="A129" s="303" t="s">
        <v>211</v>
      </c>
      <c r="B129" s="304">
        <v>2000</v>
      </c>
      <c r="C129" s="305"/>
      <c r="D129" s="306">
        <v>0.50438549041748049</v>
      </c>
      <c r="E129" s="306">
        <v>0.89</v>
      </c>
      <c r="F129" s="307">
        <v>0.24553129196166992</v>
      </c>
    </row>
    <row r="130" spans="1:6">
      <c r="A130" s="303" t="s">
        <v>212</v>
      </c>
      <c r="B130" s="304">
        <v>2000</v>
      </c>
      <c r="C130" s="305"/>
      <c r="D130" s="306">
        <v>0.42</v>
      </c>
      <c r="E130" s="306">
        <v>0.8</v>
      </c>
      <c r="F130" s="307">
        <v>0.22</v>
      </c>
    </row>
    <row r="131" spans="1:6">
      <c r="A131" s="303" t="s">
        <v>213</v>
      </c>
      <c r="B131" s="304">
        <v>2000</v>
      </c>
      <c r="C131" s="305"/>
      <c r="D131" s="306">
        <v>0.9</v>
      </c>
      <c r="E131" s="306">
        <v>0.89</v>
      </c>
      <c r="F131" s="307">
        <v>0.67199996948242191</v>
      </c>
    </row>
    <row r="132" spans="1:6">
      <c r="A132" s="303" t="s">
        <v>214</v>
      </c>
      <c r="B132" s="304">
        <v>2000</v>
      </c>
      <c r="C132" s="305"/>
      <c r="D132" s="306">
        <v>0.75</v>
      </c>
      <c r="E132" s="306">
        <v>0.49544113159179687</v>
      </c>
      <c r="F132" s="307">
        <v>5.1999998092651364E-2</v>
      </c>
    </row>
    <row r="133" spans="1:6">
      <c r="A133" s="303" t="s">
        <v>215</v>
      </c>
      <c r="B133" s="304">
        <v>2000</v>
      </c>
      <c r="C133" s="305"/>
      <c r="D133" s="306">
        <v>0.22600000381469726</v>
      </c>
      <c r="E133" s="306">
        <v>0.85</v>
      </c>
      <c r="F133" s="307">
        <v>0.14000000000000001</v>
      </c>
    </row>
    <row r="134" spans="1:6">
      <c r="A134" s="303" t="s">
        <v>216</v>
      </c>
      <c r="B134" s="304">
        <v>2000</v>
      </c>
      <c r="C134" s="305"/>
      <c r="D134" s="306">
        <v>0.33</v>
      </c>
      <c r="E134" s="306">
        <v>0.95</v>
      </c>
      <c r="F134" s="307">
        <v>0.25</v>
      </c>
    </row>
    <row r="135" spans="1:6">
      <c r="A135" s="303" t="s">
        <v>217</v>
      </c>
      <c r="B135" s="304">
        <v>2000</v>
      </c>
      <c r="C135" s="305"/>
      <c r="D135" s="306">
        <v>0.5</v>
      </c>
      <c r="E135" s="306">
        <v>0.91</v>
      </c>
      <c r="F135" s="307">
        <v>0.42</v>
      </c>
    </row>
    <row r="136" spans="1:6">
      <c r="A136" s="317" t="s">
        <v>218</v>
      </c>
      <c r="B136" s="304">
        <v>2000</v>
      </c>
      <c r="C136" s="305"/>
      <c r="D136" s="306">
        <v>0.75</v>
      </c>
      <c r="E136" s="306">
        <v>0.72</v>
      </c>
      <c r="F136" s="307">
        <v>0.03</v>
      </c>
    </row>
    <row r="137" spans="1:6">
      <c r="A137" s="303" t="s">
        <v>219</v>
      </c>
      <c r="B137" s="304">
        <v>2000</v>
      </c>
      <c r="C137" s="305"/>
      <c r="D137" s="306">
        <v>0.9</v>
      </c>
      <c r="E137" s="306">
        <v>0.9</v>
      </c>
      <c r="F137" s="307">
        <v>0.23</v>
      </c>
    </row>
    <row r="138" spans="1:6">
      <c r="A138" s="303" t="s">
        <v>220</v>
      </c>
      <c r="B138" s="304">
        <v>2000</v>
      </c>
      <c r="C138" s="305"/>
      <c r="D138" s="306">
        <v>0.9</v>
      </c>
      <c r="E138" s="306">
        <v>0.75</v>
      </c>
      <c r="F138" s="307">
        <v>0.44</v>
      </c>
    </row>
    <row r="139" spans="1:6">
      <c r="A139" s="303" t="s">
        <v>221</v>
      </c>
      <c r="B139" s="304">
        <v>2000</v>
      </c>
      <c r="C139" s="305"/>
      <c r="D139" s="306">
        <v>0.9</v>
      </c>
      <c r="E139" s="306">
        <v>0.75</v>
      </c>
      <c r="F139" s="307">
        <v>0.2</v>
      </c>
    </row>
    <row r="140" spans="1:6">
      <c r="A140" s="303" t="s">
        <v>222</v>
      </c>
      <c r="B140" s="304">
        <v>2000</v>
      </c>
      <c r="C140" s="305"/>
      <c r="D140" s="306">
        <v>0.92</v>
      </c>
      <c r="E140" s="306">
        <v>0.4</v>
      </c>
      <c r="F140" s="307">
        <v>3.7000000476837158E-2</v>
      </c>
    </row>
    <row r="141" spans="1:6">
      <c r="A141" s="303" t="s">
        <v>223</v>
      </c>
      <c r="B141" s="304">
        <v>2000</v>
      </c>
      <c r="C141" s="305"/>
      <c r="D141" s="306">
        <v>0.88</v>
      </c>
      <c r="E141" s="306">
        <v>0.77</v>
      </c>
      <c r="F141" s="307">
        <v>0.13300000190734862</v>
      </c>
    </row>
    <row r="142" spans="1:6">
      <c r="A142" s="303" t="s">
        <v>224</v>
      </c>
      <c r="B142" s="304">
        <v>2000</v>
      </c>
      <c r="C142" s="305"/>
      <c r="D142" s="306">
        <v>0.9</v>
      </c>
      <c r="E142" s="306">
        <v>0.39</v>
      </c>
      <c r="F142" s="307">
        <v>0.04</v>
      </c>
    </row>
    <row r="143" spans="1:6">
      <c r="A143" s="303" t="s">
        <v>225</v>
      </c>
      <c r="B143" s="304">
        <v>2000</v>
      </c>
      <c r="C143" s="305"/>
      <c r="D143" s="306">
        <v>0.9</v>
      </c>
      <c r="E143" s="306">
        <v>0.9</v>
      </c>
      <c r="F143" s="307">
        <v>0.245</v>
      </c>
    </row>
    <row r="144" spans="1:6">
      <c r="A144" s="303" t="s">
        <v>226</v>
      </c>
      <c r="B144" s="304">
        <v>2000</v>
      </c>
      <c r="C144" s="305"/>
      <c r="D144" s="306">
        <v>0.88</v>
      </c>
      <c r="E144" s="306">
        <v>0.84</v>
      </c>
      <c r="F144" s="307">
        <v>0.13</v>
      </c>
    </row>
    <row r="145" spans="1:6">
      <c r="A145" s="303" t="s">
        <v>227</v>
      </c>
      <c r="B145" s="304">
        <v>2000</v>
      </c>
      <c r="C145" s="305"/>
      <c r="D145" s="306">
        <v>0.88</v>
      </c>
      <c r="E145" s="306">
        <v>0.8</v>
      </c>
      <c r="F145" s="307">
        <v>0.09</v>
      </c>
    </row>
    <row r="146" spans="1:6">
      <c r="A146" s="303" t="s">
        <v>228</v>
      </c>
      <c r="B146" s="304">
        <v>2000</v>
      </c>
      <c r="C146" s="305"/>
      <c r="D146" s="306">
        <v>0.91</v>
      </c>
      <c r="E146" s="306">
        <v>0.94</v>
      </c>
      <c r="F146" s="307">
        <v>0.42</v>
      </c>
    </row>
    <row r="147" spans="1:6">
      <c r="A147" s="317" t="s">
        <v>229</v>
      </c>
      <c r="B147" s="304">
        <v>2000</v>
      </c>
      <c r="C147" s="305"/>
      <c r="D147" s="306">
        <v>0.88</v>
      </c>
      <c r="E147" s="306">
        <v>0.84</v>
      </c>
      <c r="F147" s="307">
        <v>0.47700000762939454</v>
      </c>
    </row>
    <row r="148" spans="1:6">
      <c r="A148" s="303" t="s">
        <v>230</v>
      </c>
      <c r="B148" s="304">
        <v>2000</v>
      </c>
      <c r="C148" s="305"/>
      <c r="D148" s="306">
        <v>0.88</v>
      </c>
      <c r="E148" s="306">
        <v>0.87</v>
      </c>
      <c r="F148" s="307">
        <v>0.5</v>
      </c>
    </row>
    <row r="149" spans="1:6">
      <c r="A149" s="303" t="s">
        <v>231</v>
      </c>
      <c r="B149" s="304">
        <v>2000</v>
      </c>
      <c r="C149" s="305"/>
      <c r="D149" s="306">
        <v>0.91</v>
      </c>
      <c r="E149" s="306">
        <v>0.77</v>
      </c>
      <c r="F149" s="307">
        <v>0.12100000381469726</v>
      </c>
    </row>
    <row r="150" spans="1:6">
      <c r="A150" s="303" t="s">
        <v>232</v>
      </c>
      <c r="B150" s="304">
        <v>2000</v>
      </c>
      <c r="C150" s="305"/>
      <c r="D150" s="306">
        <v>0.92</v>
      </c>
      <c r="E150" s="306">
        <v>0.94</v>
      </c>
      <c r="F150" s="307">
        <v>0.18</v>
      </c>
    </row>
    <row r="151" spans="1:6">
      <c r="A151" s="303" t="s">
        <v>233</v>
      </c>
      <c r="B151" s="304">
        <v>2000</v>
      </c>
      <c r="C151" s="305"/>
      <c r="D151" s="306">
        <v>0.92</v>
      </c>
      <c r="E151" s="306">
        <v>0.65</v>
      </c>
      <c r="F151" s="307">
        <v>0.49</v>
      </c>
    </row>
    <row r="152" spans="1:6">
      <c r="A152" s="303" t="s">
        <v>234</v>
      </c>
      <c r="B152" s="304">
        <v>2000</v>
      </c>
      <c r="C152" s="305"/>
      <c r="D152" s="306">
        <v>0.88</v>
      </c>
      <c r="E152" s="306">
        <v>0.88</v>
      </c>
      <c r="F152" s="307">
        <v>0.115</v>
      </c>
    </row>
    <row r="153" spans="1:6">
      <c r="A153" s="303" t="s">
        <v>235</v>
      </c>
      <c r="B153" s="304">
        <v>2000</v>
      </c>
      <c r="C153" s="305"/>
      <c r="D153" s="306">
        <v>0.88</v>
      </c>
      <c r="E153" s="306">
        <v>0.88</v>
      </c>
      <c r="F153" s="307">
        <v>0.14000000000000001</v>
      </c>
    </row>
    <row r="154" spans="1:6" ht="13.5" thickBot="1">
      <c r="A154" s="318" t="s">
        <v>236</v>
      </c>
      <c r="B154" s="319">
        <v>2000</v>
      </c>
      <c r="C154" s="320"/>
      <c r="D154" s="321">
        <v>0.91</v>
      </c>
      <c r="E154" s="321">
        <v>0.83</v>
      </c>
      <c r="F154" s="322">
        <v>0.18399999618530274</v>
      </c>
    </row>
  </sheetData>
  <sheetProtection algorithmName="SHA-512" hashValue="AMeiXAAnenLgeWCNtmXWMYvSJIse0IE9lEHGDn7t5gnq3ZDyJsruPxMIu9IjesZSZKloEs3H6Hut5nVwoSWY2g==" saltValue="cwxZHE6XokXspQyOQ9f6ig==" spinCount="100000" sheet="1" selectLockedCells="1"/>
  <mergeCells count="1">
    <mergeCell ref="I76:K76"/>
  </mergeCells>
  <hyperlinks>
    <hyperlink ref="I76" location="'Budget comparison'!A1" display="Return to budget comparison"/>
  </hyperlinks>
  <pageMargins left="0.7" right="0.7" top="0.75" bottom="0.75" header="0.3" footer="0.3"/>
  <pageSetup scale="68" orientation="portrait" r:id="rId1"/>
  <rowBreaks count="1" manualBreakCount="1">
    <brk id="72" max="16383" man="1"/>
  </rowBreaks>
  <colBreaks count="2" manualBreakCount="2">
    <brk id="7" max="153" man="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showGridLines="0" zoomScaleNormal="100" workbookViewId="0">
      <selection activeCell="A8" sqref="A8"/>
    </sheetView>
  </sheetViews>
  <sheetFormatPr defaultColWidth="9" defaultRowHeight="14.25"/>
  <cols>
    <col min="1" max="1" width="10.42578125" style="105" customWidth="1"/>
    <col min="2" max="2" width="11.140625" style="105" bestFit="1" customWidth="1"/>
    <col min="3" max="3" width="12.85546875" style="105" customWidth="1"/>
    <col min="4" max="4" width="9.42578125" style="105" customWidth="1"/>
    <col min="5" max="5" width="6.85546875" style="105" customWidth="1"/>
    <col min="6" max="6" width="5.85546875" style="105" customWidth="1"/>
    <col min="7" max="7" width="9" style="105" bestFit="1" customWidth="1"/>
    <col min="8" max="8" width="5.42578125" style="105" customWidth="1"/>
    <col min="9" max="9" width="10" style="105" customWidth="1"/>
    <col min="10" max="10" width="2.42578125" style="105" customWidth="1"/>
    <col min="11" max="11" width="10.42578125" style="105" customWidth="1"/>
    <col min="12" max="12" width="10.140625" style="105" customWidth="1"/>
    <col min="13" max="13" width="12" style="105" customWidth="1"/>
    <col min="14" max="15" width="9.140625" style="105" bestFit="1" customWidth="1"/>
    <col min="16" max="16" width="4" style="105" customWidth="1"/>
    <col min="17" max="17" width="9" style="105" bestFit="1" customWidth="1"/>
    <col min="18" max="18" width="5" style="105" customWidth="1"/>
    <col min="19" max="19" width="9.42578125" style="105" bestFit="1" customWidth="1"/>
    <col min="20" max="20" width="2.42578125" style="105" customWidth="1"/>
    <col min="21" max="21" width="9.85546875" style="105" customWidth="1"/>
    <col min="22" max="22" width="10.140625" style="105" customWidth="1"/>
    <col min="23" max="23" width="9.42578125" style="105" bestFit="1" customWidth="1"/>
    <col min="24" max="25" width="9.140625" style="105" bestFit="1" customWidth="1"/>
    <col min="26" max="26" width="9" style="105"/>
    <col min="27" max="27" width="9.140625" style="105" bestFit="1" customWidth="1"/>
    <col min="28" max="28" width="9" style="105"/>
    <col min="29" max="29" width="9.42578125" style="105" bestFit="1" customWidth="1"/>
    <col min="30" max="30" width="2.42578125" style="105" customWidth="1"/>
    <col min="31" max="31" width="9.5703125" style="105" customWidth="1"/>
    <col min="32" max="32" width="10.5703125" style="105" bestFit="1" customWidth="1"/>
    <col min="33" max="33" width="11.42578125" style="105" bestFit="1" customWidth="1"/>
    <col min="34" max="35" width="9.140625" style="105" bestFit="1" customWidth="1"/>
    <col min="36" max="36" width="9" style="105"/>
    <col min="37" max="37" width="9.140625" style="105" bestFit="1" customWidth="1"/>
    <col min="38" max="38" width="9" style="105"/>
    <col min="39" max="39" width="9.42578125" style="105" bestFit="1" customWidth="1"/>
    <col min="40" max="16384" width="9" style="105"/>
  </cols>
  <sheetData>
    <row r="1" spans="1:56" s="103" customFormat="1" ht="18.75" thickBot="1">
      <c r="A1" s="103" t="s">
        <v>277</v>
      </c>
    </row>
    <row r="2" spans="1:56" ht="15.75" thickTop="1">
      <c r="A2" s="1" t="s">
        <v>0</v>
      </c>
      <c r="B2" s="1"/>
      <c r="C2" s="2"/>
      <c r="D2" s="3"/>
      <c r="E2" s="3"/>
      <c r="F2" s="3"/>
      <c r="G2" s="3"/>
      <c r="H2" s="3"/>
      <c r="I2" s="3"/>
      <c r="J2" s="3"/>
      <c r="K2" s="3"/>
      <c r="L2" s="104"/>
      <c r="M2" s="3"/>
      <c r="O2" s="19"/>
      <c r="P2" s="19"/>
      <c r="Q2" s="20"/>
      <c r="R2" s="15"/>
      <c r="S2" s="15"/>
      <c r="T2" s="15"/>
      <c r="U2" s="15"/>
      <c r="V2" s="15"/>
      <c r="W2" s="15"/>
      <c r="X2" s="15"/>
      <c r="Y2" s="15"/>
      <c r="Z2" s="21"/>
      <c r="AA2" s="15"/>
      <c r="AB2" s="106"/>
      <c r="AC2" s="19"/>
      <c r="AD2" s="19"/>
      <c r="AE2" s="20"/>
      <c r="AF2" s="15"/>
      <c r="AG2" s="15"/>
      <c r="AH2" s="15"/>
      <c r="AI2" s="15"/>
      <c r="AJ2" s="15"/>
      <c r="AK2" s="15"/>
      <c r="AL2" s="15"/>
      <c r="AM2" s="15"/>
      <c r="AN2" s="21"/>
      <c r="AO2" s="15"/>
      <c r="AP2" s="106"/>
      <c r="AQ2" s="106"/>
      <c r="AR2" s="19"/>
      <c r="AS2" s="19"/>
      <c r="AT2" s="20"/>
      <c r="AU2" s="15"/>
      <c r="AV2" s="15"/>
      <c r="AW2" s="15"/>
      <c r="AX2" s="15"/>
      <c r="AY2" s="15"/>
      <c r="AZ2" s="15"/>
      <c r="BA2" s="15"/>
      <c r="BB2" s="15"/>
      <c r="BC2" s="21"/>
      <c r="BD2" s="15"/>
    </row>
    <row r="3" spans="1:56">
      <c r="A3" s="353" t="s">
        <v>256</v>
      </c>
      <c r="B3" s="354"/>
      <c r="C3" s="355"/>
      <c r="D3" s="71"/>
      <c r="E3" s="71"/>
      <c r="F3" s="71"/>
      <c r="G3" s="71"/>
      <c r="H3" s="71"/>
      <c r="I3" s="273"/>
    </row>
    <row r="4" spans="1:56" ht="15" thickBot="1">
      <c r="A4" s="71" t="s">
        <v>289</v>
      </c>
      <c r="B4" s="71"/>
      <c r="C4" s="71"/>
      <c r="D4" s="71"/>
      <c r="E4" s="71"/>
      <c r="F4" s="71"/>
      <c r="G4" s="71"/>
      <c r="H4" s="71"/>
      <c r="I4" s="273"/>
    </row>
    <row r="5" spans="1:56" ht="15">
      <c r="A5" s="356" t="s">
        <v>84</v>
      </c>
      <c r="B5" s="357" t="str">
        <f>'Budget comparison'!C11</f>
        <v>Summer grazing</v>
      </c>
      <c r="C5" s="357"/>
      <c r="D5" s="357"/>
      <c r="E5" s="357"/>
      <c r="F5" s="358"/>
      <c r="G5" s="358"/>
      <c r="H5" s="359" t="s">
        <v>284</v>
      </c>
      <c r="I5" s="360">
        <f>'Budget comparison'!F11</f>
        <v>100</v>
      </c>
      <c r="K5" s="356" t="s">
        <v>75</v>
      </c>
      <c r="L5" s="357" t="str">
        <f>'Budget comparison'!C13</f>
        <v>Confined</v>
      </c>
      <c r="M5" s="357"/>
      <c r="N5" s="357"/>
      <c r="O5" s="357"/>
      <c r="P5" s="358"/>
      <c r="Q5" s="358"/>
      <c r="R5" s="359" t="s">
        <v>284</v>
      </c>
      <c r="S5" s="360">
        <f>'Budget comparison'!F13</f>
        <v>100</v>
      </c>
      <c r="U5" s="356" t="s">
        <v>76</v>
      </c>
      <c r="V5" s="357" t="str">
        <f>'Budget comparison'!C15</f>
        <v>Extended grazing</v>
      </c>
      <c r="W5" s="357"/>
      <c r="X5" s="357"/>
      <c r="Y5" s="357"/>
      <c r="Z5" s="358"/>
      <c r="AA5" s="358"/>
      <c r="AB5" s="359" t="s">
        <v>284</v>
      </c>
      <c r="AC5" s="360">
        <f>'Budget comparison'!F15</f>
        <v>100</v>
      </c>
      <c r="AE5" s="356" t="s">
        <v>73</v>
      </c>
      <c r="AF5" s="357" t="str">
        <f>'Budget comparison'!C17</f>
        <v>Combination</v>
      </c>
      <c r="AG5" s="357"/>
      <c r="AH5" s="357"/>
      <c r="AI5" s="357"/>
      <c r="AJ5" s="358"/>
      <c r="AK5" s="358"/>
      <c r="AL5" s="359" t="s">
        <v>284</v>
      </c>
      <c r="AM5" s="360">
        <f>'Budget comparison'!F17</f>
        <v>100</v>
      </c>
    </row>
    <row r="6" spans="1:56" s="76" customFormat="1" ht="12.75">
      <c r="A6" s="109"/>
      <c r="B6" s="110"/>
      <c r="C6" s="266" t="s">
        <v>112</v>
      </c>
      <c r="D6" s="266"/>
      <c r="E6" s="361" t="s">
        <v>110</v>
      </c>
      <c r="F6" s="266"/>
      <c r="G6" s="266" t="s">
        <v>113</v>
      </c>
      <c r="H6" s="266"/>
      <c r="I6" s="362" t="s">
        <v>122</v>
      </c>
      <c r="K6" s="109"/>
      <c r="L6" s="110"/>
      <c r="M6" s="266" t="s">
        <v>112</v>
      </c>
      <c r="N6" s="266"/>
      <c r="O6" s="361" t="s">
        <v>110</v>
      </c>
      <c r="P6" s="266"/>
      <c r="Q6" s="266" t="s">
        <v>113</v>
      </c>
      <c r="R6" s="266"/>
      <c r="S6" s="362" t="s">
        <v>122</v>
      </c>
      <c r="U6" s="109"/>
      <c r="V6" s="110"/>
      <c r="W6" s="266" t="s">
        <v>112</v>
      </c>
      <c r="X6" s="266"/>
      <c r="Y6" s="361" t="s">
        <v>110</v>
      </c>
      <c r="Z6" s="266"/>
      <c r="AA6" s="266" t="s">
        <v>113</v>
      </c>
      <c r="AB6" s="266"/>
      <c r="AC6" s="362" t="s">
        <v>122</v>
      </c>
      <c r="AE6" s="109"/>
      <c r="AF6" s="110"/>
      <c r="AG6" s="266" t="s">
        <v>112</v>
      </c>
      <c r="AH6" s="266"/>
      <c r="AI6" s="361" t="s">
        <v>110</v>
      </c>
      <c r="AJ6" s="266"/>
      <c r="AK6" s="266" t="s">
        <v>113</v>
      </c>
      <c r="AL6" s="266"/>
      <c r="AM6" s="362" t="s">
        <v>122</v>
      </c>
    </row>
    <row r="7" spans="1:56" s="76" customFormat="1" ht="12.75">
      <c r="A7" s="363" t="s">
        <v>120</v>
      </c>
      <c r="B7" s="71"/>
      <c r="C7" s="364" t="s">
        <v>111</v>
      </c>
      <c r="D7" s="364" t="s">
        <v>41</v>
      </c>
      <c r="E7" s="365" t="s">
        <v>109</v>
      </c>
      <c r="F7" s="364"/>
      <c r="G7" s="364" t="s">
        <v>111</v>
      </c>
      <c r="H7" s="364"/>
      <c r="I7" s="366" t="s">
        <v>121</v>
      </c>
      <c r="K7" s="363" t="s">
        <v>120</v>
      </c>
      <c r="L7" s="71"/>
      <c r="M7" s="364" t="s">
        <v>111</v>
      </c>
      <c r="N7" s="364" t="s">
        <v>41</v>
      </c>
      <c r="O7" s="365" t="s">
        <v>109</v>
      </c>
      <c r="P7" s="364"/>
      <c r="Q7" s="364" t="s">
        <v>111</v>
      </c>
      <c r="R7" s="364"/>
      <c r="S7" s="366" t="s">
        <v>121</v>
      </c>
      <c r="U7" s="363" t="s">
        <v>120</v>
      </c>
      <c r="V7" s="71"/>
      <c r="W7" s="364" t="s">
        <v>111</v>
      </c>
      <c r="X7" s="364" t="s">
        <v>41</v>
      </c>
      <c r="Y7" s="365" t="s">
        <v>109</v>
      </c>
      <c r="Z7" s="364"/>
      <c r="AA7" s="364" t="s">
        <v>111</v>
      </c>
      <c r="AB7" s="364"/>
      <c r="AC7" s="366" t="s">
        <v>121</v>
      </c>
      <c r="AE7" s="363" t="s">
        <v>120</v>
      </c>
      <c r="AF7" s="71"/>
      <c r="AG7" s="364" t="s">
        <v>111</v>
      </c>
      <c r="AH7" s="364" t="s">
        <v>41</v>
      </c>
      <c r="AI7" s="365" t="s">
        <v>109</v>
      </c>
      <c r="AJ7" s="364"/>
      <c r="AK7" s="364" t="s">
        <v>111</v>
      </c>
      <c r="AL7" s="364"/>
      <c r="AM7" s="366" t="s">
        <v>121</v>
      </c>
    </row>
    <row r="8" spans="1:56" s="76" customFormat="1" ht="12.75">
      <c r="A8" s="340" t="s">
        <v>48</v>
      </c>
      <c r="B8" s="341"/>
      <c r="C8" s="342">
        <v>10000</v>
      </c>
      <c r="D8" s="343">
        <v>1</v>
      </c>
      <c r="E8" s="68">
        <v>10</v>
      </c>
      <c r="F8" s="71"/>
      <c r="G8" s="343">
        <v>0.05</v>
      </c>
      <c r="H8" s="71"/>
      <c r="I8" s="367">
        <f>IF(C8&gt;0,((((C8-(C8*G8))/E8)*D8)/$I$5),0)</f>
        <v>9.5</v>
      </c>
      <c r="K8" s="340" t="s">
        <v>48</v>
      </c>
      <c r="L8" s="341"/>
      <c r="M8" s="342">
        <v>175000</v>
      </c>
      <c r="N8" s="343">
        <v>1</v>
      </c>
      <c r="O8" s="68">
        <v>15</v>
      </c>
      <c r="P8" s="71"/>
      <c r="Q8" s="343">
        <v>0.05</v>
      </c>
      <c r="R8" s="71"/>
      <c r="S8" s="367">
        <f>IF(M8&gt;0,((((M8-(M8*Q8))/O8)*N8)/$S$5),0)</f>
        <v>110.83333333333334</v>
      </c>
      <c r="U8" s="340" t="s">
        <v>48</v>
      </c>
      <c r="V8" s="341"/>
      <c r="W8" s="342">
        <v>5000</v>
      </c>
      <c r="X8" s="343">
        <v>1</v>
      </c>
      <c r="Y8" s="68">
        <v>5</v>
      </c>
      <c r="Z8" s="71"/>
      <c r="AA8" s="343">
        <v>0</v>
      </c>
      <c r="AB8" s="71"/>
      <c r="AC8" s="367">
        <f>IF(W8&gt;0,((((W8-(W8*AA8))/Y8)*X8)/$AC$5),0)</f>
        <v>10</v>
      </c>
      <c r="AD8" s="3"/>
      <c r="AE8" s="340" t="s">
        <v>48</v>
      </c>
      <c r="AF8" s="341"/>
      <c r="AG8" s="342">
        <v>20000</v>
      </c>
      <c r="AH8" s="343">
        <v>1</v>
      </c>
      <c r="AI8" s="68">
        <v>15</v>
      </c>
      <c r="AJ8" s="71"/>
      <c r="AK8" s="343">
        <v>0.05</v>
      </c>
      <c r="AL8" s="71"/>
      <c r="AM8" s="367">
        <f>IF(AG8&gt;0,((((AG8-(AG8*AK8))/AI8)*AH8)/$AM$5),0)</f>
        <v>12.666666666666668</v>
      </c>
      <c r="AN8" s="3"/>
    </row>
    <row r="9" spans="1:56" s="76" customFormat="1" ht="12.75">
      <c r="A9" s="340" t="s">
        <v>34</v>
      </c>
      <c r="B9" s="341"/>
      <c r="C9" s="342">
        <v>5000</v>
      </c>
      <c r="D9" s="343">
        <v>1</v>
      </c>
      <c r="E9" s="68">
        <v>20</v>
      </c>
      <c r="F9" s="71"/>
      <c r="G9" s="343">
        <v>0</v>
      </c>
      <c r="H9" s="71"/>
      <c r="I9" s="367">
        <f>IF(C9&gt;0,((((C9-(C9*G9))/E9)*D9)/$I$5),0)</f>
        <v>2.5</v>
      </c>
      <c r="K9" s="340" t="s">
        <v>34</v>
      </c>
      <c r="L9" s="341"/>
      <c r="M9" s="342">
        <v>3000</v>
      </c>
      <c r="N9" s="343">
        <v>1</v>
      </c>
      <c r="O9" s="68">
        <v>20</v>
      </c>
      <c r="P9" s="71"/>
      <c r="Q9" s="343">
        <v>0</v>
      </c>
      <c r="R9" s="71"/>
      <c r="S9" s="367">
        <f>IF(M9&gt;0,((((M9-(M9*Q9))/O9)*N9)/$S$5),0)</f>
        <v>1.5</v>
      </c>
      <c r="U9" s="340" t="s">
        <v>34</v>
      </c>
      <c r="V9" s="341"/>
      <c r="W9" s="342">
        <v>5000</v>
      </c>
      <c r="X9" s="343">
        <v>1</v>
      </c>
      <c r="Y9" s="68">
        <v>20</v>
      </c>
      <c r="Z9" s="71"/>
      <c r="AA9" s="343">
        <v>0</v>
      </c>
      <c r="AB9" s="71"/>
      <c r="AC9" s="367">
        <f>IF(W9&gt;0,((((W9-(W9*AA9))/Y9)*X9)/$AC$5),0)</f>
        <v>2.5</v>
      </c>
      <c r="AD9" s="3"/>
      <c r="AE9" s="340" t="s">
        <v>34</v>
      </c>
      <c r="AF9" s="341"/>
      <c r="AG9" s="342">
        <v>5000</v>
      </c>
      <c r="AH9" s="343">
        <v>1</v>
      </c>
      <c r="AI9" s="68">
        <v>10</v>
      </c>
      <c r="AJ9" s="71"/>
      <c r="AK9" s="343">
        <v>0</v>
      </c>
      <c r="AL9" s="71"/>
      <c r="AM9" s="367">
        <f>IF(AG9&gt;0,((((AG9-(AG9*AK9))/AI9)*AH9)/$AM$5),0)</f>
        <v>5</v>
      </c>
      <c r="AN9" s="3"/>
    </row>
    <row r="10" spans="1:56" s="76" customFormat="1" ht="12.75">
      <c r="A10" s="340" t="s">
        <v>44</v>
      </c>
      <c r="B10" s="341"/>
      <c r="C10" s="342">
        <v>10000</v>
      </c>
      <c r="D10" s="343">
        <v>1</v>
      </c>
      <c r="E10" s="68">
        <v>10</v>
      </c>
      <c r="F10" s="71"/>
      <c r="G10" s="343">
        <v>0</v>
      </c>
      <c r="H10" s="71"/>
      <c r="I10" s="367">
        <f>IF(C10&gt;0,((((C10-(C10*G10))/E10)*D10)/$I$5),0)</f>
        <v>10</v>
      </c>
      <c r="K10" s="340" t="s">
        <v>44</v>
      </c>
      <c r="L10" s="341"/>
      <c r="M10" s="342">
        <v>3000</v>
      </c>
      <c r="N10" s="343">
        <v>1</v>
      </c>
      <c r="O10" s="68">
        <v>10</v>
      </c>
      <c r="P10" s="71"/>
      <c r="Q10" s="343">
        <v>0</v>
      </c>
      <c r="R10" s="71"/>
      <c r="S10" s="367">
        <f>IF(M10&gt;0,((((M10-(M10*Q10))/O10)*N10)/$S$5),0)</f>
        <v>3</v>
      </c>
      <c r="U10" s="340" t="s">
        <v>44</v>
      </c>
      <c r="V10" s="341"/>
      <c r="W10" s="342">
        <v>20000</v>
      </c>
      <c r="X10" s="343">
        <v>1</v>
      </c>
      <c r="Y10" s="68">
        <v>10</v>
      </c>
      <c r="Z10" s="71"/>
      <c r="AA10" s="343">
        <v>0</v>
      </c>
      <c r="AB10" s="71"/>
      <c r="AC10" s="367">
        <f>IF(W10&gt;0,((((W10-(W10*AA10))/Y10)*X10)/$AC$5),0)</f>
        <v>20</v>
      </c>
      <c r="AD10" s="3"/>
      <c r="AE10" s="340" t="s">
        <v>44</v>
      </c>
      <c r="AF10" s="341"/>
      <c r="AG10" s="342">
        <v>10000</v>
      </c>
      <c r="AH10" s="343">
        <v>1</v>
      </c>
      <c r="AI10" s="68">
        <v>10</v>
      </c>
      <c r="AJ10" s="71"/>
      <c r="AK10" s="343">
        <v>0</v>
      </c>
      <c r="AL10" s="71"/>
      <c r="AM10" s="367">
        <f>IF(AG10&gt;0,((((AG10-(AG10*AK10))/AI10)*AH10)/$AM$5),0)</f>
        <v>10</v>
      </c>
      <c r="AN10" s="3"/>
    </row>
    <row r="11" spans="1:56" s="76" customFormat="1" ht="12.75">
      <c r="A11" s="344"/>
      <c r="B11" s="341"/>
      <c r="C11" s="345"/>
      <c r="D11" s="343"/>
      <c r="E11" s="68"/>
      <c r="F11" s="71"/>
      <c r="G11" s="343"/>
      <c r="H11" s="71"/>
      <c r="I11" s="367">
        <f>IF(C11&gt;0,((((C11-(C11*G11))/E11)*D11)/$I$5),0)</f>
        <v>0</v>
      </c>
      <c r="K11" s="344"/>
      <c r="L11" s="341"/>
      <c r="M11" s="345"/>
      <c r="N11" s="343">
        <v>1</v>
      </c>
      <c r="O11" s="68"/>
      <c r="P11" s="71"/>
      <c r="Q11" s="343"/>
      <c r="R11" s="71"/>
      <c r="S11" s="367">
        <f>IF(M11&gt;0,((((M11-(M11*Q11))/O11)*N11)/$S$5),0)</f>
        <v>0</v>
      </c>
      <c r="U11" s="344"/>
      <c r="V11" s="341"/>
      <c r="W11" s="345"/>
      <c r="X11" s="343">
        <v>1</v>
      </c>
      <c r="Y11" s="68"/>
      <c r="Z11" s="71"/>
      <c r="AA11" s="343"/>
      <c r="AB11" s="71"/>
      <c r="AC11" s="367">
        <f>IF(W11&gt;0,((((W11-(W11*AA11))/Y11)*X11)/$AC$5),0)</f>
        <v>0</v>
      </c>
      <c r="AD11" s="3"/>
      <c r="AE11" s="344"/>
      <c r="AF11" s="341"/>
      <c r="AG11" s="345"/>
      <c r="AH11" s="343">
        <v>1</v>
      </c>
      <c r="AI11" s="68"/>
      <c r="AJ11" s="71"/>
      <c r="AK11" s="343"/>
      <c r="AL11" s="71"/>
      <c r="AM11" s="367">
        <f>IF(AG11&gt;0,((((AG11-(AG11*AK11))/AI11)*AH11)/$AM$5),0)</f>
        <v>0</v>
      </c>
      <c r="AN11" s="3"/>
    </row>
    <row r="12" spans="1:56" s="76" customFormat="1" ht="12.75">
      <c r="A12" s="368" t="s">
        <v>27</v>
      </c>
      <c r="B12" s="369"/>
      <c r="C12" s="71"/>
      <c r="D12" s="71"/>
      <c r="E12" s="71"/>
      <c r="F12" s="71"/>
      <c r="G12" s="71"/>
      <c r="H12" s="71"/>
      <c r="I12" s="367"/>
      <c r="K12" s="368" t="s">
        <v>27</v>
      </c>
      <c r="L12" s="369"/>
      <c r="M12" s="71"/>
      <c r="N12" s="71"/>
      <c r="O12" s="71"/>
      <c r="P12" s="71"/>
      <c r="Q12" s="71"/>
      <c r="R12" s="71"/>
      <c r="S12" s="367"/>
      <c r="U12" s="368" t="s">
        <v>27</v>
      </c>
      <c r="V12" s="369"/>
      <c r="W12" s="71"/>
      <c r="X12" s="71"/>
      <c r="Y12" s="71"/>
      <c r="Z12" s="71"/>
      <c r="AA12" s="71"/>
      <c r="AB12" s="71"/>
      <c r="AC12" s="367"/>
      <c r="AD12" s="3"/>
      <c r="AE12" s="368" t="s">
        <v>27</v>
      </c>
      <c r="AF12" s="369"/>
      <c r="AG12" s="71" t="s">
        <v>31</v>
      </c>
      <c r="AH12" s="71" t="s">
        <v>41</v>
      </c>
      <c r="AI12" s="71" t="s">
        <v>32</v>
      </c>
      <c r="AJ12" s="71"/>
      <c r="AK12" s="71" t="s">
        <v>33</v>
      </c>
      <c r="AL12" s="71"/>
      <c r="AM12" s="367"/>
      <c r="AN12" s="3"/>
    </row>
    <row r="13" spans="1:56" s="76" customFormat="1" ht="12.75">
      <c r="A13" s="340" t="s">
        <v>35</v>
      </c>
      <c r="B13" s="346"/>
      <c r="C13" s="347">
        <v>30000</v>
      </c>
      <c r="D13" s="343">
        <v>0.8</v>
      </c>
      <c r="E13" s="326">
        <v>10</v>
      </c>
      <c r="F13" s="73"/>
      <c r="G13" s="247">
        <v>0.25</v>
      </c>
      <c r="H13" s="73"/>
      <c r="I13" s="367">
        <f t="shared" ref="I13:I20" si="0">IF(C13&gt;0,((((C13-(C13*G13))/E13)*D13)/$I$5),0)</f>
        <v>18</v>
      </c>
      <c r="K13" s="340" t="s">
        <v>35</v>
      </c>
      <c r="L13" s="346"/>
      <c r="M13" s="347">
        <v>30000</v>
      </c>
      <c r="N13" s="343">
        <v>0.8</v>
      </c>
      <c r="O13" s="326">
        <v>10</v>
      </c>
      <c r="P13" s="73"/>
      <c r="Q13" s="247">
        <v>0.25</v>
      </c>
      <c r="R13" s="73"/>
      <c r="S13" s="367">
        <f t="shared" ref="S13:S20" si="1">IF(M13&gt;0,((((M13-(M13*Q13))/O13)*N13)/$S$5),0)</f>
        <v>18</v>
      </c>
      <c r="U13" s="340" t="s">
        <v>35</v>
      </c>
      <c r="V13" s="346"/>
      <c r="W13" s="347">
        <v>30000</v>
      </c>
      <c r="X13" s="343">
        <v>0.8</v>
      </c>
      <c r="Y13" s="326">
        <v>10</v>
      </c>
      <c r="Z13" s="73"/>
      <c r="AA13" s="247">
        <v>0.25</v>
      </c>
      <c r="AB13" s="73"/>
      <c r="AC13" s="367">
        <f t="shared" ref="AC13:AC20" si="2">IF(W13&gt;0,((((W13-(W13*AA13))/Y13)*X13)/$AC$5),0)</f>
        <v>18</v>
      </c>
      <c r="AE13" s="340" t="s">
        <v>35</v>
      </c>
      <c r="AF13" s="346"/>
      <c r="AG13" s="347">
        <v>30000</v>
      </c>
      <c r="AH13" s="343">
        <v>0.8</v>
      </c>
      <c r="AI13" s="326">
        <v>7</v>
      </c>
      <c r="AJ13" s="73"/>
      <c r="AK13" s="247">
        <v>0.25</v>
      </c>
      <c r="AL13" s="73"/>
      <c r="AM13" s="367">
        <f t="shared" ref="AM13:AM20" si="3">IF(AG13&gt;0,((((AG13-(AG13*AK13))/AI13)*AH13)/$AM$5),0)</f>
        <v>25.714285714285715</v>
      </c>
    </row>
    <row r="14" spans="1:56" s="76" customFormat="1" ht="12.75">
      <c r="A14" s="340" t="s">
        <v>68</v>
      </c>
      <c r="B14" s="346"/>
      <c r="C14" s="347">
        <v>10000</v>
      </c>
      <c r="D14" s="343">
        <v>0.75</v>
      </c>
      <c r="E14" s="326">
        <v>7</v>
      </c>
      <c r="F14" s="73"/>
      <c r="G14" s="247">
        <v>0.1</v>
      </c>
      <c r="H14" s="73"/>
      <c r="I14" s="367">
        <f t="shared" si="0"/>
        <v>9.6428571428571441</v>
      </c>
      <c r="K14" s="340" t="s">
        <v>123</v>
      </c>
      <c r="L14" s="346"/>
      <c r="M14" s="347">
        <v>30000</v>
      </c>
      <c r="N14" s="343">
        <v>1</v>
      </c>
      <c r="O14" s="326">
        <v>10</v>
      </c>
      <c r="P14" s="73"/>
      <c r="Q14" s="247">
        <v>0.1</v>
      </c>
      <c r="R14" s="73"/>
      <c r="S14" s="367">
        <f t="shared" si="1"/>
        <v>27</v>
      </c>
      <c r="U14" s="340" t="s">
        <v>68</v>
      </c>
      <c r="V14" s="346"/>
      <c r="W14" s="347">
        <v>10000</v>
      </c>
      <c r="X14" s="343">
        <v>0.75</v>
      </c>
      <c r="Y14" s="326">
        <v>7</v>
      </c>
      <c r="Z14" s="73"/>
      <c r="AA14" s="247">
        <v>0.1</v>
      </c>
      <c r="AB14" s="73"/>
      <c r="AC14" s="367">
        <f t="shared" si="2"/>
        <v>9.6428571428571441</v>
      </c>
      <c r="AE14" s="340" t="s">
        <v>68</v>
      </c>
      <c r="AF14" s="346"/>
      <c r="AG14" s="347">
        <v>15000</v>
      </c>
      <c r="AH14" s="343">
        <v>0.75</v>
      </c>
      <c r="AI14" s="326">
        <v>5</v>
      </c>
      <c r="AJ14" s="73"/>
      <c r="AK14" s="247">
        <v>0.1</v>
      </c>
      <c r="AL14" s="73"/>
      <c r="AM14" s="367">
        <f t="shared" si="3"/>
        <v>20.25</v>
      </c>
    </row>
    <row r="15" spans="1:56" s="76" customFormat="1" ht="12.75">
      <c r="A15" s="340" t="s">
        <v>36</v>
      </c>
      <c r="B15" s="346"/>
      <c r="C15" s="347">
        <v>20000</v>
      </c>
      <c r="D15" s="343">
        <v>1</v>
      </c>
      <c r="E15" s="326">
        <v>10</v>
      </c>
      <c r="F15" s="73"/>
      <c r="G15" s="247">
        <v>0.1</v>
      </c>
      <c r="H15" s="73"/>
      <c r="I15" s="367">
        <f t="shared" si="0"/>
        <v>18</v>
      </c>
      <c r="K15" s="340" t="s">
        <v>36</v>
      </c>
      <c r="L15" s="346"/>
      <c r="M15" s="347">
        <v>40000</v>
      </c>
      <c r="N15" s="343">
        <v>1</v>
      </c>
      <c r="O15" s="326">
        <v>10</v>
      </c>
      <c r="P15" s="73"/>
      <c r="Q15" s="247">
        <v>0.1</v>
      </c>
      <c r="R15" s="73"/>
      <c r="S15" s="367">
        <f t="shared" si="1"/>
        <v>36</v>
      </c>
      <c r="U15" s="340" t="s">
        <v>36</v>
      </c>
      <c r="V15" s="346"/>
      <c r="W15" s="347"/>
      <c r="X15" s="343">
        <v>1</v>
      </c>
      <c r="Y15" s="326">
        <v>10</v>
      </c>
      <c r="Z15" s="73"/>
      <c r="AA15" s="247">
        <v>0.1</v>
      </c>
      <c r="AB15" s="73"/>
      <c r="AC15" s="367">
        <f t="shared" si="2"/>
        <v>0</v>
      </c>
      <c r="AE15" s="340" t="s">
        <v>36</v>
      </c>
      <c r="AF15" s="346"/>
      <c r="AG15" s="347">
        <v>20000</v>
      </c>
      <c r="AH15" s="343">
        <v>1</v>
      </c>
      <c r="AI15" s="326">
        <v>5</v>
      </c>
      <c r="AJ15" s="73"/>
      <c r="AK15" s="247">
        <v>0.1</v>
      </c>
      <c r="AL15" s="73"/>
      <c r="AM15" s="367">
        <f t="shared" si="3"/>
        <v>36</v>
      </c>
    </row>
    <row r="16" spans="1:56" s="76" customFormat="1" ht="12.75">
      <c r="A16" s="340" t="s">
        <v>37</v>
      </c>
      <c r="B16" s="346"/>
      <c r="C16" s="347">
        <v>10000</v>
      </c>
      <c r="D16" s="343">
        <v>1</v>
      </c>
      <c r="E16" s="326">
        <v>10</v>
      </c>
      <c r="F16" s="73"/>
      <c r="G16" s="247">
        <v>0.1</v>
      </c>
      <c r="H16" s="73"/>
      <c r="I16" s="367">
        <f t="shared" si="0"/>
        <v>9</v>
      </c>
      <c r="K16" s="340" t="s">
        <v>37</v>
      </c>
      <c r="L16" s="346"/>
      <c r="M16" s="347">
        <v>10000</v>
      </c>
      <c r="N16" s="343">
        <v>1</v>
      </c>
      <c r="O16" s="326">
        <v>10</v>
      </c>
      <c r="P16" s="73"/>
      <c r="Q16" s="247">
        <v>0.1</v>
      </c>
      <c r="R16" s="73"/>
      <c r="S16" s="367">
        <f t="shared" si="1"/>
        <v>9</v>
      </c>
      <c r="U16" s="340" t="s">
        <v>37</v>
      </c>
      <c r="V16" s="346"/>
      <c r="W16" s="347">
        <v>1000</v>
      </c>
      <c r="X16" s="343">
        <v>1</v>
      </c>
      <c r="Y16" s="326">
        <v>10</v>
      </c>
      <c r="Z16" s="73"/>
      <c r="AA16" s="247">
        <v>0.1</v>
      </c>
      <c r="AB16" s="73"/>
      <c r="AC16" s="367">
        <f t="shared" si="2"/>
        <v>0.9</v>
      </c>
      <c r="AE16" s="340"/>
      <c r="AF16" s="346"/>
      <c r="AG16" s="347"/>
      <c r="AH16" s="343"/>
      <c r="AI16" s="326"/>
      <c r="AJ16" s="73"/>
      <c r="AK16" s="247"/>
      <c r="AL16" s="73"/>
      <c r="AM16" s="367">
        <f t="shared" si="3"/>
        <v>0</v>
      </c>
    </row>
    <row r="17" spans="1:40" s="76" customFormat="1" ht="12.75">
      <c r="A17" s="340" t="s">
        <v>38</v>
      </c>
      <c r="B17" s="346"/>
      <c r="C17" s="347">
        <v>5000</v>
      </c>
      <c r="D17" s="343">
        <v>1</v>
      </c>
      <c r="E17" s="326">
        <v>8</v>
      </c>
      <c r="F17" s="73"/>
      <c r="G17" s="247">
        <v>0.1</v>
      </c>
      <c r="H17" s="73"/>
      <c r="I17" s="367">
        <f t="shared" si="0"/>
        <v>5.625</v>
      </c>
      <c r="K17" s="340" t="s">
        <v>38</v>
      </c>
      <c r="L17" s="346"/>
      <c r="M17" s="347">
        <v>10000</v>
      </c>
      <c r="N17" s="343">
        <v>1</v>
      </c>
      <c r="O17" s="326">
        <v>8</v>
      </c>
      <c r="P17" s="73"/>
      <c r="Q17" s="247">
        <v>0.1</v>
      </c>
      <c r="R17" s="73"/>
      <c r="S17" s="367">
        <f t="shared" si="1"/>
        <v>11.25</v>
      </c>
      <c r="U17" s="340" t="s">
        <v>38</v>
      </c>
      <c r="V17" s="346"/>
      <c r="W17" s="347">
        <v>5000</v>
      </c>
      <c r="X17" s="343">
        <v>1</v>
      </c>
      <c r="Y17" s="326">
        <v>10</v>
      </c>
      <c r="Z17" s="73"/>
      <c r="AA17" s="247">
        <v>0.1</v>
      </c>
      <c r="AB17" s="73"/>
      <c r="AC17" s="367">
        <f t="shared" si="2"/>
        <v>4.5</v>
      </c>
      <c r="AE17" s="340" t="s">
        <v>37</v>
      </c>
      <c r="AF17" s="346"/>
      <c r="AG17" s="347">
        <v>10000</v>
      </c>
      <c r="AH17" s="343">
        <v>1</v>
      </c>
      <c r="AI17" s="326">
        <v>10</v>
      </c>
      <c r="AJ17" s="73"/>
      <c r="AK17" s="247">
        <v>0.1</v>
      </c>
      <c r="AL17" s="73"/>
      <c r="AM17" s="367">
        <f t="shared" si="3"/>
        <v>9</v>
      </c>
    </row>
    <row r="18" spans="1:40" s="76" customFormat="1" ht="12.75">
      <c r="A18" s="340" t="s">
        <v>56</v>
      </c>
      <c r="B18" s="346"/>
      <c r="C18" s="347">
        <v>15000</v>
      </c>
      <c r="D18" s="343">
        <v>1</v>
      </c>
      <c r="E18" s="326">
        <v>15</v>
      </c>
      <c r="F18" s="73"/>
      <c r="G18" s="247">
        <v>0.15</v>
      </c>
      <c r="H18" s="73"/>
      <c r="I18" s="367">
        <f t="shared" si="0"/>
        <v>8.5</v>
      </c>
      <c r="K18" s="340" t="s">
        <v>56</v>
      </c>
      <c r="L18" s="346"/>
      <c r="M18" s="347">
        <v>15000</v>
      </c>
      <c r="N18" s="343">
        <v>1</v>
      </c>
      <c r="O18" s="326">
        <v>15</v>
      </c>
      <c r="P18" s="73"/>
      <c r="Q18" s="247">
        <v>0.15</v>
      </c>
      <c r="R18" s="73"/>
      <c r="S18" s="367">
        <f t="shared" si="1"/>
        <v>8.5</v>
      </c>
      <c r="U18" s="340" t="s">
        <v>56</v>
      </c>
      <c r="V18" s="346"/>
      <c r="W18" s="347">
        <v>15000</v>
      </c>
      <c r="X18" s="343">
        <v>1</v>
      </c>
      <c r="Y18" s="326">
        <v>10</v>
      </c>
      <c r="Z18" s="73"/>
      <c r="AA18" s="247">
        <v>0.15</v>
      </c>
      <c r="AB18" s="73"/>
      <c r="AC18" s="367">
        <f t="shared" si="2"/>
        <v>12.75</v>
      </c>
      <c r="AE18" s="340" t="s">
        <v>38</v>
      </c>
      <c r="AF18" s="346"/>
      <c r="AG18" s="347">
        <v>10000</v>
      </c>
      <c r="AH18" s="343">
        <v>1</v>
      </c>
      <c r="AI18" s="326">
        <v>8</v>
      </c>
      <c r="AJ18" s="73"/>
      <c r="AK18" s="247">
        <v>0.1</v>
      </c>
      <c r="AL18" s="73"/>
      <c r="AM18" s="367">
        <f t="shared" si="3"/>
        <v>11.25</v>
      </c>
    </row>
    <row r="19" spans="1:40" s="76" customFormat="1" ht="12.75">
      <c r="A19" s="340" t="s">
        <v>57</v>
      </c>
      <c r="B19" s="346"/>
      <c r="C19" s="347">
        <v>35000</v>
      </c>
      <c r="D19" s="343">
        <v>0.5</v>
      </c>
      <c r="E19" s="326">
        <v>7</v>
      </c>
      <c r="F19" s="73"/>
      <c r="G19" s="247">
        <v>0.25</v>
      </c>
      <c r="H19" s="73"/>
      <c r="I19" s="367">
        <f t="shared" si="0"/>
        <v>18.75</v>
      </c>
      <c r="K19" s="340" t="s">
        <v>57</v>
      </c>
      <c r="L19" s="346"/>
      <c r="M19" s="347">
        <v>35000</v>
      </c>
      <c r="N19" s="343">
        <v>0.5</v>
      </c>
      <c r="O19" s="326">
        <v>7</v>
      </c>
      <c r="P19" s="73"/>
      <c r="Q19" s="247">
        <v>0.25</v>
      </c>
      <c r="R19" s="73"/>
      <c r="S19" s="367">
        <f t="shared" si="1"/>
        <v>18.75</v>
      </c>
      <c r="U19" s="340" t="s">
        <v>57</v>
      </c>
      <c r="V19" s="346"/>
      <c r="W19" s="347">
        <v>35000</v>
      </c>
      <c r="X19" s="343">
        <v>0.5</v>
      </c>
      <c r="Y19" s="326">
        <v>7</v>
      </c>
      <c r="Z19" s="73"/>
      <c r="AA19" s="247">
        <v>0.25</v>
      </c>
      <c r="AB19" s="73"/>
      <c r="AC19" s="367">
        <f t="shared" si="2"/>
        <v>18.75</v>
      </c>
      <c r="AE19" s="340" t="s">
        <v>56</v>
      </c>
      <c r="AF19" s="346"/>
      <c r="AG19" s="347">
        <v>15000</v>
      </c>
      <c r="AH19" s="343">
        <v>1</v>
      </c>
      <c r="AI19" s="326">
        <v>15</v>
      </c>
      <c r="AJ19" s="73"/>
      <c r="AK19" s="247">
        <v>0.15</v>
      </c>
      <c r="AL19" s="73"/>
      <c r="AM19" s="367">
        <f t="shared" si="3"/>
        <v>8.5</v>
      </c>
    </row>
    <row r="20" spans="1:40" s="76" customFormat="1" ht="15">
      <c r="A20" s="340"/>
      <c r="B20" s="348"/>
      <c r="C20" s="347"/>
      <c r="D20" s="343"/>
      <c r="E20" s="326"/>
      <c r="F20" s="73"/>
      <c r="G20" s="247"/>
      <c r="H20" s="73"/>
      <c r="I20" s="370">
        <f t="shared" si="0"/>
        <v>0</v>
      </c>
      <c r="K20" s="340"/>
      <c r="L20" s="348"/>
      <c r="M20" s="347"/>
      <c r="N20" s="343"/>
      <c r="O20" s="326"/>
      <c r="P20" s="73"/>
      <c r="Q20" s="247"/>
      <c r="R20" s="73"/>
      <c r="S20" s="370">
        <f t="shared" si="1"/>
        <v>0</v>
      </c>
      <c r="U20" s="340"/>
      <c r="V20" s="348"/>
      <c r="W20" s="347"/>
      <c r="X20" s="343"/>
      <c r="Y20" s="326"/>
      <c r="Z20" s="73"/>
      <c r="AA20" s="247"/>
      <c r="AB20" s="73"/>
      <c r="AC20" s="370">
        <f t="shared" si="2"/>
        <v>0</v>
      </c>
      <c r="AE20" s="340" t="s">
        <v>57</v>
      </c>
      <c r="AF20" s="348"/>
      <c r="AG20" s="347">
        <v>35000</v>
      </c>
      <c r="AH20" s="343">
        <v>0.5</v>
      </c>
      <c r="AI20" s="326">
        <v>7</v>
      </c>
      <c r="AJ20" s="73"/>
      <c r="AK20" s="247">
        <v>0.25</v>
      </c>
      <c r="AL20" s="73"/>
      <c r="AM20" s="370">
        <f t="shared" si="3"/>
        <v>18.75</v>
      </c>
    </row>
    <row r="21" spans="1:40" s="76" customFormat="1" ht="12.75">
      <c r="A21" s="363"/>
      <c r="B21" s="73"/>
      <c r="C21" s="171"/>
      <c r="D21" s="73"/>
      <c r="E21" s="73"/>
      <c r="F21" s="73"/>
      <c r="G21" s="308" t="s">
        <v>280</v>
      </c>
      <c r="H21" s="73"/>
      <c r="I21" s="275">
        <f>SUM(I8:I20)</f>
        <v>109.51785714285714</v>
      </c>
      <c r="K21" s="363"/>
      <c r="L21" s="73"/>
      <c r="M21" s="171"/>
      <c r="N21" s="73"/>
      <c r="O21" s="73"/>
      <c r="P21" s="73"/>
      <c r="Q21" s="308" t="s">
        <v>280</v>
      </c>
      <c r="R21" s="73"/>
      <c r="S21" s="275">
        <f>SUM(S8:S20)</f>
        <v>243.83333333333334</v>
      </c>
      <c r="U21" s="363" t="s">
        <v>20</v>
      </c>
      <c r="V21" s="73"/>
      <c r="W21" s="171"/>
      <c r="X21" s="73"/>
      <c r="Y21" s="73"/>
      <c r="Z21" s="73"/>
      <c r="AA21" s="308" t="s">
        <v>280</v>
      </c>
      <c r="AB21" s="73"/>
      <c r="AC21" s="275">
        <f>SUM(AC8:AC20)</f>
        <v>97.042857142857144</v>
      </c>
      <c r="AE21" s="363"/>
      <c r="AF21" s="73"/>
      <c r="AG21" s="171">
        <f>((AG13*AH13)+(AG14*AH14)+(AG15*AH15)+(AG17*AH17)+(AG18*AH18)+(AG19*AH19)+(AG20*AH20))/AM8</f>
        <v>8506.5789473684199</v>
      </c>
      <c r="AH21" s="73"/>
      <c r="AI21" s="73"/>
      <c r="AJ21" s="73"/>
      <c r="AK21" s="308" t="s">
        <v>280</v>
      </c>
      <c r="AL21" s="73"/>
      <c r="AM21" s="275">
        <f>SUM(AM8:AM20)</f>
        <v>157.13095238095238</v>
      </c>
    </row>
    <row r="22" spans="1:40" s="76" customFormat="1" ht="12.75">
      <c r="A22" s="109"/>
      <c r="B22" s="73"/>
      <c r="C22" s="73"/>
      <c r="D22" s="73"/>
      <c r="E22" s="73"/>
      <c r="F22" s="73"/>
      <c r="G22" s="73"/>
      <c r="H22" s="73"/>
      <c r="I22" s="127"/>
      <c r="K22" s="109"/>
      <c r="L22" s="73"/>
      <c r="M22" s="73"/>
      <c r="N22" s="73"/>
      <c r="O22" s="73"/>
      <c r="P22" s="73"/>
      <c r="Q22" s="73"/>
      <c r="R22" s="73"/>
      <c r="S22" s="127"/>
      <c r="U22" s="109"/>
      <c r="V22" s="73"/>
      <c r="W22" s="73"/>
      <c r="X22" s="73"/>
      <c r="Y22" s="73"/>
      <c r="Z22" s="73"/>
      <c r="AA22" s="73"/>
      <c r="AB22" s="73"/>
      <c r="AC22" s="127"/>
      <c r="AE22" s="109"/>
      <c r="AF22" s="73"/>
      <c r="AG22" s="73"/>
      <c r="AH22" s="73"/>
      <c r="AI22" s="73"/>
      <c r="AJ22" s="73"/>
      <c r="AK22" s="73"/>
      <c r="AL22" s="73"/>
      <c r="AM22" s="127"/>
    </row>
    <row r="23" spans="1:40" s="76" customFormat="1" ht="12.75">
      <c r="A23" s="371"/>
      <c r="B23" s="71"/>
      <c r="C23" s="71"/>
      <c r="D23" s="364" t="s">
        <v>115</v>
      </c>
      <c r="E23" s="364" t="s">
        <v>116</v>
      </c>
      <c r="F23" s="71"/>
      <c r="G23" s="364" t="s">
        <v>113</v>
      </c>
      <c r="H23" s="71"/>
      <c r="I23" s="367"/>
      <c r="K23" s="371"/>
      <c r="L23" s="71"/>
      <c r="M23" s="71"/>
      <c r="N23" s="364" t="s">
        <v>115</v>
      </c>
      <c r="O23" s="364" t="s">
        <v>116</v>
      </c>
      <c r="P23" s="71"/>
      <c r="Q23" s="364" t="s">
        <v>113</v>
      </c>
      <c r="R23" s="71"/>
      <c r="S23" s="367"/>
      <c r="U23" s="371"/>
      <c r="V23" s="71"/>
      <c r="W23" s="71"/>
      <c r="X23" s="364" t="s">
        <v>115</v>
      </c>
      <c r="Y23" s="364" t="s">
        <v>116</v>
      </c>
      <c r="Z23" s="71"/>
      <c r="AA23" s="364" t="s">
        <v>113</v>
      </c>
      <c r="AB23" s="71"/>
      <c r="AC23" s="367"/>
      <c r="AE23" s="371"/>
      <c r="AF23" s="71"/>
      <c r="AG23" s="71"/>
      <c r="AH23" s="364" t="s">
        <v>115</v>
      </c>
      <c r="AI23" s="364" t="s">
        <v>116</v>
      </c>
      <c r="AJ23" s="71"/>
      <c r="AK23" s="364" t="s">
        <v>113</v>
      </c>
      <c r="AL23" s="71"/>
      <c r="AM23" s="367"/>
    </row>
    <row r="24" spans="1:40" s="76" customFormat="1" ht="12.75">
      <c r="A24" s="109"/>
      <c r="B24" s="73"/>
      <c r="C24" s="73"/>
      <c r="D24" s="266" t="s">
        <v>111</v>
      </c>
      <c r="E24" s="73" t="s">
        <v>133</v>
      </c>
      <c r="F24" s="73"/>
      <c r="G24" s="266" t="s">
        <v>135</v>
      </c>
      <c r="H24" s="73"/>
      <c r="I24" s="268"/>
      <c r="K24" s="109"/>
      <c r="L24" s="73"/>
      <c r="M24" s="73"/>
      <c r="N24" s="266" t="s">
        <v>111</v>
      </c>
      <c r="O24" s="73" t="s">
        <v>133</v>
      </c>
      <c r="P24" s="73"/>
      <c r="Q24" s="266" t="s">
        <v>135</v>
      </c>
      <c r="R24" s="73"/>
      <c r="S24" s="268"/>
      <c r="U24" s="109"/>
      <c r="V24" s="73"/>
      <c r="W24" s="73"/>
      <c r="X24" s="266" t="s">
        <v>111</v>
      </c>
      <c r="Y24" s="73" t="s">
        <v>133</v>
      </c>
      <c r="Z24" s="73"/>
      <c r="AA24" s="266" t="s">
        <v>135</v>
      </c>
      <c r="AB24" s="73"/>
      <c r="AC24" s="268"/>
      <c r="AE24" s="109"/>
      <c r="AF24" s="73"/>
      <c r="AG24" s="73"/>
      <c r="AH24" s="266" t="s">
        <v>111</v>
      </c>
      <c r="AI24" s="73" t="s">
        <v>133</v>
      </c>
      <c r="AJ24" s="73"/>
      <c r="AK24" s="266" t="s">
        <v>135</v>
      </c>
      <c r="AL24" s="73"/>
      <c r="AM24" s="268"/>
    </row>
    <row r="25" spans="1:40" s="76" customFormat="1" ht="12.75">
      <c r="A25" s="109" t="s">
        <v>134</v>
      </c>
      <c r="B25" s="73"/>
      <c r="C25" s="73"/>
      <c r="D25" s="349">
        <v>1500</v>
      </c>
      <c r="E25" s="326">
        <v>6</v>
      </c>
      <c r="F25" s="73"/>
      <c r="G25" s="350">
        <v>500</v>
      </c>
      <c r="H25" s="73"/>
      <c r="I25" s="367">
        <f>IF(D25&gt;0,(D25-G25)/E25,0)</f>
        <v>166.66666666666666</v>
      </c>
      <c r="K25" s="109" t="s">
        <v>134</v>
      </c>
      <c r="L25" s="73"/>
      <c r="M25" s="73"/>
      <c r="N25" s="349">
        <v>1500</v>
      </c>
      <c r="O25" s="326">
        <v>6</v>
      </c>
      <c r="P25" s="73"/>
      <c r="Q25" s="350">
        <v>500</v>
      </c>
      <c r="R25" s="73"/>
      <c r="S25" s="367">
        <f>IF(N25&gt;0,(N25-Q25)/O25,0)</f>
        <v>166.66666666666666</v>
      </c>
      <c r="U25" s="109" t="s">
        <v>134</v>
      </c>
      <c r="V25" s="73"/>
      <c r="W25" s="73"/>
      <c r="X25" s="349">
        <v>1500</v>
      </c>
      <c r="Y25" s="326">
        <v>6</v>
      </c>
      <c r="Z25" s="73"/>
      <c r="AA25" s="350">
        <v>800</v>
      </c>
      <c r="AB25" s="73"/>
      <c r="AC25" s="367">
        <f>IF(X25&gt;0,(X25-AA25)/Y25,0)</f>
        <v>116.66666666666667</v>
      </c>
      <c r="AE25" s="109" t="s">
        <v>134</v>
      </c>
      <c r="AF25" s="73"/>
      <c r="AG25" s="73"/>
      <c r="AH25" s="349">
        <v>1500</v>
      </c>
      <c r="AI25" s="326">
        <v>6</v>
      </c>
      <c r="AJ25" s="73"/>
      <c r="AK25" s="350">
        <v>800</v>
      </c>
      <c r="AL25" s="73"/>
      <c r="AM25" s="367">
        <f>IF(AH25&gt;0,(AH25-AK25)/AI25,0)</f>
        <v>116.66666666666667</v>
      </c>
    </row>
    <row r="26" spans="1:40" s="76" customFormat="1" ht="12.75">
      <c r="A26" s="371" t="s">
        <v>25</v>
      </c>
      <c r="B26" s="71"/>
      <c r="C26" s="71"/>
      <c r="D26" s="351">
        <v>4000</v>
      </c>
      <c r="E26" s="68">
        <v>3</v>
      </c>
      <c r="F26" s="71"/>
      <c r="G26" s="352">
        <v>1500</v>
      </c>
      <c r="H26" s="71"/>
      <c r="I26" s="367">
        <f>IF(D26&gt;0,(((D26-G26)*C27)/E26)/I5,0)</f>
        <v>25</v>
      </c>
      <c r="K26" s="371" t="s">
        <v>243</v>
      </c>
      <c r="L26" s="71"/>
      <c r="M26" s="71"/>
      <c r="N26" s="351">
        <v>4000</v>
      </c>
      <c r="O26" s="68">
        <v>3</v>
      </c>
      <c r="P26" s="71"/>
      <c r="Q26" s="352">
        <v>1500</v>
      </c>
      <c r="R26" s="71"/>
      <c r="S26" s="367">
        <f>IF(N26&gt;0,(((N26-Q26)*M27)/O26)/S5,0)</f>
        <v>25</v>
      </c>
      <c r="U26" s="371" t="s">
        <v>243</v>
      </c>
      <c r="V26" s="71"/>
      <c r="W26" s="71"/>
      <c r="X26" s="351">
        <v>2500</v>
      </c>
      <c r="Y26" s="68">
        <v>3</v>
      </c>
      <c r="Z26" s="71"/>
      <c r="AA26" s="352">
        <v>800</v>
      </c>
      <c r="AB26" s="71"/>
      <c r="AC26" s="367">
        <f>IF(X26&gt;0,(((X26-AA26)*W27)/Y26)/AC5,0)</f>
        <v>17</v>
      </c>
      <c r="AD26" s="3"/>
      <c r="AE26" s="371" t="s">
        <v>243</v>
      </c>
      <c r="AF26" s="71"/>
      <c r="AG26" s="71"/>
      <c r="AH26" s="351">
        <v>2500</v>
      </c>
      <c r="AI26" s="68">
        <v>3</v>
      </c>
      <c r="AJ26" s="71"/>
      <c r="AK26" s="352">
        <v>800</v>
      </c>
      <c r="AL26" s="71"/>
      <c r="AM26" s="367">
        <f>IF(AH26&gt;0,(((AH26-AK26)*AG27)/AI26)/AM5,0)</f>
        <v>17</v>
      </c>
      <c r="AN26" s="3"/>
    </row>
    <row r="27" spans="1:40" s="76" customFormat="1" ht="12.75">
      <c r="A27" s="371"/>
      <c r="B27" s="135" t="s">
        <v>290</v>
      </c>
      <c r="C27" s="419">
        <v>3</v>
      </c>
      <c r="D27" s="71"/>
      <c r="E27" s="71"/>
      <c r="F27" s="71"/>
      <c r="G27" s="71"/>
      <c r="H27" s="71"/>
      <c r="I27" s="367"/>
      <c r="K27" s="371"/>
      <c r="L27" s="135" t="s">
        <v>290</v>
      </c>
      <c r="M27" s="419">
        <v>3</v>
      </c>
      <c r="N27" s="71"/>
      <c r="O27" s="71"/>
      <c r="P27" s="71"/>
      <c r="Q27" s="71"/>
      <c r="R27" s="71"/>
      <c r="S27" s="367"/>
      <c r="U27" s="371"/>
      <c r="V27" s="135" t="s">
        <v>290</v>
      </c>
      <c r="W27" s="419">
        <v>3</v>
      </c>
      <c r="X27" s="71"/>
      <c r="Y27" s="71"/>
      <c r="Z27" s="71"/>
      <c r="AA27" s="71"/>
      <c r="AB27" s="71"/>
      <c r="AC27" s="367"/>
      <c r="AD27" s="3"/>
      <c r="AE27" s="371"/>
      <c r="AF27" s="135" t="s">
        <v>290</v>
      </c>
      <c r="AG27" s="419">
        <v>3</v>
      </c>
      <c r="AH27" s="71"/>
      <c r="AI27" s="71"/>
      <c r="AJ27" s="71"/>
      <c r="AK27" s="71"/>
      <c r="AL27" s="71"/>
      <c r="AM27" s="367"/>
      <c r="AN27" s="3"/>
    </row>
    <row r="28" spans="1:40" s="76" customFormat="1" ht="12.75">
      <c r="A28" s="109"/>
      <c r="B28" s="73"/>
      <c r="C28" s="73"/>
      <c r="D28" s="73"/>
      <c r="E28" s="73"/>
      <c r="F28" s="73"/>
      <c r="G28" s="73"/>
      <c r="H28" s="73"/>
      <c r="I28" s="127"/>
      <c r="K28" s="109"/>
      <c r="L28" s="73"/>
      <c r="M28" s="73"/>
      <c r="N28" s="73"/>
      <c r="O28" s="73"/>
      <c r="P28" s="73"/>
      <c r="Q28" s="73"/>
      <c r="R28" s="73"/>
      <c r="S28" s="127"/>
      <c r="U28" s="109"/>
      <c r="V28" s="73"/>
      <c r="W28" s="73"/>
      <c r="X28" s="73"/>
      <c r="Y28" s="73"/>
      <c r="Z28" s="73"/>
      <c r="AA28" s="73"/>
      <c r="AB28" s="73"/>
      <c r="AC28" s="127"/>
      <c r="AD28" s="3"/>
      <c r="AE28" s="109"/>
      <c r="AF28" s="73"/>
      <c r="AG28" s="73"/>
      <c r="AH28" s="73"/>
      <c r="AI28" s="73"/>
      <c r="AJ28" s="73"/>
      <c r="AK28" s="73"/>
      <c r="AL28" s="73"/>
      <c r="AM28" s="127"/>
      <c r="AN28" s="3"/>
    </row>
    <row r="29" spans="1:40" s="76" customFormat="1" ht="12.75">
      <c r="A29" s="363" t="s">
        <v>282</v>
      </c>
      <c r="B29" s="73"/>
      <c r="C29" s="73"/>
      <c r="D29" s="73" t="s">
        <v>299</v>
      </c>
      <c r="E29" s="73"/>
      <c r="F29" s="73"/>
      <c r="G29" s="73"/>
      <c r="H29" s="73"/>
      <c r="I29" s="367"/>
      <c r="K29" s="363" t="s">
        <v>55</v>
      </c>
      <c r="L29" s="73"/>
      <c r="M29" s="73"/>
      <c r="N29" s="73" t="s">
        <v>114</v>
      </c>
      <c r="O29" s="73"/>
      <c r="P29" s="73"/>
      <c r="Q29" s="73"/>
      <c r="R29" s="73"/>
      <c r="S29" s="367"/>
      <c r="U29" s="363" t="s">
        <v>55</v>
      </c>
      <c r="V29" s="73"/>
      <c r="W29" s="73"/>
      <c r="X29" s="73" t="s">
        <v>114</v>
      </c>
      <c r="Y29" s="73"/>
      <c r="Z29" s="73"/>
      <c r="AA29" s="73"/>
      <c r="AB29" s="73"/>
      <c r="AC29" s="367"/>
      <c r="AE29" s="363" t="s">
        <v>55</v>
      </c>
      <c r="AF29" s="73"/>
      <c r="AG29" s="73"/>
      <c r="AH29" s="73" t="s">
        <v>114</v>
      </c>
      <c r="AI29" s="73"/>
      <c r="AJ29" s="73"/>
      <c r="AK29" s="73"/>
      <c r="AL29" s="73"/>
      <c r="AM29" s="367"/>
    </row>
    <row r="30" spans="1:40" s="76" customFormat="1" ht="12.75">
      <c r="A30" s="372" t="s">
        <v>281</v>
      </c>
      <c r="B30" s="72"/>
      <c r="C30" s="73"/>
      <c r="D30" s="343">
        <v>0.03</v>
      </c>
      <c r="E30" s="73"/>
      <c r="F30" s="73"/>
      <c r="G30" s="73"/>
      <c r="H30" s="73"/>
      <c r="I30" s="367">
        <f>SUM(C8:C11)*D30/I5</f>
        <v>7.5</v>
      </c>
      <c r="K30" s="372" t="s">
        <v>281</v>
      </c>
      <c r="L30" s="72"/>
      <c r="M30" s="73"/>
      <c r="N30" s="343">
        <v>0.03</v>
      </c>
      <c r="O30" s="73"/>
      <c r="P30" s="73"/>
      <c r="Q30" s="73"/>
      <c r="R30" s="73"/>
      <c r="S30" s="367">
        <f>SUM(M8:M11)*N30/S5</f>
        <v>54.3</v>
      </c>
      <c r="U30" s="372" t="s">
        <v>281</v>
      </c>
      <c r="V30" s="72"/>
      <c r="W30" s="73"/>
      <c r="X30" s="343">
        <v>0.03</v>
      </c>
      <c r="Y30" s="73"/>
      <c r="Z30" s="73"/>
      <c r="AA30" s="73"/>
      <c r="AB30" s="73"/>
      <c r="AC30" s="367">
        <f>SUM(W8:W11)*X30/AC5</f>
        <v>9</v>
      </c>
      <c r="AE30" s="372" t="s">
        <v>281</v>
      </c>
      <c r="AF30" s="72"/>
      <c r="AG30" s="73"/>
      <c r="AH30" s="343">
        <v>0.03</v>
      </c>
      <c r="AI30" s="73"/>
      <c r="AJ30" s="73"/>
      <c r="AK30" s="73"/>
      <c r="AL30" s="73"/>
      <c r="AM30" s="367">
        <f>SUM(AG8:AG11)*AH30/AM5</f>
        <v>10.5</v>
      </c>
    </row>
    <row r="31" spans="1:40" s="76" customFormat="1" ht="12.75">
      <c r="A31" s="372" t="s">
        <v>278</v>
      </c>
      <c r="B31" s="72"/>
      <c r="C31" s="73"/>
      <c r="D31" s="343">
        <v>0.01</v>
      </c>
      <c r="E31" s="73"/>
      <c r="F31" s="73"/>
      <c r="G31" s="73"/>
      <c r="H31" s="73"/>
      <c r="I31" s="367">
        <f>SUM(C13:C20)*D31/I5</f>
        <v>12.5</v>
      </c>
      <c r="K31" s="372" t="s">
        <v>278</v>
      </c>
      <c r="L31" s="72"/>
      <c r="M31" s="73"/>
      <c r="N31" s="343">
        <v>0.01</v>
      </c>
      <c r="O31" s="73"/>
      <c r="P31" s="73"/>
      <c r="Q31" s="73"/>
      <c r="R31" s="73"/>
      <c r="S31" s="367">
        <f>SUM(M13:M20)*N31/S5</f>
        <v>17</v>
      </c>
      <c r="U31" s="372" t="s">
        <v>278</v>
      </c>
      <c r="V31" s="72"/>
      <c r="W31" s="73"/>
      <c r="X31" s="343">
        <v>0.01</v>
      </c>
      <c r="Y31" s="73"/>
      <c r="Z31" s="73"/>
      <c r="AA31" s="73"/>
      <c r="AB31" s="73"/>
      <c r="AC31" s="367">
        <f>SUM(W13:W20)*X31/AC5</f>
        <v>9.6</v>
      </c>
      <c r="AD31" s="3"/>
      <c r="AE31" s="372" t="s">
        <v>278</v>
      </c>
      <c r="AF31" s="72"/>
      <c r="AG31" s="73"/>
      <c r="AH31" s="343">
        <v>0.01</v>
      </c>
      <c r="AI31" s="73"/>
      <c r="AJ31" s="73"/>
      <c r="AK31" s="73"/>
      <c r="AL31" s="73"/>
      <c r="AM31" s="367">
        <f>SUM(AG13:AG20)*AH31/AM5</f>
        <v>13.5</v>
      </c>
      <c r="AN31" s="3"/>
    </row>
    <row r="32" spans="1:40" s="76" customFormat="1" ht="15">
      <c r="A32" s="190" t="s">
        <v>279</v>
      </c>
      <c r="B32" s="72"/>
      <c r="C32" s="73"/>
      <c r="D32" s="343">
        <v>0.01</v>
      </c>
      <c r="E32" s="73"/>
      <c r="F32" s="73"/>
      <c r="G32" s="73"/>
      <c r="H32" s="73"/>
      <c r="I32" s="370">
        <f>D32*D25</f>
        <v>15</v>
      </c>
      <c r="K32" s="190" t="s">
        <v>279</v>
      </c>
      <c r="L32" s="72"/>
      <c r="M32" s="73"/>
      <c r="N32" s="343">
        <v>0.01</v>
      </c>
      <c r="O32" s="73"/>
      <c r="P32" s="73"/>
      <c r="Q32" s="73"/>
      <c r="R32" s="73"/>
      <c r="S32" s="370">
        <f>N32*N25</f>
        <v>15</v>
      </c>
      <c r="U32" s="190" t="s">
        <v>279</v>
      </c>
      <c r="V32" s="72"/>
      <c r="W32" s="73"/>
      <c r="X32" s="343">
        <v>0.01</v>
      </c>
      <c r="Y32" s="73"/>
      <c r="Z32" s="73"/>
      <c r="AA32" s="73"/>
      <c r="AB32" s="73"/>
      <c r="AC32" s="370">
        <f>X32*X25</f>
        <v>15</v>
      </c>
      <c r="AD32" s="3"/>
      <c r="AE32" s="190" t="s">
        <v>279</v>
      </c>
      <c r="AF32" s="72"/>
      <c r="AG32" s="73"/>
      <c r="AH32" s="343">
        <v>0.01</v>
      </c>
      <c r="AI32" s="73"/>
      <c r="AJ32" s="73"/>
      <c r="AK32" s="73"/>
      <c r="AL32" s="73"/>
      <c r="AM32" s="370">
        <f>AH32*AH25</f>
        <v>15</v>
      </c>
      <c r="AN32" s="3"/>
    </row>
    <row r="33" spans="1:39" s="76" customFormat="1" ht="12.75">
      <c r="A33" s="109"/>
      <c r="B33" s="15"/>
      <c r="C33" s="71"/>
      <c r="D33" s="71"/>
      <c r="E33" s="71"/>
      <c r="F33" s="71"/>
      <c r="G33" s="71"/>
      <c r="H33" s="71"/>
      <c r="I33" s="367">
        <f>SUM(I30:I32)</f>
        <v>35</v>
      </c>
      <c r="K33" s="109"/>
      <c r="L33" s="15"/>
      <c r="M33" s="71"/>
      <c r="N33" s="71"/>
      <c r="O33" s="71"/>
      <c r="P33" s="71"/>
      <c r="Q33" s="71"/>
      <c r="R33" s="71"/>
      <c r="S33" s="367">
        <f>SUM(S30:S32)</f>
        <v>86.3</v>
      </c>
      <c r="U33" s="109"/>
      <c r="V33" s="15"/>
      <c r="W33" s="71"/>
      <c r="X33" s="71"/>
      <c r="Y33" s="71"/>
      <c r="Z33" s="71"/>
      <c r="AA33" s="71"/>
      <c r="AB33" s="71"/>
      <c r="AC33" s="367">
        <f>SUM(AC30:AC32)</f>
        <v>33.6</v>
      </c>
      <c r="AE33" s="109"/>
      <c r="AF33" s="15"/>
      <c r="AG33" s="71"/>
      <c r="AH33" s="71"/>
      <c r="AI33" s="71"/>
      <c r="AJ33" s="71"/>
      <c r="AK33" s="71"/>
      <c r="AL33" s="71"/>
      <c r="AM33" s="367">
        <f>SUM(AM30:AM32)</f>
        <v>39</v>
      </c>
    </row>
    <row r="34" spans="1:39" s="76" customFormat="1" ht="12.75">
      <c r="A34" s="368" t="s">
        <v>117</v>
      </c>
      <c r="B34" s="73"/>
      <c r="C34" s="73"/>
      <c r="D34" s="266" t="s">
        <v>53</v>
      </c>
      <c r="E34" s="73"/>
      <c r="F34" s="73"/>
      <c r="G34" s="73"/>
      <c r="H34" s="73"/>
      <c r="I34" s="127"/>
      <c r="K34" s="368" t="s">
        <v>117</v>
      </c>
      <c r="L34" s="73"/>
      <c r="M34" s="73"/>
      <c r="N34" s="266" t="s">
        <v>53</v>
      </c>
      <c r="O34" s="73"/>
      <c r="P34" s="73"/>
      <c r="Q34" s="73"/>
      <c r="R34" s="73"/>
      <c r="S34" s="127"/>
      <c r="U34" s="368" t="s">
        <v>117</v>
      </c>
      <c r="V34" s="73"/>
      <c r="W34" s="73"/>
      <c r="X34" s="266" t="s">
        <v>53</v>
      </c>
      <c r="Y34" s="73"/>
      <c r="Z34" s="73"/>
      <c r="AA34" s="73"/>
      <c r="AB34" s="73"/>
      <c r="AC34" s="127"/>
      <c r="AE34" s="368" t="s">
        <v>117</v>
      </c>
      <c r="AF34" s="73"/>
      <c r="AG34" s="73"/>
      <c r="AH34" s="266" t="s">
        <v>53</v>
      </c>
      <c r="AI34" s="73"/>
      <c r="AJ34" s="73"/>
      <c r="AK34" s="73"/>
      <c r="AL34" s="73"/>
      <c r="AM34" s="127"/>
    </row>
    <row r="35" spans="1:39" s="76" customFormat="1" ht="12.75">
      <c r="A35" s="109"/>
      <c r="B35" s="73" t="s">
        <v>118</v>
      </c>
      <c r="C35" s="73"/>
      <c r="D35" s="266" t="s">
        <v>119</v>
      </c>
      <c r="E35" s="73"/>
      <c r="F35" s="73"/>
      <c r="G35" s="73"/>
      <c r="H35" s="73"/>
      <c r="I35" s="127"/>
      <c r="K35" s="109"/>
      <c r="L35" s="73" t="s">
        <v>118</v>
      </c>
      <c r="M35" s="73"/>
      <c r="N35" s="266" t="s">
        <v>119</v>
      </c>
      <c r="O35" s="73"/>
      <c r="P35" s="73"/>
      <c r="Q35" s="73"/>
      <c r="R35" s="73"/>
      <c r="S35" s="127"/>
      <c r="U35" s="109"/>
      <c r="V35" s="73" t="s">
        <v>118</v>
      </c>
      <c r="W35" s="73"/>
      <c r="X35" s="266" t="s">
        <v>119</v>
      </c>
      <c r="Y35" s="73"/>
      <c r="Z35" s="73"/>
      <c r="AA35" s="73"/>
      <c r="AB35" s="73"/>
      <c r="AC35" s="127"/>
      <c r="AE35" s="109"/>
      <c r="AF35" s="73" t="s">
        <v>118</v>
      </c>
      <c r="AG35" s="73"/>
      <c r="AH35" s="266" t="s">
        <v>119</v>
      </c>
      <c r="AI35" s="73"/>
      <c r="AJ35" s="73"/>
      <c r="AK35" s="73"/>
      <c r="AL35" s="73"/>
      <c r="AM35" s="127"/>
    </row>
    <row r="36" spans="1:39" s="76" customFormat="1" ht="15">
      <c r="A36" s="109"/>
      <c r="B36" s="373">
        <f>SUM(C8:C20)+(D25*I5)+D26</f>
        <v>304000</v>
      </c>
      <c r="C36" s="73"/>
      <c r="D36" s="247">
        <v>0.03</v>
      </c>
      <c r="E36" s="73"/>
      <c r="F36" s="73"/>
      <c r="G36" s="73"/>
      <c r="H36" s="73"/>
      <c r="I36" s="374">
        <f>B36*D36/I5</f>
        <v>91.2</v>
      </c>
      <c r="K36" s="109"/>
      <c r="L36" s="373">
        <f>SUM(M8:M20)+(N25*S5)+N26</f>
        <v>505000</v>
      </c>
      <c r="M36" s="73"/>
      <c r="N36" s="247">
        <v>0.03</v>
      </c>
      <c r="O36" s="73"/>
      <c r="P36" s="73"/>
      <c r="Q36" s="73"/>
      <c r="R36" s="73"/>
      <c r="S36" s="374">
        <f>L36*N36/S5</f>
        <v>151.5</v>
      </c>
      <c r="U36" s="109"/>
      <c r="V36" s="373">
        <f>SUM(W8:W20)+(X25*AC5)+X26</f>
        <v>278500</v>
      </c>
      <c r="W36" s="73"/>
      <c r="X36" s="247">
        <v>0.03</v>
      </c>
      <c r="Y36" s="73"/>
      <c r="Z36" s="73"/>
      <c r="AA36" s="73"/>
      <c r="AB36" s="73"/>
      <c r="AC36" s="374">
        <f>V36*X36/AC5</f>
        <v>83.55</v>
      </c>
      <c r="AE36" s="109"/>
      <c r="AF36" s="373">
        <f>SUM(AG8:AG20)+(AH25*AM5)+AH26</f>
        <v>322500</v>
      </c>
      <c r="AG36" s="73"/>
      <c r="AH36" s="247">
        <v>0.03</v>
      </c>
      <c r="AI36" s="73"/>
      <c r="AJ36" s="73"/>
      <c r="AK36" s="73"/>
      <c r="AL36" s="73"/>
      <c r="AM36" s="374">
        <f>AF36*AH36/AM5</f>
        <v>96.75</v>
      </c>
    </row>
    <row r="37" spans="1:39" s="76" customFormat="1" ht="12.75">
      <c r="A37" s="109"/>
      <c r="B37" s="73"/>
      <c r="C37" s="73"/>
      <c r="D37" s="73"/>
      <c r="E37" s="73"/>
      <c r="F37" s="73"/>
      <c r="G37" s="73"/>
      <c r="H37" s="73"/>
      <c r="I37" s="127"/>
      <c r="K37" s="109"/>
      <c r="L37" s="73"/>
      <c r="M37" s="73"/>
      <c r="N37" s="73"/>
      <c r="O37" s="73"/>
      <c r="P37" s="73"/>
      <c r="Q37" s="73"/>
      <c r="R37" s="73"/>
      <c r="S37" s="127"/>
      <c r="U37" s="109"/>
      <c r="V37" s="73"/>
      <c r="W37" s="73"/>
      <c r="X37" s="73"/>
      <c r="Y37" s="73"/>
      <c r="Z37" s="73"/>
      <c r="AA37" s="73"/>
      <c r="AB37" s="73"/>
      <c r="AC37" s="127"/>
      <c r="AE37" s="109"/>
      <c r="AF37" s="73"/>
      <c r="AG37" s="73"/>
      <c r="AH37" s="73"/>
      <c r="AI37" s="73"/>
      <c r="AJ37" s="73"/>
      <c r="AK37" s="73"/>
      <c r="AL37" s="73"/>
      <c r="AM37" s="127"/>
    </row>
    <row r="38" spans="1:39" s="76" customFormat="1" ht="13.5" thickBot="1">
      <c r="A38" s="285"/>
      <c r="B38" s="119"/>
      <c r="C38" s="119"/>
      <c r="D38" s="119"/>
      <c r="E38" s="119"/>
      <c r="F38" s="119"/>
      <c r="G38" s="119"/>
      <c r="H38" s="312" t="s">
        <v>329</v>
      </c>
      <c r="I38" s="375">
        <f>I36+I33+I26+I25+I21</f>
        <v>427.38452380952378</v>
      </c>
      <c r="K38" s="285"/>
      <c r="L38" s="119"/>
      <c r="M38" s="119"/>
      <c r="N38" s="119"/>
      <c r="O38" s="119"/>
      <c r="P38" s="119"/>
      <c r="Q38" s="119"/>
      <c r="R38" s="312" t="s">
        <v>329</v>
      </c>
      <c r="S38" s="375">
        <f>S36+S33+S26+S25+S21</f>
        <v>673.30000000000007</v>
      </c>
      <c r="U38" s="285"/>
      <c r="V38" s="119"/>
      <c r="W38" s="119"/>
      <c r="X38" s="119"/>
      <c r="Y38" s="119"/>
      <c r="Z38" s="119"/>
      <c r="AA38" s="119"/>
      <c r="AB38" s="312" t="s">
        <v>329</v>
      </c>
      <c r="AC38" s="375">
        <f>AC36+AC33+AC26+AC25+AC21</f>
        <v>347.85952380952381</v>
      </c>
      <c r="AE38" s="285"/>
      <c r="AF38" s="119"/>
      <c r="AG38" s="119"/>
      <c r="AH38" s="119"/>
      <c r="AI38" s="119"/>
      <c r="AJ38" s="119"/>
      <c r="AK38" s="119"/>
      <c r="AL38" s="312" t="s">
        <v>329</v>
      </c>
      <c r="AM38" s="375">
        <f>AM36+AM33+AM26+AM25+AM21</f>
        <v>426.54761904761904</v>
      </c>
    </row>
    <row r="39" spans="1:39" s="76" customFormat="1" ht="12.75"/>
    <row r="41" spans="1:39" ht="15.75">
      <c r="B41" s="456" t="s">
        <v>326</v>
      </c>
      <c r="C41" s="456"/>
      <c r="D41" s="456"/>
    </row>
  </sheetData>
  <sheetProtection algorithmName="SHA-512" hashValue="tjZQT/R5KeGJZ3+25mK7WegzQrjXqZLlDVBTT2SHW7pzIp9b78kmOWGNh0RysOVO5r9AAE5VKYheIaw1GRhNOw==" saltValue="WdK8gxr3+n7+sECKyhhKIg==" spinCount="100000" sheet="1" selectLockedCells="1"/>
  <mergeCells count="1">
    <mergeCell ref="B41:D41"/>
  </mergeCells>
  <hyperlinks>
    <hyperlink ref="B41" location="'Budget comparison'!A1" display="Return to budget comparison"/>
  </hyperlinks>
  <pageMargins left="0.7" right="0.7" top="0.75" bottom="0.75" header="0.3" footer="0.3"/>
  <pageSetup orientation="portrait" horizontalDpi="1200" verticalDpi="1200" r:id="rId1"/>
  <colBreaks count="1" manualBreakCount="1">
    <brk id="2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showGridLines="0" zoomScaleNormal="100" workbookViewId="0">
      <selection activeCell="A8" sqref="A8"/>
    </sheetView>
  </sheetViews>
  <sheetFormatPr defaultColWidth="9.140625" defaultRowHeight="14.25"/>
  <cols>
    <col min="1" max="1" width="9.140625" style="105"/>
    <col min="2" max="2" width="12.42578125" style="105" customWidth="1"/>
    <col min="3" max="3" width="16.42578125" style="105" bestFit="1" customWidth="1"/>
    <col min="4" max="4" width="17.42578125" style="105" customWidth="1"/>
    <col min="5" max="5" width="16.42578125" style="105" customWidth="1"/>
    <col min="6" max="8" width="12.42578125" style="105" customWidth="1"/>
    <col min="9" max="11" width="16.140625" style="105" customWidth="1"/>
    <col min="12" max="13" width="15.5703125" style="105" bestFit="1" customWidth="1"/>
    <col min="14" max="19" width="9.140625" style="105"/>
    <col min="20" max="20" width="13" style="105" bestFit="1" customWidth="1"/>
    <col min="21" max="16384" width="9.140625" style="105"/>
  </cols>
  <sheetData>
    <row r="1" spans="1:56" s="103" customFormat="1" ht="18.75" thickBot="1">
      <c r="A1" s="103" t="s">
        <v>340</v>
      </c>
    </row>
    <row r="2" spans="1:56" ht="15.75" thickTop="1">
      <c r="A2" s="1" t="s">
        <v>0</v>
      </c>
      <c r="B2" s="1"/>
      <c r="C2" s="2"/>
      <c r="D2" s="3"/>
      <c r="E2" s="3"/>
      <c r="F2" s="3"/>
      <c r="G2" s="3"/>
      <c r="H2" s="3"/>
      <c r="I2" s="3"/>
      <c r="J2" s="3"/>
      <c r="K2" s="3"/>
      <c r="L2" s="104"/>
      <c r="M2" s="3"/>
      <c r="O2" s="19"/>
      <c r="P2" s="19"/>
      <c r="Q2" s="20"/>
      <c r="R2" s="15"/>
      <c r="S2" s="15"/>
      <c r="T2" s="15"/>
      <c r="U2" s="15"/>
      <c r="V2" s="15"/>
      <c r="W2" s="15"/>
      <c r="X2" s="15"/>
      <c r="Y2" s="15"/>
      <c r="Z2" s="21"/>
      <c r="AA2" s="15"/>
      <c r="AB2" s="106"/>
      <c r="AC2" s="19"/>
      <c r="AD2" s="19"/>
      <c r="AE2" s="20"/>
      <c r="AF2" s="15"/>
      <c r="AG2" s="15"/>
      <c r="AH2" s="15"/>
      <c r="AI2" s="15"/>
      <c r="AJ2" s="15"/>
      <c r="AK2" s="15"/>
      <c r="AL2" s="15"/>
      <c r="AM2" s="15"/>
      <c r="AN2" s="21"/>
      <c r="AO2" s="15"/>
      <c r="AP2" s="106"/>
      <c r="AQ2" s="106"/>
      <c r="AR2" s="19"/>
      <c r="AS2" s="19"/>
      <c r="AT2" s="20"/>
      <c r="AU2" s="15"/>
      <c r="AV2" s="15"/>
      <c r="AW2" s="15"/>
      <c r="AX2" s="15"/>
      <c r="AY2" s="15"/>
      <c r="AZ2" s="15"/>
      <c r="BA2" s="15"/>
      <c r="BB2" s="15"/>
      <c r="BC2" s="21"/>
      <c r="BD2" s="15"/>
    </row>
    <row r="3" spans="1:56">
      <c r="A3" s="353" t="s">
        <v>256</v>
      </c>
      <c r="B3" s="354"/>
      <c r="C3" s="355"/>
    </row>
    <row r="4" spans="1:56" ht="15">
      <c r="A4" s="376"/>
      <c r="F4" s="377" t="s">
        <v>293</v>
      </c>
      <c r="G4" s="413">
        <v>100</v>
      </c>
      <c r="O4" s="3"/>
    </row>
    <row r="5" spans="1:56" ht="15">
      <c r="A5" s="376"/>
      <c r="O5" s="3"/>
    </row>
    <row r="6" spans="1:56" ht="15">
      <c r="A6" s="378" t="s">
        <v>244</v>
      </c>
      <c r="B6" s="379"/>
      <c r="C6" s="380" t="s">
        <v>249</v>
      </c>
      <c r="D6" s="380" t="s">
        <v>52</v>
      </c>
      <c r="E6" s="380" t="s">
        <v>245</v>
      </c>
      <c r="F6" s="380" t="s">
        <v>61</v>
      </c>
      <c r="G6" s="380" t="s">
        <v>295</v>
      </c>
      <c r="H6" s="380" t="s">
        <v>58</v>
      </c>
      <c r="I6" s="380" t="s">
        <v>63</v>
      </c>
      <c r="J6" s="380" t="s">
        <v>53</v>
      </c>
      <c r="K6" s="381" t="s">
        <v>247</v>
      </c>
      <c r="N6" s="3"/>
    </row>
    <row r="7" spans="1:56" ht="15">
      <c r="A7" s="382" t="s">
        <v>294</v>
      </c>
      <c r="B7" s="383"/>
      <c r="C7" s="384" t="s">
        <v>250</v>
      </c>
      <c r="D7" s="384" t="s">
        <v>66</v>
      </c>
      <c r="E7" s="384" t="s">
        <v>251</v>
      </c>
      <c r="F7" s="384" t="s">
        <v>47</v>
      </c>
      <c r="G7" s="384" t="s">
        <v>296</v>
      </c>
      <c r="H7" s="384" t="s">
        <v>59</v>
      </c>
      <c r="I7" s="384" t="s">
        <v>62</v>
      </c>
      <c r="J7" s="384" t="s">
        <v>64</v>
      </c>
      <c r="K7" s="385" t="s">
        <v>248</v>
      </c>
      <c r="N7" s="3"/>
    </row>
    <row r="8" spans="1:56">
      <c r="A8" s="337" t="s">
        <v>48</v>
      </c>
      <c r="B8" s="339"/>
      <c r="C8" s="406">
        <v>1500</v>
      </c>
      <c r="D8" s="407">
        <v>50</v>
      </c>
      <c r="E8" s="386">
        <f>C8*D8</f>
        <v>75000</v>
      </c>
      <c r="F8" s="408">
        <v>0.04</v>
      </c>
      <c r="G8" s="408">
        <v>0.15</v>
      </c>
      <c r="H8" s="409">
        <v>15</v>
      </c>
      <c r="I8" s="387">
        <f>IF(D8&gt;0,((C8*D8)*G8),C8*G8)</f>
        <v>11250</v>
      </c>
      <c r="J8" s="387">
        <f>IF(D8&gt;0,((C8*D8)*G8*F8),C8*G8*F8)</f>
        <v>450</v>
      </c>
      <c r="K8" s="387">
        <f t="shared" ref="K8:K9" si="0">IF(D8&gt;0,(-PMT(F8,H8,(C8*D8*(1-G8)))),(-PMT(F8,H8,(C8*(1-G8)))))</f>
        <v>5733.7451486495402</v>
      </c>
      <c r="N8" s="388"/>
      <c r="P8" s="389"/>
      <c r="S8" s="390"/>
    </row>
    <row r="9" spans="1:56">
      <c r="A9" s="337" t="s">
        <v>49</v>
      </c>
      <c r="B9" s="339"/>
      <c r="C9" s="406">
        <v>5000</v>
      </c>
      <c r="D9" s="407">
        <v>50</v>
      </c>
      <c r="E9" s="386">
        <f t="shared" ref="E9:E11" si="1">C9*D9</f>
        <v>250000</v>
      </c>
      <c r="F9" s="408">
        <v>0.04</v>
      </c>
      <c r="G9" s="408">
        <v>0.1</v>
      </c>
      <c r="H9" s="409">
        <v>30</v>
      </c>
      <c r="I9" s="387">
        <f t="shared" ref="I9:I13" si="2">IF(D9&gt;0,((C9*D9)*G9),C9*G9)</f>
        <v>25000</v>
      </c>
      <c r="J9" s="387">
        <f t="shared" ref="J9:J13" si="3">IF(D9&gt;0,((C9*D9)*G9*F9),C9*G9*F9)</f>
        <v>1000</v>
      </c>
      <c r="K9" s="387">
        <f t="shared" si="0"/>
        <v>13011.7723050738</v>
      </c>
      <c r="M9" s="390"/>
      <c r="N9" s="388"/>
      <c r="S9" s="390"/>
    </row>
    <row r="10" spans="1:56">
      <c r="A10" s="337" t="s">
        <v>50</v>
      </c>
      <c r="B10" s="339"/>
      <c r="C10" s="406">
        <v>1500</v>
      </c>
      <c r="D10" s="407">
        <v>100</v>
      </c>
      <c r="E10" s="386">
        <f t="shared" si="1"/>
        <v>150000</v>
      </c>
      <c r="F10" s="408">
        <v>0.04</v>
      </c>
      <c r="G10" s="408">
        <v>0.05</v>
      </c>
      <c r="H10" s="409">
        <v>5</v>
      </c>
      <c r="I10" s="387">
        <f t="shared" si="2"/>
        <v>7500</v>
      </c>
      <c r="J10" s="387">
        <f t="shared" si="3"/>
        <v>300</v>
      </c>
      <c r="K10" s="387">
        <f>IF(D10&gt;0,(-PMT(F10,H10,(C10*D10*(1-G10)))),(-PMT(F10,H10,(C10*(1-G10)))))</f>
        <v>32009.363672757336</v>
      </c>
      <c r="M10" s="390"/>
      <c r="N10" s="388"/>
      <c r="S10" s="390"/>
    </row>
    <row r="11" spans="1:56">
      <c r="A11" s="337" t="s">
        <v>51</v>
      </c>
      <c r="B11" s="339"/>
      <c r="C11" s="406">
        <v>3000</v>
      </c>
      <c r="D11" s="407">
        <v>3</v>
      </c>
      <c r="E11" s="386">
        <f t="shared" si="1"/>
        <v>9000</v>
      </c>
      <c r="F11" s="408">
        <v>0.04</v>
      </c>
      <c r="G11" s="408">
        <v>0.05</v>
      </c>
      <c r="H11" s="409">
        <v>3</v>
      </c>
      <c r="I11" s="387">
        <f t="shared" si="2"/>
        <v>450</v>
      </c>
      <c r="J11" s="387">
        <f t="shared" si="3"/>
        <v>18</v>
      </c>
      <c r="K11" s="387">
        <f>IF(D11&gt;0,(-PMT(F11,H11,(C11*D11*(1-G11)))),(-PMT(F11,H11,(C11*(1-G11)))))</f>
        <v>3080.9800102511531</v>
      </c>
      <c r="N11" s="3"/>
    </row>
    <row r="12" spans="1:56">
      <c r="A12" s="337"/>
      <c r="B12" s="339"/>
      <c r="C12" s="406"/>
      <c r="D12" s="407"/>
      <c r="E12" s="386"/>
      <c r="F12" s="408"/>
      <c r="G12" s="408"/>
      <c r="H12" s="409"/>
      <c r="I12" s="387">
        <f t="shared" si="2"/>
        <v>0</v>
      </c>
      <c r="J12" s="387">
        <f t="shared" si="3"/>
        <v>0</v>
      </c>
      <c r="K12" s="387"/>
      <c r="N12" s="3"/>
    </row>
    <row r="13" spans="1:56">
      <c r="A13" s="337"/>
      <c r="B13" s="339"/>
      <c r="C13" s="406"/>
      <c r="D13" s="407"/>
      <c r="E13" s="386"/>
      <c r="F13" s="408"/>
      <c r="G13" s="408"/>
      <c r="H13" s="409"/>
      <c r="I13" s="387">
        <f t="shared" si="2"/>
        <v>0</v>
      </c>
      <c r="J13" s="387">
        <f t="shared" si="3"/>
        <v>0</v>
      </c>
      <c r="K13" s="387"/>
      <c r="N13" s="3"/>
    </row>
    <row r="14" spans="1:56">
      <c r="A14" s="337"/>
      <c r="B14" s="339"/>
      <c r="C14" s="406"/>
      <c r="D14" s="407"/>
      <c r="E14" s="386"/>
      <c r="F14" s="408"/>
      <c r="G14" s="408"/>
      <c r="H14" s="409"/>
      <c r="I14" s="387">
        <f t="shared" ref="I14" si="4">IF(D14&gt;0,((C14*D14)*G14),C14*G14)</f>
        <v>0</v>
      </c>
      <c r="J14" s="387">
        <f t="shared" ref="J14" si="5">IF(D14&gt;0,((C14*D14)*G14*F14),C14*G14*F14)</f>
        <v>0</v>
      </c>
      <c r="K14" s="387"/>
      <c r="N14" s="3"/>
    </row>
    <row r="15" spans="1:56">
      <c r="C15" s="391"/>
      <c r="D15" s="391"/>
      <c r="E15" s="391"/>
      <c r="F15" s="391"/>
      <c r="G15" s="391"/>
      <c r="H15" s="391"/>
      <c r="I15" s="391"/>
      <c r="J15" s="391"/>
      <c r="K15" s="391"/>
      <c r="N15" s="3"/>
    </row>
    <row r="16" spans="1:56" ht="15">
      <c r="A16" s="392" t="s">
        <v>298</v>
      </c>
      <c r="B16" s="393"/>
      <c r="C16" s="394"/>
      <c r="D16" s="394"/>
      <c r="E16" s="393"/>
      <c r="F16" s="393"/>
      <c r="G16" s="393"/>
      <c r="H16" s="393"/>
      <c r="I16" s="393"/>
      <c r="J16" s="393"/>
      <c r="K16" s="395"/>
      <c r="N16" s="3"/>
    </row>
    <row r="17" spans="1:13">
      <c r="A17" s="337" t="s">
        <v>297</v>
      </c>
      <c r="B17" s="338"/>
      <c r="C17" s="338"/>
      <c r="D17" s="339"/>
      <c r="E17" s="410">
        <v>20000</v>
      </c>
      <c r="F17" s="411">
        <v>0.06</v>
      </c>
      <c r="G17" s="411">
        <v>0.05</v>
      </c>
      <c r="H17" s="412">
        <v>15</v>
      </c>
      <c r="I17" s="396">
        <f>IF(E17&gt;0, E17*G17," ")</f>
        <v>1000</v>
      </c>
      <c r="J17" s="396">
        <f>IF(E17&gt;0,((E17*G17)*F17)," ")</f>
        <v>60</v>
      </c>
      <c r="K17" s="396">
        <f>IF(E17&gt;0,(-PMT(G17,H17,(E17*(1-G17))))," ")</f>
        <v>1830.5034645756432</v>
      </c>
    </row>
    <row r="18" spans="1:13">
      <c r="A18" s="337" t="s">
        <v>297</v>
      </c>
      <c r="B18" s="338"/>
      <c r="C18" s="338"/>
      <c r="D18" s="339"/>
      <c r="E18" s="406">
        <v>15000</v>
      </c>
      <c r="F18" s="408">
        <v>0.06</v>
      </c>
      <c r="G18" s="408">
        <v>0.05</v>
      </c>
      <c r="H18" s="409">
        <v>15</v>
      </c>
      <c r="I18" s="387">
        <f t="shared" ref="I18:I27" si="6">IF(E18&gt;0, E18*G18," ")</f>
        <v>750</v>
      </c>
      <c r="J18" s="387">
        <f t="shared" ref="J18:J27" si="7">IF(E18&gt;0,((E18*G18)*F18)," ")</f>
        <v>45</v>
      </c>
      <c r="K18" s="387">
        <f t="shared" ref="K18:K27" si="8">IF(E18&gt;0,(-PMT(G18,H18,(E18*(1-G18))))," ")</f>
        <v>1372.8775984317324</v>
      </c>
    </row>
    <row r="19" spans="1:13">
      <c r="A19" s="337" t="s">
        <v>297</v>
      </c>
      <c r="B19" s="338"/>
      <c r="C19" s="338"/>
      <c r="D19" s="339"/>
      <c r="E19" s="406">
        <v>15000</v>
      </c>
      <c r="F19" s="408">
        <v>0.06</v>
      </c>
      <c r="G19" s="408">
        <v>0.05</v>
      </c>
      <c r="H19" s="409">
        <v>15</v>
      </c>
      <c r="I19" s="387">
        <f t="shared" si="6"/>
        <v>750</v>
      </c>
      <c r="J19" s="387">
        <f t="shared" si="7"/>
        <v>45</v>
      </c>
      <c r="K19" s="387">
        <f t="shared" si="8"/>
        <v>1372.8775984317324</v>
      </c>
    </row>
    <row r="20" spans="1:13">
      <c r="A20" s="337" t="s">
        <v>246</v>
      </c>
      <c r="B20" s="338"/>
      <c r="C20" s="338"/>
      <c r="D20" s="339"/>
      <c r="E20" s="406">
        <v>15000</v>
      </c>
      <c r="F20" s="408">
        <v>0.05</v>
      </c>
      <c r="G20" s="408">
        <v>0.1</v>
      </c>
      <c r="H20" s="409">
        <v>5</v>
      </c>
      <c r="I20" s="387">
        <f t="shared" si="6"/>
        <v>1500</v>
      </c>
      <c r="J20" s="387">
        <f t="shared" si="7"/>
        <v>75</v>
      </c>
      <c r="K20" s="387">
        <f t="shared" si="8"/>
        <v>3561.2659907290636</v>
      </c>
    </row>
    <row r="21" spans="1:13">
      <c r="A21" s="337"/>
      <c r="B21" s="338"/>
      <c r="C21" s="338"/>
      <c r="D21" s="339"/>
      <c r="E21" s="406"/>
      <c r="F21" s="408"/>
      <c r="G21" s="408"/>
      <c r="H21" s="409"/>
      <c r="I21" s="387" t="str">
        <f t="shared" si="6"/>
        <v xml:space="preserve"> </v>
      </c>
      <c r="J21" s="387" t="str">
        <f t="shared" si="7"/>
        <v xml:space="preserve"> </v>
      </c>
      <c r="K21" s="387" t="str">
        <f t="shared" si="8"/>
        <v xml:space="preserve"> </v>
      </c>
    </row>
    <row r="22" spans="1:13">
      <c r="A22" s="337"/>
      <c r="B22" s="338"/>
      <c r="C22" s="338"/>
      <c r="D22" s="339"/>
      <c r="E22" s="406"/>
      <c r="F22" s="408"/>
      <c r="G22" s="408"/>
      <c r="H22" s="409"/>
      <c r="I22" s="387" t="str">
        <f t="shared" si="6"/>
        <v xml:space="preserve"> </v>
      </c>
      <c r="J22" s="387" t="str">
        <f t="shared" si="7"/>
        <v xml:space="preserve"> </v>
      </c>
      <c r="K22" s="387" t="str">
        <f t="shared" si="8"/>
        <v xml:space="preserve"> </v>
      </c>
    </row>
    <row r="23" spans="1:13">
      <c r="A23" s="337"/>
      <c r="B23" s="338"/>
      <c r="C23" s="338"/>
      <c r="D23" s="339"/>
      <c r="E23" s="406"/>
      <c r="F23" s="408"/>
      <c r="G23" s="408"/>
      <c r="H23" s="409"/>
      <c r="I23" s="387" t="str">
        <f t="shared" si="6"/>
        <v xml:space="preserve"> </v>
      </c>
      <c r="J23" s="387" t="str">
        <f t="shared" si="7"/>
        <v xml:space="preserve"> </v>
      </c>
      <c r="K23" s="387" t="str">
        <f t="shared" si="8"/>
        <v xml:space="preserve"> </v>
      </c>
    </row>
    <row r="24" spans="1:13">
      <c r="A24" s="337"/>
      <c r="B24" s="338"/>
      <c r="C24" s="338"/>
      <c r="D24" s="339"/>
      <c r="E24" s="406"/>
      <c r="F24" s="408"/>
      <c r="G24" s="408"/>
      <c r="H24" s="409"/>
      <c r="I24" s="387" t="str">
        <f t="shared" si="6"/>
        <v xml:space="preserve"> </v>
      </c>
      <c r="J24" s="387" t="str">
        <f t="shared" si="7"/>
        <v xml:space="preserve"> </v>
      </c>
      <c r="K24" s="387" t="str">
        <f t="shared" si="8"/>
        <v xml:space="preserve"> </v>
      </c>
    </row>
    <row r="25" spans="1:13">
      <c r="A25" s="337"/>
      <c r="B25" s="338"/>
      <c r="C25" s="338"/>
      <c r="D25" s="339"/>
      <c r="E25" s="406"/>
      <c r="F25" s="408"/>
      <c r="G25" s="408"/>
      <c r="H25" s="409"/>
      <c r="I25" s="387" t="str">
        <f t="shared" si="6"/>
        <v xml:space="preserve"> </v>
      </c>
      <c r="J25" s="387" t="str">
        <f t="shared" si="7"/>
        <v xml:space="preserve"> </v>
      </c>
      <c r="K25" s="387" t="str">
        <f t="shared" si="8"/>
        <v xml:space="preserve"> </v>
      </c>
    </row>
    <row r="26" spans="1:13">
      <c r="A26" s="337"/>
      <c r="B26" s="338"/>
      <c r="C26" s="338"/>
      <c r="D26" s="339"/>
      <c r="E26" s="406"/>
      <c r="F26" s="408"/>
      <c r="G26" s="408"/>
      <c r="H26" s="409"/>
      <c r="I26" s="387" t="str">
        <f t="shared" si="6"/>
        <v xml:space="preserve"> </v>
      </c>
      <c r="J26" s="387" t="str">
        <f t="shared" si="7"/>
        <v xml:space="preserve"> </v>
      </c>
      <c r="K26" s="387" t="str">
        <f t="shared" si="8"/>
        <v xml:space="preserve"> </v>
      </c>
    </row>
    <row r="27" spans="1:13">
      <c r="A27" s="337"/>
      <c r="B27" s="338"/>
      <c r="C27" s="338"/>
      <c r="D27" s="339"/>
      <c r="E27" s="406"/>
      <c r="F27" s="408"/>
      <c r="G27" s="408"/>
      <c r="H27" s="409"/>
      <c r="I27" s="387" t="str">
        <f t="shared" si="6"/>
        <v xml:space="preserve"> </v>
      </c>
      <c r="J27" s="387" t="str">
        <f t="shared" si="7"/>
        <v xml:space="preserve"> </v>
      </c>
      <c r="K27" s="387" t="str">
        <f t="shared" si="8"/>
        <v xml:space="preserve"> </v>
      </c>
    </row>
    <row r="28" spans="1:13" ht="15">
      <c r="A28" s="397" t="s">
        <v>11</v>
      </c>
      <c r="B28" s="398"/>
      <c r="C28" s="398"/>
      <c r="D28" s="399"/>
      <c r="E28" s="400">
        <f>SUM(E8:E27)</f>
        <v>549000</v>
      </c>
      <c r="F28" s="401"/>
      <c r="G28" s="402"/>
      <c r="H28" s="403"/>
      <c r="I28" s="404">
        <f>SUM(I8:I27)</f>
        <v>48200</v>
      </c>
      <c r="J28" s="404">
        <f>SUM(J8:J27)</f>
        <v>1993</v>
      </c>
      <c r="K28" s="404">
        <f>SUM(K8:K27)</f>
        <v>61973.385788899999</v>
      </c>
    </row>
    <row r="29" spans="1:13" ht="15">
      <c r="A29" s="397" t="s">
        <v>60</v>
      </c>
      <c r="B29" s="398"/>
      <c r="C29" s="398"/>
      <c r="D29" s="399"/>
      <c r="E29" s="400">
        <f>E28/G4</f>
        <v>5490</v>
      </c>
      <c r="F29" s="401"/>
      <c r="G29" s="402"/>
      <c r="H29" s="403"/>
      <c r="I29" s="405">
        <f>I28/G4</f>
        <v>482</v>
      </c>
      <c r="J29" s="405">
        <f>J28/G4</f>
        <v>19.93</v>
      </c>
      <c r="K29" s="405">
        <f>K28/G4</f>
        <v>619.73385788899998</v>
      </c>
    </row>
    <row r="30" spans="1:13">
      <c r="C30" s="60"/>
      <c r="D30" s="49"/>
      <c r="E30" s="7"/>
      <c r="F30" s="44"/>
      <c r="G30" s="44"/>
      <c r="H30" s="44"/>
      <c r="I30" s="44"/>
      <c r="J30" s="44"/>
      <c r="K30" s="3"/>
      <c r="L30" s="3"/>
      <c r="M30" s="3"/>
    </row>
    <row r="32" spans="1:13" ht="15.75">
      <c r="B32" s="417" t="s">
        <v>326</v>
      </c>
      <c r="C32" s="418"/>
      <c r="D32" s="418"/>
    </row>
  </sheetData>
  <sheetProtection algorithmName="SHA-512" hashValue="gBVARFHYyrw2D1W8CuHHOUEIgFaeuGxWAtLRAKAx79eyUGjSxeTxB9tTUhClzwO1efv5A0/K3DGa7ZE2ht5C8Q==" saltValue="bgSPfRECteOT58CrNuXthw==" spinCount="100000" sheet="1" selectLockedCells="1"/>
  <hyperlinks>
    <hyperlink ref="B32" location="'Budget comparison'!A1" display="Return to budget comparison"/>
  </hyperlinks>
  <pageMargins left="0.7" right="0.7" top="0.75" bottom="0.75" header="0.3" footer="0.3"/>
  <pageSetup scale="57" orientation="portrait" r:id="rId1"/>
  <colBreaks count="1" manualBreakCount="1">
    <brk id="11"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Budget comparison</vt:lpstr>
      <vt:lpstr>Feed budgeting</vt:lpstr>
      <vt:lpstr>Fixed cost budgeting</vt:lpstr>
      <vt:lpstr>Investment analysis</vt:lpstr>
      <vt:lpstr>'Budget comparison'!Print_Area</vt:lpstr>
      <vt:lpstr>'Fixed cost budgeting'!Print_Area</vt:lpstr>
      <vt:lpstr>'Investment analysis'!Print_Area</vt:lpstr>
    </vt:vector>
  </TitlesOfParts>
  <Company>Iowa State University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Euken, Russell M [EXTAG]</dc:creator>
  <cp:lastModifiedBy>Johanns, Ann M [ECONA]</cp:lastModifiedBy>
  <cp:lastPrinted>2019-02-14T16:24:05Z</cp:lastPrinted>
  <dcterms:created xsi:type="dcterms:W3CDTF">2013-01-10T21:28:44Z</dcterms:created>
  <dcterms:modified xsi:type="dcterms:W3CDTF">2019-06-03T18:05:01Z</dcterms:modified>
</cp:coreProperties>
</file>