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3.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9.xml" ContentType="application/vnd.openxmlformats-officedocument.drawingml.chartshapes+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ml.chartshapes+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5.xml" ContentType="application/vnd.openxmlformats-officedocument.drawingml.chart+xml"/>
  <Override PartName="/xl/drawings/drawing25.xml" ContentType="application/vnd.openxmlformats-officedocument.drawingml.chartshapes+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drawings/drawing28.xml" ContentType="application/vnd.openxmlformats-officedocument.drawingml.chartshapes+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9.xml" ContentType="application/vnd.openxmlformats-officedocument.drawingml.chart+xml"/>
  <Override PartName="/xl/drawings/drawing31.xml" ContentType="application/vnd.openxmlformats-officedocument.drawingml.chartshapes+xml"/>
  <Override PartName="/xl/charts/chart20.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21.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4.xml" ContentType="application/vnd.openxmlformats-officedocument.drawingml.chartshapes+xml"/>
  <Override PartName="/xl/charts/chart22.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23.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7.xml" ContentType="application/vnd.openxmlformats-officedocument.drawingml.chartshapes+xml"/>
  <Override PartName="/xl/charts/chart24.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aholste\Box\AgDM-AgMRC Spreadsheets\"/>
    </mc:Choice>
  </mc:AlternateContent>
  <xr:revisionPtr revIDLastSave="0" documentId="13_ncr:1_{06926786-697B-4AE2-9474-3C703361288B}" xr6:coauthVersionLast="47" xr6:coauthVersionMax="47" xr10:uidLastSave="{00000000-0000-0000-0000-000000000000}"/>
  <bookViews>
    <workbookView xWindow="-120" yWindow="-120" windowWidth="29040" windowHeight="17640" tabRatio="862" firstSheet="1" activeTab="1" xr2:uid="{00000000-000D-0000-FFFF-FFFF00000000}"/>
  </bookViews>
  <sheets>
    <sheet name="Data" sheetId="67" state="hidden" r:id="rId1"/>
    <sheet name="Introduction" sheetId="55" r:id="rId2"/>
    <sheet name="Overview &amp; Assumptions" sheetId="37" r:id="rId3"/>
    <sheet name="Economic Model" sheetId="1" r:id="rId4"/>
    <sheet name="Returns per Gal." sheetId="15" r:id="rId5"/>
    <sheet name="Returns per Bu." sheetId="27" r:id="rId6"/>
    <sheet name="Prices" sheetId="71" r:id="rId7"/>
    <sheet name="Revenue" sheetId="72" r:id="rId8"/>
    <sheet name="Breakeven" sheetId="73" r:id="rId9"/>
    <sheet name="Cost (corn at mkt)" sheetId="74" r:id="rId10"/>
    <sheet name="Returns (corn at mkt)" sheetId="75" r:id="rId11"/>
    <sheet name="Grind Margin" sheetId="77" r:id="rId12"/>
    <sheet name="Return on Equity" sheetId="78" r:id="rId13"/>
    <sheet name="Prft Alloc (mkt)" sheetId="76" r:id="rId14"/>
    <sheet name="Costs (corn at cost)" sheetId="81" r:id="rId15"/>
    <sheet name="Returns (corn at cost)" sheetId="80" r:id="rId16"/>
    <sheet name="Prft Alloc (corn at cost)" sheetId="79" r:id="rId17"/>
  </sheets>
  <definedNames>
    <definedName name="_xlnm._FilterDatabase" localSheetId="5" hidden="1">'Returns per Bu.'!$A$171:$A$184</definedName>
    <definedName name="_xlnm._FilterDatabase" localSheetId="4" hidden="1">'Returns per Gal.'!$A$172:$A$184</definedName>
    <definedName name="AA">OFFSET(Data!$AA$2,0,0,COUNTA(Data!$AA:$AA)-1)</definedName>
    <definedName name="AB">OFFSET(Data!$AB$2,0,0,COUNTA(Data!$AB:$AB)-1)</definedName>
    <definedName name="AF">OFFSET(Data!$AF$2,0,0,COUNTA(Data!$AF:$AF)-1)</definedName>
    <definedName name="AG">OFFSET(Data!$AG$2,0,0,COUNTA(Data!$AG:$AG)-1)</definedName>
    <definedName name="AL">OFFSET(Data!$AL$2,0,0,COUNTA(Data!$AL:$AL)-1)</definedName>
    <definedName name="AP">OFFSET(Data!$AP$2,0,0,COUNTA(Data!$AP:$AP)-1)</definedName>
    <definedName name="AQ">OFFSET(Data!$AQ$2,0,0,COUNTA(Data!$AQ:$AQ)-1)</definedName>
    <definedName name="AR">OFFSET(Data!$AR$2,0,0,COUNTA(Data!$AR:$AR)-1)</definedName>
    <definedName name="AU">OFFSET(Data!$AU$2,0,0,COUNTA(Data!$AU:$AU)-1)</definedName>
    <definedName name="AV">OFFSET(Data!$AV$2,0,0,COUNTA(Data!$AV:$AV)-1)</definedName>
    <definedName name="AW">OFFSET(Data!$AW$2,0,0,COUNTA(Data!$AW:$AW)-1)</definedName>
    <definedName name="AX">OFFSET(Data!$AX$2,0,0,COUNTA(Data!$AX:$AX)-1)</definedName>
    <definedName name="AY">OFFSET(Data!$AY$2,0,0,COUNTA(Data!$AY:$AY)-1)</definedName>
    <definedName name="BA">OFFSET(Data!$BA$2,0,0,COUNTA(Data!$BA:$BA)-1)</definedName>
    <definedName name="BB">OFFSET(Data!$BB$2,0,0,COUNTA(Data!$BB:$BB)-1)</definedName>
    <definedName name="BC">OFFSET(Data!$BC$2,0,0,COUNTA(Data!$BC:$BC)-1)</definedName>
    <definedName name="D">OFFSET(Data!$D$2,0,0,COUNTA(Data!$D:$D)-1)</definedName>
    <definedName name="Date">OFFSET(Data!$A$2,0,0,COUNTA(Data!$A:$A)-1)</definedName>
    <definedName name="E">OFFSET(Data!$E$2,0,0,COUNTA(Data!$E:$E)-1)</definedName>
    <definedName name="F">OFFSET(Data!$F$134,0,0,COUNTA(Data!$F:$F)-1)</definedName>
    <definedName name="G">OFFSET(Data!$G$2,0,0,COUNTA(Data!$G:$G)-1)</definedName>
    <definedName name="H">OFFSET(Data!$H$2,0,0,COUNTA(Data!$H:$H)-1)</definedName>
    <definedName name="K">OFFSET(Data!$K$2,0,0,COUNTA(Data!$K:$K)-1)</definedName>
    <definedName name="L">OFFSET(Data!$L$2,0,0,COUNTA(Data!$L:$L)-1)</definedName>
    <definedName name="M">OFFSET(Data!$M$134,0,0,COUNTA(Data!$M:$M)-1)</definedName>
    <definedName name="N">OFFSET(Data!$N$2,0,0,COUNTA(Data!$N:$N)-1)</definedName>
    <definedName name="_xlnm.Print_Area" localSheetId="0">Data!$A$1:$AB$49</definedName>
    <definedName name="_xlnm.Print_Area" localSheetId="3">'Economic Model'!$B$2:$L$67</definedName>
    <definedName name="_xlnm.Print_Area" localSheetId="1">Introduction!$A$1:$A$40</definedName>
    <definedName name="_xlnm.Print_Area" localSheetId="5">'Returns per Bu.'!$A$2:$Z$56</definedName>
    <definedName name="_xlnm.Print_Area" localSheetId="4">'Returns per Gal.'!$A$2:$AA$56</definedName>
    <definedName name="Q">OFFSET(Data!$Q$2,0,0,COUNTA(Data!$Q:$Q)-1)</definedName>
    <definedName name="RR">OFFSET(Data!$R$2,0,0,COUNTA(Data!$R:$R)-1)</definedName>
    <definedName name="S">OFFSET(Data!$S$2,0,0,COUNTA(Data!$S:$S)-1)</definedName>
    <definedName name="T">OFFSET(Data!$T$2,0,0,COUNTA(Data!$T:$T)-1)</definedName>
    <definedName name="U">OFFSET(Data!$U$2,0,0,COUNTA(Data!$U:$U)-1)</definedName>
    <definedName name="V">OFFSET(Data!$V$2,0,0,COUNTA(Data!$V:$V)-1)</definedName>
    <definedName name="W">OFFSET(Data!$W$2,0,0,COUNTA(Data!$W:$W)-1)</definedName>
    <definedName name="Z">OFFSET(Data!$Z$2,0,0,COUNTA(Data!$Z:$Z)-1)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29" i="67" l="1"/>
  <c r="L229" i="67"/>
  <c r="M229" i="67"/>
  <c r="N229" i="67"/>
  <c r="O229" i="67"/>
  <c r="P229" i="67"/>
  <c r="Q229" i="67"/>
  <c r="R229" i="67"/>
  <c r="S229" i="67"/>
  <c r="T229" i="67"/>
  <c r="U229" i="67"/>
  <c r="V229" i="67"/>
  <c r="W229" i="67"/>
  <c r="Y229" i="67"/>
  <c r="Z229" i="67"/>
  <c r="AA229" i="67"/>
  <c r="AB229" i="67"/>
  <c r="AC229" i="67"/>
  <c r="AD229" i="67"/>
  <c r="AE229" i="67"/>
  <c r="AF229" i="67"/>
  <c r="AG229" i="67"/>
  <c r="BC229" i="67" s="1"/>
  <c r="AH229" i="67"/>
  <c r="AI229" i="67"/>
  <c r="AJ229" i="67"/>
  <c r="AK229" i="67"/>
  <c r="AL229" i="67"/>
  <c r="AM229" i="67"/>
  <c r="AO229" i="67"/>
  <c r="AP229" i="67"/>
  <c r="AQ229" i="67"/>
  <c r="AR229" i="67"/>
  <c r="AU229" i="67"/>
  <c r="AV229" i="67"/>
  <c r="AW229" i="67"/>
  <c r="AX229" i="67"/>
  <c r="AY229" i="67"/>
  <c r="BA229" i="67"/>
  <c r="BB229" i="67"/>
  <c r="K230" i="67"/>
  <c r="L230" i="67"/>
  <c r="M230" i="67"/>
  <c r="N230" i="67"/>
  <c r="O230" i="67"/>
  <c r="P230" i="67"/>
  <c r="Q230" i="67"/>
  <c r="R230" i="67"/>
  <c r="S230" i="67"/>
  <c r="T230" i="67"/>
  <c r="U230" i="67"/>
  <c r="V230" i="67"/>
  <c r="W230" i="67"/>
  <c r="Y230" i="67"/>
  <c r="Z230" i="67"/>
  <c r="AA230" i="67"/>
  <c r="AB230" i="67"/>
  <c r="AC230" i="67"/>
  <c r="AD230" i="67"/>
  <c r="AE230" i="67"/>
  <c r="AF230" i="67"/>
  <c r="AG230" i="67"/>
  <c r="BC230" i="67" s="1"/>
  <c r="AH230" i="67"/>
  <c r="AI230" i="67"/>
  <c r="AJ230" i="67"/>
  <c r="AK230" i="67"/>
  <c r="AL230" i="67"/>
  <c r="AM230" i="67"/>
  <c r="AO230" i="67"/>
  <c r="AP230" i="67"/>
  <c r="AQ230" i="67"/>
  <c r="AR230" i="67"/>
  <c r="AU230" i="67"/>
  <c r="AV230" i="67"/>
  <c r="AW230" i="67"/>
  <c r="AX230" i="67"/>
  <c r="AY230" i="67"/>
  <c r="BA230" i="67"/>
  <c r="BB230" i="67"/>
  <c r="K231" i="67"/>
  <c r="L231" i="67"/>
  <c r="M231" i="67"/>
  <c r="N231" i="67"/>
  <c r="O231" i="67"/>
  <c r="P231" i="67"/>
  <c r="Q231" i="67"/>
  <c r="R231" i="67"/>
  <c r="S231" i="67"/>
  <c r="T231" i="67"/>
  <c r="U231" i="67"/>
  <c r="V231" i="67"/>
  <c r="W231" i="67"/>
  <c r="Y231" i="67"/>
  <c r="Z231" i="67"/>
  <c r="AA231" i="67"/>
  <c r="AB231" i="67"/>
  <c r="AC231" i="67"/>
  <c r="AD231" i="67"/>
  <c r="AE231" i="67"/>
  <c r="AF231" i="67"/>
  <c r="AG231" i="67"/>
  <c r="BC231" i="67" s="1"/>
  <c r="AH231" i="67"/>
  <c r="AI231" i="67"/>
  <c r="AJ231" i="67"/>
  <c r="AK231" i="67"/>
  <c r="AL231" i="67"/>
  <c r="AM231" i="67"/>
  <c r="AO231" i="67"/>
  <c r="AP231" i="67"/>
  <c r="AQ231" i="67"/>
  <c r="AR231" i="67"/>
  <c r="AU231" i="67"/>
  <c r="AV231" i="67"/>
  <c r="AW231" i="67"/>
  <c r="AX231" i="67"/>
  <c r="AY231" i="67"/>
  <c r="BA231" i="67"/>
  <c r="BB231" i="67"/>
  <c r="AH236" i="27"/>
  <c r="AI236" i="27" s="1"/>
  <c r="AL236" i="27" s="1"/>
  <c r="AM236" i="27"/>
  <c r="AN236" i="27"/>
  <c r="AH237" i="27"/>
  <c r="AK237" i="27" s="1"/>
  <c r="AM237" i="27"/>
  <c r="AN237" i="27"/>
  <c r="AH238" i="27"/>
  <c r="AI238" i="27"/>
  <c r="AK238" i="27"/>
  <c r="AL238" i="27"/>
  <c r="AM238" i="27"/>
  <c r="AN238" i="27"/>
  <c r="D236" i="27"/>
  <c r="E236" i="27"/>
  <c r="F236" i="27"/>
  <c r="G236" i="27"/>
  <c r="R236" i="27" s="1"/>
  <c r="S236" i="27" s="1"/>
  <c r="H236" i="27"/>
  <c r="K236" i="27"/>
  <c r="N236" i="27" s="1"/>
  <c r="L236" i="27"/>
  <c r="M236" i="27"/>
  <c r="D237" i="27"/>
  <c r="K237" i="27" s="1"/>
  <c r="N237" i="27" s="1"/>
  <c r="E237" i="27"/>
  <c r="F237" i="27"/>
  <c r="G237" i="27"/>
  <c r="H237" i="27"/>
  <c r="R237" i="27" s="1"/>
  <c r="S237" i="27" s="1"/>
  <c r="L237" i="27"/>
  <c r="M237" i="27"/>
  <c r="D238" i="27"/>
  <c r="K238" i="27" s="1"/>
  <c r="N238" i="27" s="1"/>
  <c r="E238" i="27"/>
  <c r="L238" i="27" s="1"/>
  <c r="F238" i="27"/>
  <c r="G238" i="27"/>
  <c r="H238" i="27"/>
  <c r="M238" i="27"/>
  <c r="R238" i="27"/>
  <c r="S238" i="27" s="1"/>
  <c r="C236" i="15"/>
  <c r="J236" i="15" s="1"/>
  <c r="D236" i="15"/>
  <c r="E236" i="15"/>
  <c r="F236" i="15"/>
  <c r="P236" i="15" s="1"/>
  <c r="G236" i="15"/>
  <c r="K236" i="15"/>
  <c r="Q236" i="15"/>
  <c r="R236" i="15"/>
  <c r="T236" i="15"/>
  <c r="AE236" i="15"/>
  <c r="AG236" i="15"/>
  <c r="AF236" i="15" s="1"/>
  <c r="C237" i="15"/>
  <c r="J237" i="15" s="1"/>
  <c r="D237" i="15"/>
  <c r="K237" i="15" s="1"/>
  <c r="E237" i="15"/>
  <c r="F237" i="15"/>
  <c r="G237" i="15"/>
  <c r="Q237" i="15" s="1"/>
  <c r="L237" i="15"/>
  <c r="P237" i="15"/>
  <c r="AQ237" i="15" s="1"/>
  <c r="R237" i="15"/>
  <c r="T237" i="15"/>
  <c r="AE237" i="15"/>
  <c r="AF237" i="15"/>
  <c r="AG237" i="15"/>
  <c r="C238" i="15"/>
  <c r="J238" i="15" s="1"/>
  <c r="M238" i="15" s="1"/>
  <c r="D238" i="15"/>
  <c r="E238" i="15"/>
  <c r="F238" i="15"/>
  <c r="P238" i="15" s="1"/>
  <c r="G238" i="15"/>
  <c r="K238" i="15"/>
  <c r="L238" i="15"/>
  <c r="Q238" i="15"/>
  <c r="R238" i="15"/>
  <c r="T238" i="15"/>
  <c r="AE238" i="15"/>
  <c r="AG238" i="15"/>
  <c r="AF238" i="15" s="1"/>
  <c r="O226" i="67"/>
  <c r="P226" i="67"/>
  <c r="R226" i="67"/>
  <c r="S226" i="67"/>
  <c r="U226" i="67"/>
  <c r="AC226" i="67"/>
  <c r="AD226" i="67"/>
  <c r="AE226" i="67"/>
  <c r="AF226" i="67"/>
  <c r="AG226" i="67"/>
  <c r="AH226" i="67"/>
  <c r="AI226" i="67"/>
  <c r="AJ226" i="67"/>
  <c r="AM226" i="67"/>
  <c r="AY226" i="67"/>
  <c r="BB226" i="67"/>
  <c r="BA226" i="67" s="1"/>
  <c r="BC226" i="67"/>
  <c r="K227" i="67"/>
  <c r="O227" i="67"/>
  <c r="P227" i="67"/>
  <c r="S227" i="67"/>
  <c r="U227" i="67"/>
  <c r="AC227" i="67"/>
  <c r="AD227" i="67"/>
  <c r="AE227" i="67"/>
  <c r="AF227" i="67"/>
  <c r="AG227" i="67"/>
  <c r="AH227" i="67"/>
  <c r="AI227" i="67"/>
  <c r="AJ227" i="67"/>
  <c r="AM227" i="67"/>
  <c r="AY227" i="67"/>
  <c r="BB227" i="67"/>
  <c r="BA227" i="67" s="1"/>
  <c r="BC227" i="67"/>
  <c r="O228" i="67"/>
  <c r="P228" i="67"/>
  <c r="S228" i="67"/>
  <c r="U228" i="67"/>
  <c r="AC228" i="67"/>
  <c r="AD228" i="67"/>
  <c r="AE228" i="67"/>
  <c r="AI228" i="67"/>
  <c r="AJ228" i="67"/>
  <c r="AM228" i="67"/>
  <c r="AY228" i="67"/>
  <c r="BB228" i="67"/>
  <c r="BA228" i="67" s="1"/>
  <c r="H233" i="27"/>
  <c r="AH233" i="27" s="1"/>
  <c r="D235" i="27"/>
  <c r="K235" i="27" s="1"/>
  <c r="C233" i="15"/>
  <c r="J233" i="15" s="1"/>
  <c r="D233" i="15"/>
  <c r="K233" i="15" s="1"/>
  <c r="L226" i="67" s="1"/>
  <c r="E233" i="15"/>
  <c r="L233" i="15" s="1"/>
  <c r="M226" i="67" s="1"/>
  <c r="F233" i="15"/>
  <c r="P233" i="15" s="1"/>
  <c r="Q226" i="67" s="1"/>
  <c r="G233" i="15"/>
  <c r="Q233" i="15" s="1"/>
  <c r="R233" i="15"/>
  <c r="T233" i="15"/>
  <c r="AE233" i="15"/>
  <c r="AF233" i="15"/>
  <c r="AG233" i="15"/>
  <c r="C234" i="15"/>
  <c r="J234" i="15" s="1"/>
  <c r="D234" i="15"/>
  <c r="K234" i="15" s="1"/>
  <c r="L227" i="67" s="1"/>
  <c r="E234" i="15"/>
  <c r="L234" i="15" s="1"/>
  <c r="M227" i="67" s="1"/>
  <c r="F234" i="15"/>
  <c r="P234" i="15" s="1"/>
  <c r="Q227" i="67" s="1"/>
  <c r="G234" i="15"/>
  <c r="Q234" i="15" s="1"/>
  <c r="R227" i="67" s="1"/>
  <c r="R234" i="15"/>
  <c r="T234" i="15"/>
  <c r="AE234" i="15"/>
  <c r="AF234" i="15"/>
  <c r="AG234" i="15"/>
  <c r="C235" i="15"/>
  <c r="J235" i="15" s="1"/>
  <c r="K228" i="67" s="1"/>
  <c r="D235" i="15"/>
  <c r="E235" i="27" s="1"/>
  <c r="L235" i="27" s="1"/>
  <c r="E235" i="15"/>
  <c r="F235" i="27" s="1"/>
  <c r="M235" i="27" s="1"/>
  <c r="F235" i="15"/>
  <c r="G235" i="27" s="1"/>
  <c r="G235" i="15"/>
  <c r="Q235" i="15" s="1"/>
  <c r="R228" i="67" s="1"/>
  <c r="R235" i="15"/>
  <c r="T235" i="15"/>
  <c r="AE235" i="15"/>
  <c r="AF228" i="67" s="1"/>
  <c r="AG235" i="15"/>
  <c r="AF235" i="15" s="1"/>
  <c r="AG228" i="67" s="1"/>
  <c r="BC228" i="67" s="1"/>
  <c r="O224" i="67"/>
  <c r="P224" i="67"/>
  <c r="S224" i="67"/>
  <c r="U224" i="67"/>
  <c r="AC224" i="67"/>
  <c r="AD224" i="67"/>
  <c r="AE224" i="67"/>
  <c r="AF224" i="67"/>
  <c r="AG224" i="67"/>
  <c r="AH224" i="67"/>
  <c r="AI224" i="67"/>
  <c r="AJ224" i="67"/>
  <c r="AM224" i="67"/>
  <c r="AU224" i="67"/>
  <c r="AY224" i="67"/>
  <c r="BB224" i="67"/>
  <c r="BA224" i="67" s="1"/>
  <c r="BC224" i="67"/>
  <c r="O225" i="67"/>
  <c r="P225" i="67"/>
  <c r="S225" i="67"/>
  <c r="U225" i="67"/>
  <c r="AC225" i="67"/>
  <c r="AD225" i="67"/>
  <c r="AE225" i="67"/>
  <c r="AH225" i="67"/>
  <c r="AI225" i="67"/>
  <c r="AJ225" i="67"/>
  <c r="AM225" i="67"/>
  <c r="AY225" i="67"/>
  <c r="BB225" i="67"/>
  <c r="BA225" i="67" s="1"/>
  <c r="C231" i="15"/>
  <c r="D231" i="15"/>
  <c r="E231" i="15"/>
  <c r="L231" i="15" s="1"/>
  <c r="M224" i="67" s="1"/>
  <c r="F231" i="15"/>
  <c r="P231" i="15" s="1"/>
  <c r="Q224" i="67" s="1"/>
  <c r="G231" i="15"/>
  <c r="H231" i="27" s="1"/>
  <c r="AH231" i="27" s="1"/>
  <c r="J231" i="15"/>
  <c r="K231" i="15"/>
  <c r="L224" i="67" s="1"/>
  <c r="R231" i="15"/>
  <c r="T231" i="15"/>
  <c r="AE231" i="15"/>
  <c r="AG231" i="15"/>
  <c r="C232" i="15"/>
  <c r="J232" i="15" s="1"/>
  <c r="K225" i="67" s="1"/>
  <c r="D232" i="15"/>
  <c r="E232" i="27" s="1"/>
  <c r="L232" i="27" s="1"/>
  <c r="E232" i="15"/>
  <c r="L232" i="15" s="1"/>
  <c r="M225" i="67" s="1"/>
  <c r="F232" i="15"/>
  <c r="G232" i="27" s="1"/>
  <c r="AN232" i="27" s="1"/>
  <c r="G232" i="15"/>
  <c r="Q232" i="15" s="1"/>
  <c r="R225" i="67" s="1"/>
  <c r="P232" i="15"/>
  <c r="Q225" i="67" s="1"/>
  <c r="R232" i="15"/>
  <c r="T232" i="15"/>
  <c r="AE232" i="15"/>
  <c r="AF225" i="67" s="1"/>
  <c r="AG232" i="15"/>
  <c r="D231" i="27"/>
  <c r="K231" i="27" s="1"/>
  <c r="E231" i="27"/>
  <c r="F231" i="27"/>
  <c r="M231" i="27" s="1"/>
  <c r="G231" i="27"/>
  <c r="AN231" i="27" s="1"/>
  <c r="L231" i="27"/>
  <c r="F232" i="27"/>
  <c r="M232" i="27" s="1"/>
  <c r="AK236" i="27" l="1"/>
  <c r="AI237" i="27"/>
  <c r="AL237" i="27" s="1"/>
  <c r="O236" i="27"/>
  <c r="V236" i="27"/>
  <c r="W236" i="27"/>
  <c r="Z236" i="27" s="1"/>
  <c r="V238" i="27"/>
  <c r="W238" i="27"/>
  <c r="Z238" i="27" s="1"/>
  <c r="O238" i="27"/>
  <c r="O237" i="27"/>
  <c r="V237" i="27"/>
  <c r="W237" i="27"/>
  <c r="Z237" i="27" s="1"/>
  <c r="Y238" i="15"/>
  <c r="AO238" i="15"/>
  <c r="AA238" i="15"/>
  <c r="AN238" i="15"/>
  <c r="AJ237" i="15"/>
  <c r="AK237" i="15" s="1"/>
  <c r="S237" i="15"/>
  <c r="U237" i="15" s="1"/>
  <c r="V237" i="15" s="1"/>
  <c r="AQ238" i="15"/>
  <c r="S238" i="15"/>
  <c r="U238" i="15" s="1"/>
  <c r="V238" i="15" s="1"/>
  <c r="AQ236" i="15"/>
  <c r="S236" i="15"/>
  <c r="U236" i="15" s="1"/>
  <c r="M237" i="15"/>
  <c r="AK236" i="15"/>
  <c r="L236" i="15"/>
  <c r="M236" i="15" s="1"/>
  <c r="AJ238" i="15"/>
  <c r="AK238" i="15" s="1"/>
  <c r="AJ236" i="15"/>
  <c r="AH228" i="67"/>
  <c r="AN235" i="27"/>
  <c r="AU228" i="67"/>
  <c r="AI233" i="27"/>
  <c r="M231" i="15"/>
  <c r="N224" i="67" s="1"/>
  <c r="AQ231" i="15"/>
  <c r="AR224" i="67" s="1"/>
  <c r="M233" i="15"/>
  <c r="N226" i="67" s="1"/>
  <c r="H234" i="27"/>
  <c r="G233" i="27"/>
  <c r="K224" i="67"/>
  <c r="G234" i="27"/>
  <c r="F233" i="27"/>
  <c r="M233" i="27" s="1"/>
  <c r="P235" i="15"/>
  <c r="Q228" i="67" s="1"/>
  <c r="H235" i="27"/>
  <c r="AH235" i="27" s="1"/>
  <c r="AI235" i="27" s="1"/>
  <c r="AL235" i="27" s="1"/>
  <c r="F234" i="27"/>
  <c r="M234" i="27" s="1"/>
  <c r="E233" i="27"/>
  <c r="L233" i="27" s="1"/>
  <c r="L235" i="15"/>
  <c r="M228" i="67" s="1"/>
  <c r="E234" i="27"/>
  <c r="L234" i="27" s="1"/>
  <c r="D233" i="27"/>
  <c r="K233" i="27" s="1"/>
  <c r="K235" i="15"/>
  <c r="L228" i="67" s="1"/>
  <c r="AQ233" i="15"/>
  <c r="AR226" i="67" s="1"/>
  <c r="D234" i="27"/>
  <c r="K234" i="27" s="1"/>
  <c r="N234" i="27" s="1"/>
  <c r="AQ232" i="15"/>
  <c r="AR225" i="67" s="1"/>
  <c r="D232" i="27"/>
  <c r="K232" i="27" s="1"/>
  <c r="K226" i="67"/>
  <c r="N235" i="27"/>
  <c r="AV228" i="67" s="1"/>
  <c r="Y233" i="15"/>
  <c r="Z226" i="67" s="1"/>
  <c r="AJ234" i="15"/>
  <c r="M234" i="15"/>
  <c r="N227" i="67" s="1"/>
  <c r="S234" i="15"/>
  <c r="AQ234" i="15"/>
  <c r="AR227" i="67" s="1"/>
  <c r="S233" i="15"/>
  <c r="AJ233" i="15"/>
  <c r="AJ235" i="15"/>
  <c r="AU225" i="67"/>
  <c r="AF232" i="15"/>
  <c r="AG225" i="67" s="1"/>
  <c r="BC225" i="67" s="1"/>
  <c r="S232" i="15"/>
  <c r="Q231" i="15"/>
  <c r="R224" i="67" s="1"/>
  <c r="H232" i="27"/>
  <c r="AH232" i="27" s="1"/>
  <c r="AI232" i="27" s="1"/>
  <c r="S231" i="15"/>
  <c r="AI231" i="27"/>
  <c r="N231" i="27"/>
  <c r="AJ231" i="15"/>
  <c r="AK224" i="67" s="1"/>
  <c r="AF231" i="15"/>
  <c r="R232" i="27"/>
  <c r="S232" i="27" s="1"/>
  <c r="R231" i="27"/>
  <c r="S231" i="27" s="1"/>
  <c r="AJ232" i="15"/>
  <c r="K232" i="15"/>
  <c r="L225" i="67" s="1"/>
  <c r="N232" i="27"/>
  <c r="AV225" i="67" s="1"/>
  <c r="Y236" i="15" l="1"/>
  <c r="AN236" i="15"/>
  <c r="Z236" i="15"/>
  <c r="AO236" i="15"/>
  <c r="AP236" i="15" s="1"/>
  <c r="AA236" i="15"/>
  <c r="Z237" i="15"/>
  <c r="Y237" i="15"/>
  <c r="AN237" i="15"/>
  <c r="AO237" i="15"/>
  <c r="AP237" i="15" s="1"/>
  <c r="AA237" i="15"/>
  <c r="AP238" i="15"/>
  <c r="Z238" i="15"/>
  <c r="V236" i="15"/>
  <c r="AV227" i="67"/>
  <c r="AK235" i="27"/>
  <c r="N233" i="27"/>
  <c r="AU227" i="67"/>
  <c r="AN234" i="27"/>
  <c r="AL233" i="27"/>
  <c r="AK234" i="15"/>
  <c r="AL227" i="67" s="1"/>
  <c r="AK227" i="67"/>
  <c r="M232" i="15"/>
  <c r="N225" i="67" s="1"/>
  <c r="Z231" i="15"/>
  <c r="AA224" i="67" s="1"/>
  <c r="M235" i="15"/>
  <c r="S235" i="15"/>
  <c r="U233" i="15"/>
  <c r="T226" i="67"/>
  <c r="AQ235" i="15"/>
  <c r="AR228" i="67" s="1"/>
  <c r="AK235" i="15"/>
  <c r="AK228" i="67"/>
  <c r="AK233" i="15"/>
  <c r="AL226" i="67" s="1"/>
  <c r="AK226" i="67"/>
  <c r="R233" i="27"/>
  <c r="S233" i="27" s="1"/>
  <c r="AU226" i="67"/>
  <c r="AN233" i="27"/>
  <c r="R235" i="27"/>
  <c r="S235" i="27" s="1"/>
  <c r="O235" i="27" s="1"/>
  <c r="AL232" i="27"/>
  <c r="O232" i="27"/>
  <c r="Y231" i="15"/>
  <c r="Z224" i="67" s="1"/>
  <c r="U234" i="15"/>
  <c r="T227" i="67"/>
  <c r="R234" i="27"/>
  <c r="S234" i="27" s="1"/>
  <c r="O234" i="27" s="1"/>
  <c r="AH234" i="27"/>
  <c r="AI234" i="27" s="1"/>
  <c r="AL234" i="27" s="1"/>
  <c r="AN235" i="15"/>
  <c r="AO228" i="67" s="1"/>
  <c r="Z233" i="15"/>
  <c r="AA226" i="67" s="1"/>
  <c r="AN233" i="15"/>
  <c r="AO226" i="67" s="1"/>
  <c r="Y234" i="15"/>
  <c r="Z227" i="67" s="1"/>
  <c r="AN234" i="15"/>
  <c r="AO227" i="67" s="1"/>
  <c r="Z234" i="15"/>
  <c r="AA227" i="67" s="1"/>
  <c r="AO234" i="15"/>
  <c r="AK231" i="15"/>
  <c r="W231" i="27"/>
  <c r="Z231" i="27" s="1"/>
  <c r="AX224" i="67" s="1"/>
  <c r="AK232" i="27"/>
  <c r="AK231" i="27"/>
  <c r="AV224" i="67"/>
  <c r="AM232" i="27"/>
  <c r="AW225" i="67"/>
  <c r="W232" i="27"/>
  <c r="Z232" i="27" s="1"/>
  <c r="AX225" i="67" s="1"/>
  <c r="AO231" i="15"/>
  <c r="AL224" i="67"/>
  <c r="U231" i="15"/>
  <c r="T224" i="67"/>
  <c r="V232" i="27"/>
  <c r="AK232" i="15"/>
  <c r="AL225" i="67" s="1"/>
  <c r="AK225" i="67"/>
  <c r="AN231" i="15"/>
  <c r="AO224" i="67" s="1"/>
  <c r="U232" i="15"/>
  <c r="T225" i="67"/>
  <c r="V231" i="27"/>
  <c r="Z232" i="15"/>
  <c r="AA225" i="67" s="1"/>
  <c r="Y232" i="15"/>
  <c r="Z225" i="67" s="1"/>
  <c r="AN232" i="15"/>
  <c r="AO225" i="67" s="1"/>
  <c r="AA232" i="15"/>
  <c r="AB225" i="67" s="1"/>
  <c r="O231" i="27"/>
  <c r="AL231" i="27"/>
  <c r="V235" i="27" l="1"/>
  <c r="W235" i="27"/>
  <c r="Z235" i="27" s="1"/>
  <c r="AX228" i="67" s="1"/>
  <c r="W234" i="27"/>
  <c r="Z234" i="27" s="1"/>
  <c r="AX227" i="67" s="1"/>
  <c r="AW227" i="67"/>
  <c r="AM234" i="27"/>
  <c r="V233" i="15"/>
  <c r="V226" i="67"/>
  <c r="U235" i="15"/>
  <c r="T228" i="67"/>
  <c r="V234" i="27"/>
  <c r="N228" i="67"/>
  <c r="Y235" i="15"/>
  <c r="Z228" i="67" s="1"/>
  <c r="V234" i="15"/>
  <c r="V227" i="67"/>
  <c r="AW228" i="67"/>
  <c r="AM235" i="27"/>
  <c r="AA233" i="15"/>
  <c r="AB226" i="67" s="1"/>
  <c r="AV226" i="67"/>
  <c r="O233" i="27"/>
  <c r="V233" i="27"/>
  <c r="AK233" i="27"/>
  <c r="W233" i="27"/>
  <c r="Z233" i="27" s="1"/>
  <c r="AX226" i="67" s="1"/>
  <c r="Z235" i="15"/>
  <c r="AA228" i="67" s="1"/>
  <c r="AO235" i="15"/>
  <c r="AL228" i="67"/>
  <c r="AA234" i="15"/>
  <c r="AB227" i="67" s="1"/>
  <c r="AO233" i="15"/>
  <c r="AK234" i="27"/>
  <c r="AP234" i="15"/>
  <c r="AQ227" i="67" s="1"/>
  <c r="AP227" i="67"/>
  <c r="V231" i="15"/>
  <c r="V224" i="67"/>
  <c r="AA231" i="15"/>
  <c r="AB224" i="67" s="1"/>
  <c r="AO232" i="15"/>
  <c r="AM231" i="27"/>
  <c r="AW224" i="67"/>
  <c r="V225" i="67"/>
  <c r="V232" i="15"/>
  <c r="AP231" i="15"/>
  <c r="AQ224" i="67" s="1"/>
  <c r="AP224" i="67"/>
  <c r="AE244" i="27"/>
  <c r="AE243" i="27"/>
  <c r="AE242" i="27"/>
  <c r="AE241" i="27"/>
  <c r="AE240" i="27"/>
  <c r="AE239" i="27"/>
  <c r="AE238" i="27"/>
  <c r="AE237" i="27"/>
  <c r="AE236" i="27"/>
  <c r="AE235" i="27"/>
  <c r="AE234" i="27"/>
  <c r="AE233" i="27"/>
  <c r="W227" i="67" l="1"/>
  <c r="Y227" i="67"/>
  <c r="AP233" i="15"/>
  <c r="AQ226" i="67" s="1"/>
  <c r="AP226" i="67"/>
  <c r="W226" i="67"/>
  <c r="Y226" i="67"/>
  <c r="AW226" i="67"/>
  <c r="AM233" i="27"/>
  <c r="AP235" i="15"/>
  <c r="AQ228" i="67" s="1"/>
  <c r="AP228" i="67"/>
  <c r="V235" i="15"/>
  <c r="V228" i="67"/>
  <c r="AA235" i="15"/>
  <c r="AB228" i="67" s="1"/>
  <c r="W225" i="67"/>
  <c r="Y225" i="67"/>
  <c r="AP232" i="15"/>
  <c r="AQ225" i="67" s="1"/>
  <c r="AP225" i="67"/>
  <c r="W224" i="67"/>
  <c r="Y224" i="67"/>
  <c r="O222" i="67"/>
  <c r="P222" i="67"/>
  <c r="U222" i="67"/>
  <c r="AC222" i="67"/>
  <c r="AD222" i="67"/>
  <c r="AE222" i="67"/>
  <c r="AI222" i="67"/>
  <c r="AJ222" i="67"/>
  <c r="AM222" i="67"/>
  <c r="AY222" i="67"/>
  <c r="BB222" i="67"/>
  <c r="O223" i="67"/>
  <c r="P223" i="67"/>
  <c r="AC223" i="67"/>
  <c r="AD223" i="67"/>
  <c r="AE223" i="67"/>
  <c r="AI223" i="67"/>
  <c r="AJ223" i="67"/>
  <c r="AM223" i="67"/>
  <c r="AY223" i="67"/>
  <c r="BB223" i="67"/>
  <c r="C229" i="15"/>
  <c r="J229" i="15" s="1"/>
  <c r="K222" i="67" s="1"/>
  <c r="D229" i="15"/>
  <c r="K229" i="15" s="1"/>
  <c r="L222" i="67" s="1"/>
  <c r="E229" i="15"/>
  <c r="L229" i="15" s="1"/>
  <c r="M222" i="67" s="1"/>
  <c r="F229" i="15"/>
  <c r="P229" i="15" s="1"/>
  <c r="G229" i="15"/>
  <c r="Q229" i="15" s="1"/>
  <c r="R222" i="67" s="1"/>
  <c r="R229" i="15"/>
  <c r="S222" i="67" s="1"/>
  <c r="T229" i="15"/>
  <c r="AE229" i="15"/>
  <c r="AF222" i="67" s="1"/>
  <c r="AG229" i="15"/>
  <c r="C230" i="15"/>
  <c r="D230" i="27" s="1"/>
  <c r="K230" i="27" s="1"/>
  <c r="D230" i="15"/>
  <c r="K230" i="15" s="1"/>
  <c r="L223" i="67" s="1"/>
  <c r="E230" i="15"/>
  <c r="L230" i="15" s="1"/>
  <c r="M223" i="67" s="1"/>
  <c r="F230" i="15"/>
  <c r="G230" i="27" s="1"/>
  <c r="AU223" i="67" s="1"/>
  <c r="G230" i="15"/>
  <c r="H230" i="27" s="1"/>
  <c r="AH230" i="27" s="1"/>
  <c r="P230" i="15"/>
  <c r="R230" i="15"/>
  <c r="S223" i="67" s="1"/>
  <c r="T230" i="15"/>
  <c r="U223" i="67" s="1"/>
  <c r="AE230" i="15"/>
  <c r="AF223" i="67" s="1"/>
  <c r="AG230" i="15"/>
  <c r="AH223" i="67" s="1"/>
  <c r="F229" i="27"/>
  <c r="M229" i="27" s="1"/>
  <c r="F230" i="27"/>
  <c r="M230" i="27" s="1"/>
  <c r="W228" i="67" l="1"/>
  <c r="Y228" i="67"/>
  <c r="AF229" i="15"/>
  <c r="AG222" i="67" s="1"/>
  <c r="BC222" i="67" s="1"/>
  <c r="BA223" i="67"/>
  <c r="BA222" i="67"/>
  <c r="AQ230" i="15"/>
  <c r="AR223" i="67" s="1"/>
  <c r="AQ229" i="15"/>
  <c r="AR222" i="67" s="1"/>
  <c r="Q222" i="67"/>
  <c r="G229" i="27"/>
  <c r="J230" i="15"/>
  <c r="M230" i="15" s="1"/>
  <c r="N223" i="67" s="1"/>
  <c r="AH222" i="67"/>
  <c r="Q223" i="67"/>
  <c r="M229" i="15"/>
  <c r="N222" i="67" s="1"/>
  <c r="E230" i="27"/>
  <c r="L230" i="27" s="1"/>
  <c r="N230" i="27" s="1"/>
  <c r="E229" i="27"/>
  <c r="L229" i="27" s="1"/>
  <c r="D229" i="27"/>
  <c r="K229" i="27" s="1"/>
  <c r="Q230" i="15"/>
  <c r="AJ229" i="15"/>
  <c r="S229" i="15"/>
  <c r="R230" i="27"/>
  <c r="S230" i="27" s="1"/>
  <c r="AF230" i="15"/>
  <c r="AG223" i="67" s="1"/>
  <c r="BC223" i="67" s="1"/>
  <c r="AN230" i="27"/>
  <c r="H229" i="27"/>
  <c r="AH229" i="27" s="1"/>
  <c r="AI229" i="27" s="1"/>
  <c r="AI230" i="27"/>
  <c r="O221" i="67"/>
  <c r="P221" i="67"/>
  <c r="AC221" i="67"/>
  <c r="AD221" i="67"/>
  <c r="AE221" i="67"/>
  <c r="AI221" i="67"/>
  <c r="AJ221" i="67"/>
  <c r="AM221" i="67"/>
  <c r="AY221" i="67"/>
  <c r="BB221" i="67"/>
  <c r="O220" i="67"/>
  <c r="P220" i="67"/>
  <c r="AC220" i="67"/>
  <c r="AD220" i="67"/>
  <c r="AE220" i="67"/>
  <c r="AI220" i="67"/>
  <c r="AJ220" i="67"/>
  <c r="AM220" i="67"/>
  <c r="AY220" i="67"/>
  <c r="BB220" i="67"/>
  <c r="BA220" i="67" s="1"/>
  <c r="C227" i="15"/>
  <c r="J227" i="15" s="1"/>
  <c r="K220" i="67" s="1"/>
  <c r="D227" i="15"/>
  <c r="K227" i="15" s="1"/>
  <c r="L220" i="67" s="1"/>
  <c r="E227" i="15"/>
  <c r="L227" i="15" s="1"/>
  <c r="M220" i="67" s="1"/>
  <c r="F227" i="15"/>
  <c r="G227" i="27" s="1"/>
  <c r="AN227" i="27" s="1"/>
  <c r="G227" i="15"/>
  <c r="Q227" i="15" s="1"/>
  <c r="R220" i="67" s="1"/>
  <c r="AE227" i="15"/>
  <c r="AF220" i="67" s="1"/>
  <c r="AG227" i="15"/>
  <c r="AH220" i="67" s="1"/>
  <c r="C228" i="15"/>
  <c r="D228" i="27" s="1"/>
  <c r="K228" i="27" s="1"/>
  <c r="D228" i="15"/>
  <c r="K228" i="15" s="1"/>
  <c r="L221" i="67" s="1"/>
  <c r="E228" i="15"/>
  <c r="L228" i="15" s="1"/>
  <c r="M221" i="67" s="1"/>
  <c r="F228" i="15"/>
  <c r="P228" i="15" s="1"/>
  <c r="Q221" i="67" s="1"/>
  <c r="G228" i="15"/>
  <c r="Q228" i="15" s="1"/>
  <c r="AE228" i="15"/>
  <c r="AF221" i="67" s="1"/>
  <c r="AG228" i="15"/>
  <c r="AH221" i="67" s="1"/>
  <c r="F227" i="27" l="1"/>
  <c r="M227" i="27" s="1"/>
  <c r="K223" i="67"/>
  <c r="BA221" i="67"/>
  <c r="P227" i="15"/>
  <c r="Q220" i="67" s="1"/>
  <c r="E227" i="27"/>
  <c r="L227" i="27" s="1"/>
  <c r="AN229" i="27"/>
  <c r="AU222" i="67"/>
  <c r="AK230" i="27"/>
  <c r="AV223" i="67"/>
  <c r="W230" i="27"/>
  <c r="Z230" i="27" s="1"/>
  <c r="AX223" i="67" s="1"/>
  <c r="AK229" i="15"/>
  <c r="AL222" i="67" s="1"/>
  <c r="AK222" i="67"/>
  <c r="S230" i="15"/>
  <c r="R223" i="67"/>
  <c r="U229" i="15"/>
  <c r="T222" i="67"/>
  <c r="V230" i="27"/>
  <c r="O230" i="27"/>
  <c r="Z229" i="15"/>
  <c r="AA222" i="67" s="1"/>
  <c r="Y229" i="15"/>
  <c r="Z222" i="67" s="1"/>
  <c r="AN229" i="15"/>
  <c r="AO222" i="67" s="1"/>
  <c r="AL230" i="27"/>
  <c r="AJ230" i="15"/>
  <c r="AK223" i="67" s="1"/>
  <c r="R229" i="27"/>
  <c r="S229" i="27" s="1"/>
  <c r="N229" i="27"/>
  <c r="AV222" i="67" s="1"/>
  <c r="Y230" i="15"/>
  <c r="Z223" i="67" s="1"/>
  <c r="J228" i="15"/>
  <c r="M228" i="15" s="1"/>
  <c r="N221" i="67" s="1"/>
  <c r="H227" i="27"/>
  <c r="F228" i="27"/>
  <c r="M228" i="27" s="1"/>
  <c r="E228" i="27"/>
  <c r="L228" i="27" s="1"/>
  <c r="AU220" i="67"/>
  <c r="R221" i="67"/>
  <c r="H228" i="27"/>
  <c r="G228" i="27"/>
  <c r="D227" i="27"/>
  <c r="K227" i="27" s="1"/>
  <c r="AF227" i="15"/>
  <c r="AG220" i="67" s="1"/>
  <c r="BC220" i="67" s="1"/>
  <c r="AQ227" i="15"/>
  <c r="AR220" i="67" s="1"/>
  <c r="AQ228" i="15"/>
  <c r="AR221" i="67" s="1"/>
  <c r="M227" i="15"/>
  <c r="N220" i="67" s="1"/>
  <c r="AF228" i="15"/>
  <c r="AG221" i="67" s="1"/>
  <c r="BC221" i="67" s="1"/>
  <c r="AY206" i="67"/>
  <c r="BB206" i="67"/>
  <c r="AY207" i="67"/>
  <c r="BB207" i="67"/>
  <c r="BA207" i="67" s="1"/>
  <c r="AY208" i="67"/>
  <c r="BB208" i="67"/>
  <c r="AY209" i="67"/>
  <c r="BB209" i="67"/>
  <c r="AY210" i="67"/>
  <c r="BB210" i="67"/>
  <c r="AY211" i="67"/>
  <c r="BB211" i="67"/>
  <c r="BA211" i="67" s="1"/>
  <c r="AY212" i="67"/>
  <c r="BB212" i="67"/>
  <c r="AY213" i="67"/>
  <c r="BB213" i="67"/>
  <c r="AY214" i="67"/>
  <c r="BB214" i="67"/>
  <c r="AY215" i="67"/>
  <c r="BB215" i="67"/>
  <c r="BA215" i="67" s="1"/>
  <c r="AY216" i="67"/>
  <c r="BB216" i="67"/>
  <c r="BA216" i="67" s="1"/>
  <c r="AY217" i="67"/>
  <c r="BB217" i="67"/>
  <c r="AY218" i="67"/>
  <c r="BB218" i="67"/>
  <c r="AY219" i="67"/>
  <c r="BB219" i="67"/>
  <c r="O206" i="67"/>
  <c r="P206" i="67"/>
  <c r="AC206" i="67"/>
  <c r="AD206" i="67"/>
  <c r="AE206" i="67"/>
  <c r="AI206" i="67"/>
  <c r="AJ206" i="67"/>
  <c r="AM206" i="67"/>
  <c r="O207" i="67"/>
  <c r="P207" i="67"/>
  <c r="AC207" i="67"/>
  <c r="AD207" i="67"/>
  <c r="AE207" i="67"/>
  <c r="AI207" i="67"/>
  <c r="AJ207" i="67"/>
  <c r="AM207" i="67"/>
  <c r="O208" i="67"/>
  <c r="P208" i="67"/>
  <c r="AC208" i="67"/>
  <c r="AD208" i="67"/>
  <c r="AE208" i="67"/>
  <c r="AI208" i="67"/>
  <c r="AJ208" i="67"/>
  <c r="AM208" i="67"/>
  <c r="AI209" i="67"/>
  <c r="AJ209" i="67"/>
  <c r="AM209" i="67"/>
  <c r="AI210" i="67"/>
  <c r="AJ210" i="67"/>
  <c r="AM210" i="67"/>
  <c r="AI211" i="67"/>
  <c r="AJ211" i="67"/>
  <c r="AM211" i="67"/>
  <c r="AI212" i="67"/>
  <c r="AJ212" i="67"/>
  <c r="AM212" i="67"/>
  <c r="AI213" i="67"/>
  <c r="AJ213" i="67"/>
  <c r="AM213" i="67"/>
  <c r="AI214" i="67"/>
  <c r="AJ214" i="67"/>
  <c r="AM214" i="67"/>
  <c r="AI215" i="67"/>
  <c r="AJ215" i="67"/>
  <c r="AM215" i="67"/>
  <c r="AI216" i="67"/>
  <c r="AJ216" i="67"/>
  <c r="AM216" i="67"/>
  <c r="AI217" i="67"/>
  <c r="AJ217" i="67"/>
  <c r="AM217" i="67"/>
  <c r="O218" i="67"/>
  <c r="P218" i="67"/>
  <c r="AC218" i="67"/>
  <c r="AD218" i="67"/>
  <c r="AE218" i="67"/>
  <c r="AI218" i="67"/>
  <c r="AJ218" i="67"/>
  <c r="AM218" i="67"/>
  <c r="O219" i="67"/>
  <c r="P219" i="67"/>
  <c r="AC219" i="67"/>
  <c r="AD219" i="67"/>
  <c r="AE219" i="67"/>
  <c r="AI219" i="67"/>
  <c r="AJ219" i="67"/>
  <c r="AM219" i="67"/>
  <c r="C225" i="15"/>
  <c r="J225" i="15" s="1"/>
  <c r="K218" i="67" s="1"/>
  <c r="D225" i="15"/>
  <c r="K225" i="15" s="1"/>
  <c r="L218" i="67" s="1"/>
  <c r="E225" i="15"/>
  <c r="L225" i="15" s="1"/>
  <c r="M218" i="67" s="1"/>
  <c r="F225" i="15"/>
  <c r="G225" i="27" s="1"/>
  <c r="AU218" i="67" s="1"/>
  <c r="G225" i="15"/>
  <c r="H225" i="27" s="1"/>
  <c r="AE225" i="15"/>
  <c r="AF218" i="67" s="1"/>
  <c r="AG225" i="15"/>
  <c r="AF225" i="15" s="1"/>
  <c r="AG218" i="67" s="1"/>
  <c r="BC218" i="67" s="1"/>
  <c r="C226" i="15"/>
  <c r="J226" i="15" s="1"/>
  <c r="D226" i="15"/>
  <c r="K226" i="15" s="1"/>
  <c r="L219" i="67" s="1"/>
  <c r="E226" i="15"/>
  <c r="F226" i="27" s="1"/>
  <c r="M226" i="27" s="1"/>
  <c r="F226" i="15"/>
  <c r="P226" i="15" s="1"/>
  <c r="Q219" i="67" s="1"/>
  <c r="G226" i="15"/>
  <c r="Q226" i="15" s="1"/>
  <c r="R219" i="67" s="1"/>
  <c r="AE226" i="15"/>
  <c r="AF219" i="67" s="1"/>
  <c r="AG226" i="15"/>
  <c r="AH219" i="67" s="1"/>
  <c r="Q225" i="15" l="1"/>
  <c r="R218" i="67" s="1"/>
  <c r="D225" i="27"/>
  <c r="K225" i="27" s="1"/>
  <c r="N227" i="27"/>
  <c r="AV220" i="67" s="1"/>
  <c r="BA206" i="67"/>
  <c r="AH218" i="67"/>
  <c r="N228" i="27"/>
  <c r="AV221" i="67" s="1"/>
  <c r="P225" i="15"/>
  <c r="AQ225" i="15" s="1"/>
  <c r="AR218" i="67" s="1"/>
  <c r="F225" i="27"/>
  <c r="M225" i="27" s="1"/>
  <c r="E225" i="27"/>
  <c r="L225" i="27" s="1"/>
  <c r="AO229" i="15"/>
  <c r="AP229" i="15" s="1"/>
  <c r="AQ222" i="67" s="1"/>
  <c r="V229" i="15"/>
  <c r="V222" i="67"/>
  <c r="AA229" i="15"/>
  <c r="AB222" i="67" s="1"/>
  <c r="U230" i="15"/>
  <c r="T223" i="67"/>
  <c r="Z230" i="15"/>
  <c r="AA223" i="67" s="1"/>
  <c r="AM230" i="27"/>
  <c r="AW223" i="67"/>
  <c r="AN230" i="15"/>
  <c r="AO223" i="67" s="1"/>
  <c r="AK230" i="15"/>
  <c r="O229" i="27"/>
  <c r="V229" i="27"/>
  <c r="W229" i="27"/>
  <c r="Z229" i="27" s="1"/>
  <c r="AX222" i="67" s="1"/>
  <c r="AK229" i="27"/>
  <c r="AL229" i="27"/>
  <c r="K221" i="67"/>
  <c r="L226" i="15"/>
  <c r="M219" i="67" s="1"/>
  <c r="BA212" i="67"/>
  <c r="BA208" i="67"/>
  <c r="AU221" i="67"/>
  <c r="AN228" i="27"/>
  <c r="Q218" i="67"/>
  <c r="BA218" i="67"/>
  <c r="BA217" i="67"/>
  <c r="BA213" i="67"/>
  <c r="BA209" i="67"/>
  <c r="BA214" i="67"/>
  <c r="BA210" i="67"/>
  <c r="H226" i="27"/>
  <c r="G226" i="27"/>
  <c r="AU219" i="67" s="1"/>
  <c r="E226" i="27"/>
  <c r="L226" i="27" s="1"/>
  <c r="K219" i="67"/>
  <c r="D226" i="27"/>
  <c r="K226" i="27" s="1"/>
  <c r="AF226" i="15"/>
  <c r="AG219" i="67" s="1"/>
  <c r="BC219" i="67" s="1"/>
  <c r="BA219" i="67"/>
  <c r="AN225" i="27"/>
  <c r="AQ226" i="15"/>
  <c r="AR219" i="67" s="1"/>
  <c r="M225" i="15"/>
  <c r="N218" i="67" s="1"/>
  <c r="H28" i="1"/>
  <c r="M226" i="15" l="1"/>
  <c r="N219" i="67" s="1"/>
  <c r="N225" i="27"/>
  <c r="AV218" i="67" s="1"/>
  <c r="AP222" i="67"/>
  <c r="N226" i="27"/>
  <c r="AV219" i="67" s="1"/>
  <c r="AM229" i="27"/>
  <c r="AW222" i="67"/>
  <c r="AO230" i="15"/>
  <c r="AL223" i="67"/>
  <c r="V230" i="15"/>
  <c r="V223" i="67"/>
  <c r="AA230" i="15"/>
  <c r="AB223" i="67" s="1"/>
  <c r="W222" i="67"/>
  <c r="Y222" i="67"/>
  <c r="AN226" i="27"/>
  <c r="AE224" i="15"/>
  <c r="AF217" i="67" s="1"/>
  <c r="AG224" i="15"/>
  <c r="AH217" i="67" s="1"/>
  <c r="C224" i="15"/>
  <c r="D224" i="15"/>
  <c r="E224" i="15"/>
  <c r="F224" i="15"/>
  <c r="G224" i="15"/>
  <c r="Q224" i="15" s="1"/>
  <c r="R217" i="67" s="1"/>
  <c r="W223" i="67" l="1"/>
  <c r="Y223" i="67"/>
  <c r="AP230" i="15"/>
  <c r="AQ223" i="67" s="1"/>
  <c r="AP223" i="67"/>
  <c r="AF224" i="15"/>
  <c r="AG217" i="67" s="1"/>
  <c r="BC217" i="67" s="1"/>
  <c r="J224" i="15"/>
  <c r="K217" i="67" s="1"/>
  <c r="D224" i="27"/>
  <c r="K224" i="27" s="1"/>
  <c r="K224" i="15"/>
  <c r="L217" i="67" s="1"/>
  <c r="E224" i="27"/>
  <c r="L224" i="27" s="1"/>
  <c r="H224" i="27"/>
  <c r="P224" i="15"/>
  <c r="G224" i="27"/>
  <c r="L224" i="15"/>
  <c r="M217" i="67" s="1"/>
  <c r="F224" i="27"/>
  <c r="M224" i="27" s="1"/>
  <c r="AQ224" i="15" l="1"/>
  <c r="AR217" i="67" s="1"/>
  <c r="Q217" i="67"/>
  <c r="N224" i="27"/>
  <c r="AV217" i="67" s="1"/>
  <c r="AN224" i="27"/>
  <c r="AU217" i="67"/>
  <c r="M224" i="15"/>
  <c r="AE221" i="27"/>
  <c r="AE222" i="27"/>
  <c r="AE223" i="27"/>
  <c r="AE224" i="27"/>
  <c r="AE225" i="27"/>
  <c r="AE226" i="27"/>
  <c r="AE227" i="27"/>
  <c r="AE228" i="27"/>
  <c r="AE229" i="27"/>
  <c r="AE230" i="27"/>
  <c r="AE231" i="27"/>
  <c r="AE232" i="27"/>
  <c r="AE9" i="27"/>
  <c r="AE10" i="27"/>
  <c r="AE11" i="27"/>
  <c r="AE12" i="27"/>
  <c r="AE13" i="27"/>
  <c r="AE14" i="27"/>
  <c r="AE15" i="27"/>
  <c r="AE16" i="27"/>
  <c r="AE17" i="27"/>
  <c r="AE18" i="27"/>
  <c r="AE19" i="27"/>
  <c r="AE20" i="27"/>
  <c r="AE21" i="27"/>
  <c r="AE22" i="27"/>
  <c r="AE23" i="27"/>
  <c r="AE24" i="27"/>
  <c r="AE25" i="27"/>
  <c r="AE26" i="27"/>
  <c r="AE27" i="27"/>
  <c r="AE28" i="27"/>
  <c r="AE29" i="27"/>
  <c r="AE30" i="27"/>
  <c r="AE31" i="27"/>
  <c r="AE32" i="27"/>
  <c r="AE33" i="27"/>
  <c r="AE34" i="27"/>
  <c r="AE35" i="27"/>
  <c r="AE36" i="27"/>
  <c r="AE37" i="27"/>
  <c r="AE38" i="27"/>
  <c r="AE39" i="27"/>
  <c r="AE40" i="27"/>
  <c r="AE41" i="27"/>
  <c r="AE42" i="27"/>
  <c r="AE43" i="27"/>
  <c r="AE44" i="27"/>
  <c r="AE45" i="27"/>
  <c r="AE46" i="27"/>
  <c r="AE47" i="27"/>
  <c r="AE48" i="27"/>
  <c r="AE49" i="27"/>
  <c r="AE50" i="27"/>
  <c r="AE51" i="27"/>
  <c r="AE52" i="27"/>
  <c r="AE53" i="27"/>
  <c r="AE54" i="27"/>
  <c r="AE55" i="27"/>
  <c r="AE56" i="27"/>
  <c r="AE57" i="27"/>
  <c r="AE58" i="27"/>
  <c r="AE59" i="27"/>
  <c r="AE60" i="27"/>
  <c r="AE61" i="27"/>
  <c r="AE62" i="27"/>
  <c r="AE63" i="27"/>
  <c r="AE64" i="27"/>
  <c r="AE65" i="27"/>
  <c r="AE66" i="27"/>
  <c r="AE67" i="27"/>
  <c r="AE68" i="27"/>
  <c r="AE69" i="27"/>
  <c r="AE70" i="27"/>
  <c r="AE71" i="27"/>
  <c r="AE72" i="27"/>
  <c r="AE73" i="27"/>
  <c r="AE74" i="27"/>
  <c r="AE75" i="27"/>
  <c r="AE76" i="27"/>
  <c r="AE77" i="27"/>
  <c r="AE78" i="27"/>
  <c r="AE79" i="27"/>
  <c r="AE80" i="27"/>
  <c r="AE81" i="27"/>
  <c r="AE82" i="27"/>
  <c r="AE83" i="27"/>
  <c r="AE84" i="27"/>
  <c r="AE85" i="27"/>
  <c r="AE86" i="27"/>
  <c r="AE87" i="27"/>
  <c r="AE88" i="27"/>
  <c r="AE89" i="27"/>
  <c r="AE90" i="27"/>
  <c r="AE91" i="27"/>
  <c r="AE92" i="27"/>
  <c r="AE93" i="27"/>
  <c r="AE94" i="27"/>
  <c r="AE95" i="27"/>
  <c r="AE96" i="27"/>
  <c r="AE97" i="27"/>
  <c r="AE98" i="27"/>
  <c r="AE99" i="27"/>
  <c r="AE100" i="27"/>
  <c r="AE101" i="27"/>
  <c r="AE102" i="27"/>
  <c r="AE103" i="27"/>
  <c r="AE104" i="27"/>
  <c r="AE105" i="27"/>
  <c r="AE106" i="27"/>
  <c r="AE107" i="27"/>
  <c r="AE108" i="27"/>
  <c r="AE109" i="27"/>
  <c r="AE110" i="27"/>
  <c r="AE111" i="27"/>
  <c r="AE112" i="27"/>
  <c r="AE113" i="27"/>
  <c r="AE114" i="27"/>
  <c r="AE115" i="27"/>
  <c r="AE116" i="27"/>
  <c r="AE117" i="27"/>
  <c r="AE118" i="27"/>
  <c r="AE119" i="27"/>
  <c r="AE120" i="27"/>
  <c r="AE121" i="27"/>
  <c r="AE122" i="27"/>
  <c r="AE123" i="27"/>
  <c r="AE124" i="27"/>
  <c r="AE125" i="27"/>
  <c r="AE126" i="27"/>
  <c r="AE127" i="27"/>
  <c r="AE128" i="27"/>
  <c r="AE129" i="27"/>
  <c r="AE130" i="27"/>
  <c r="AE131" i="27"/>
  <c r="AE132" i="27"/>
  <c r="AE133" i="27"/>
  <c r="AE134" i="27"/>
  <c r="AE135" i="27"/>
  <c r="AE136" i="27"/>
  <c r="AE137" i="27"/>
  <c r="AE138" i="27"/>
  <c r="AE139" i="27"/>
  <c r="AE140" i="27"/>
  <c r="AE141" i="27"/>
  <c r="AE142" i="27"/>
  <c r="AE143" i="27"/>
  <c r="AE144" i="27"/>
  <c r="AE145" i="27"/>
  <c r="AE146" i="27"/>
  <c r="AE147" i="27"/>
  <c r="AE148" i="27"/>
  <c r="AE149" i="27"/>
  <c r="AE150" i="27"/>
  <c r="AE151" i="27"/>
  <c r="AE152" i="27"/>
  <c r="AE153" i="27"/>
  <c r="AE154" i="27"/>
  <c r="AE155" i="27"/>
  <c r="AE156" i="27"/>
  <c r="AE157" i="27"/>
  <c r="AE158" i="27"/>
  <c r="AE159" i="27"/>
  <c r="AE160" i="27"/>
  <c r="AE161" i="27"/>
  <c r="AE162" i="27"/>
  <c r="AE163" i="27"/>
  <c r="AE164" i="27"/>
  <c r="AE165" i="27"/>
  <c r="AE166" i="27"/>
  <c r="AE167" i="27"/>
  <c r="AE168" i="27"/>
  <c r="AE169" i="27"/>
  <c r="AE170" i="27"/>
  <c r="AE171" i="27"/>
  <c r="AE172" i="27"/>
  <c r="AE173" i="27"/>
  <c r="AE174" i="27"/>
  <c r="AE175" i="27"/>
  <c r="AE176" i="27"/>
  <c r="AE177" i="27"/>
  <c r="AE178" i="27"/>
  <c r="AE179" i="27"/>
  <c r="AE180" i="27"/>
  <c r="AE181" i="27"/>
  <c r="AE182" i="27"/>
  <c r="AE183" i="27"/>
  <c r="AE184" i="27"/>
  <c r="AE185" i="27"/>
  <c r="AE186" i="27"/>
  <c r="AE187" i="27"/>
  <c r="AE188" i="27"/>
  <c r="AE189" i="27"/>
  <c r="AE190" i="27"/>
  <c r="AE191" i="27"/>
  <c r="AE192" i="27"/>
  <c r="AE193" i="27"/>
  <c r="AE194" i="27"/>
  <c r="AE195" i="27"/>
  <c r="AE196" i="27"/>
  <c r="AE197" i="27"/>
  <c r="AE198" i="27"/>
  <c r="AE199" i="27"/>
  <c r="AE200" i="27"/>
  <c r="AE201" i="27"/>
  <c r="AE202" i="27"/>
  <c r="AE203" i="27"/>
  <c r="AE204" i="27"/>
  <c r="AE205" i="27"/>
  <c r="AE206" i="27"/>
  <c r="AE207" i="27"/>
  <c r="AE208" i="27"/>
  <c r="AE209" i="27"/>
  <c r="AE210" i="27"/>
  <c r="AE211" i="27"/>
  <c r="AE212" i="27"/>
  <c r="AE213" i="27"/>
  <c r="AE214" i="27"/>
  <c r="AE215" i="27"/>
  <c r="AE216" i="27"/>
  <c r="AE217" i="27"/>
  <c r="AE218" i="27"/>
  <c r="AE219" i="27"/>
  <c r="AE220" i="27"/>
  <c r="C215" i="15"/>
  <c r="J215" i="15" s="1"/>
  <c r="K208" i="67" s="1"/>
  <c r="D215" i="15"/>
  <c r="K215" i="15" s="1"/>
  <c r="L208" i="67" s="1"/>
  <c r="E215" i="15"/>
  <c r="L215" i="15" s="1"/>
  <c r="M208" i="67" s="1"/>
  <c r="F215" i="15"/>
  <c r="G215" i="27" s="1"/>
  <c r="AU208" i="67" s="1"/>
  <c r="G215" i="15"/>
  <c r="H215" i="27" s="1"/>
  <c r="AE215" i="15"/>
  <c r="AF208" i="67" s="1"/>
  <c r="AG215" i="15"/>
  <c r="AH208" i="67" s="1"/>
  <c r="C216" i="15"/>
  <c r="D216" i="27" s="1"/>
  <c r="K216" i="27" s="1"/>
  <c r="D216" i="15"/>
  <c r="E216" i="27" s="1"/>
  <c r="L216" i="27" s="1"/>
  <c r="E216" i="15"/>
  <c r="L216" i="15" s="1"/>
  <c r="M209" i="67" s="1"/>
  <c r="F216" i="15"/>
  <c r="P216" i="15" s="1"/>
  <c r="Q209" i="67" s="1"/>
  <c r="G216" i="15"/>
  <c r="Q216" i="15" s="1"/>
  <c r="R209" i="67" s="1"/>
  <c r="AE216" i="15"/>
  <c r="AF209" i="67" s="1"/>
  <c r="AG216" i="15"/>
  <c r="AH209" i="67" s="1"/>
  <c r="C217" i="15"/>
  <c r="J217" i="15" s="1"/>
  <c r="K210" i="67" s="1"/>
  <c r="D217" i="15"/>
  <c r="K217" i="15" s="1"/>
  <c r="L210" i="67" s="1"/>
  <c r="E217" i="15"/>
  <c r="L217" i="15" s="1"/>
  <c r="M210" i="67" s="1"/>
  <c r="F217" i="15"/>
  <c r="G217" i="27" s="1"/>
  <c r="AU210" i="67" s="1"/>
  <c r="G217" i="15"/>
  <c r="Q217" i="15" s="1"/>
  <c r="R210" i="67" s="1"/>
  <c r="AE217" i="15"/>
  <c r="AF210" i="67" s="1"/>
  <c r="AG217" i="15"/>
  <c r="AH210" i="67" s="1"/>
  <c r="C218" i="15"/>
  <c r="J218" i="15" s="1"/>
  <c r="K211" i="67" s="1"/>
  <c r="D218" i="15"/>
  <c r="K218" i="15" s="1"/>
  <c r="L211" i="67" s="1"/>
  <c r="E218" i="15"/>
  <c r="F218" i="27" s="1"/>
  <c r="M218" i="27" s="1"/>
  <c r="F218" i="15"/>
  <c r="P218" i="15" s="1"/>
  <c r="Q211" i="67" s="1"/>
  <c r="G218" i="15"/>
  <c r="Q218" i="15" s="1"/>
  <c r="R211" i="67" s="1"/>
  <c r="AE218" i="15"/>
  <c r="AF211" i="67" s="1"/>
  <c r="AG218" i="15"/>
  <c r="AH211" i="67" s="1"/>
  <c r="C219" i="15"/>
  <c r="J219" i="15" s="1"/>
  <c r="K212" i="67" s="1"/>
  <c r="D219" i="15"/>
  <c r="K219" i="15" s="1"/>
  <c r="L212" i="67" s="1"/>
  <c r="E219" i="15"/>
  <c r="L219" i="15" s="1"/>
  <c r="M212" i="67" s="1"/>
  <c r="F219" i="15"/>
  <c r="P219" i="15" s="1"/>
  <c r="Q212" i="67" s="1"/>
  <c r="G219" i="15"/>
  <c r="H219" i="27" s="1"/>
  <c r="AE219" i="15"/>
  <c r="AF212" i="67" s="1"/>
  <c r="AG219" i="15"/>
  <c r="AH212" i="67" s="1"/>
  <c r="C220" i="15"/>
  <c r="J220" i="15" s="1"/>
  <c r="K213" i="67" s="1"/>
  <c r="D220" i="15"/>
  <c r="K220" i="15" s="1"/>
  <c r="L213" i="67" s="1"/>
  <c r="E220" i="15"/>
  <c r="L220" i="15" s="1"/>
  <c r="M213" i="67" s="1"/>
  <c r="F220" i="15"/>
  <c r="P220" i="15" s="1"/>
  <c r="Q213" i="67" s="1"/>
  <c r="G220" i="15"/>
  <c r="Q220" i="15" s="1"/>
  <c r="R213" i="67" s="1"/>
  <c r="AE220" i="15"/>
  <c r="AF213" i="67" s="1"/>
  <c r="AG220" i="15"/>
  <c r="AH213" i="67" s="1"/>
  <c r="C221" i="15"/>
  <c r="J221" i="15" s="1"/>
  <c r="K214" i="67" s="1"/>
  <c r="D221" i="15"/>
  <c r="K221" i="15" s="1"/>
  <c r="L214" i="67" s="1"/>
  <c r="E221" i="15"/>
  <c r="L221" i="15" s="1"/>
  <c r="M214" i="67" s="1"/>
  <c r="F221" i="15"/>
  <c r="G221" i="27" s="1"/>
  <c r="AU214" i="67" s="1"/>
  <c r="G221" i="15"/>
  <c r="H221" i="27" s="1"/>
  <c r="AE221" i="15"/>
  <c r="AF214" i="67" s="1"/>
  <c r="AG221" i="15"/>
  <c r="AH214" i="67" s="1"/>
  <c r="C222" i="15"/>
  <c r="D222" i="27" s="1"/>
  <c r="K222" i="27" s="1"/>
  <c r="D222" i="15"/>
  <c r="E222" i="27" s="1"/>
  <c r="L222" i="27" s="1"/>
  <c r="E222" i="15"/>
  <c r="F222" i="27" s="1"/>
  <c r="M222" i="27" s="1"/>
  <c r="F222" i="15"/>
  <c r="P222" i="15" s="1"/>
  <c r="Q215" i="67" s="1"/>
  <c r="G222" i="15"/>
  <c r="Q222" i="15" s="1"/>
  <c r="R215" i="67" s="1"/>
  <c r="AE222" i="15"/>
  <c r="AF215" i="67" s="1"/>
  <c r="AG222" i="15"/>
  <c r="AH215" i="67" s="1"/>
  <c r="C223" i="15"/>
  <c r="J223" i="15" s="1"/>
  <c r="K216" i="67" s="1"/>
  <c r="D223" i="15"/>
  <c r="K223" i="15" s="1"/>
  <c r="L216" i="67" s="1"/>
  <c r="E223" i="15"/>
  <c r="L223" i="15" s="1"/>
  <c r="M216" i="67" s="1"/>
  <c r="F223" i="15"/>
  <c r="P223" i="15" s="1"/>
  <c r="Q216" i="67" s="1"/>
  <c r="G223" i="15"/>
  <c r="Q223" i="15" s="1"/>
  <c r="R216" i="67" s="1"/>
  <c r="AE223" i="15"/>
  <c r="AF216" i="67" s="1"/>
  <c r="AG223" i="15"/>
  <c r="AH216" i="67" s="1"/>
  <c r="N217" i="67" l="1"/>
  <c r="M223" i="15"/>
  <c r="N216" i="67" s="1"/>
  <c r="Q219" i="15"/>
  <c r="R212" i="67" s="1"/>
  <c r="K222" i="15"/>
  <c r="L215" i="67" s="1"/>
  <c r="Q221" i="15"/>
  <c r="R214" i="67" s="1"/>
  <c r="P217" i="15"/>
  <c r="Q210" i="67" s="1"/>
  <c r="H220" i="27"/>
  <c r="D217" i="27"/>
  <c r="K217" i="27" s="1"/>
  <c r="P221" i="15"/>
  <c r="Q214" i="67" s="1"/>
  <c r="F216" i="27"/>
  <c r="M216" i="27" s="1"/>
  <c r="N216" i="27" s="1"/>
  <c r="AV209" i="67" s="1"/>
  <c r="D220" i="27"/>
  <c r="K220" i="27" s="1"/>
  <c r="H223" i="27"/>
  <c r="G219" i="27"/>
  <c r="AU212" i="67" s="1"/>
  <c r="G223" i="27"/>
  <c r="AU216" i="67" s="1"/>
  <c r="H218" i="27"/>
  <c r="E223" i="27"/>
  <c r="L223" i="27" s="1"/>
  <c r="G218" i="27"/>
  <c r="AU211" i="67" s="1"/>
  <c r="H217" i="27"/>
  <c r="F217" i="27"/>
  <c r="M217" i="27" s="1"/>
  <c r="D221" i="27"/>
  <c r="K221" i="27" s="1"/>
  <c r="E217" i="27"/>
  <c r="L217" i="27" s="1"/>
  <c r="AN221" i="27"/>
  <c r="AN217" i="27"/>
  <c r="AN215" i="27"/>
  <c r="L218" i="15"/>
  <c r="M211" i="67" s="1"/>
  <c r="K216" i="15"/>
  <c r="L209" i="67" s="1"/>
  <c r="H222" i="27"/>
  <c r="F220" i="27"/>
  <c r="M220" i="27" s="1"/>
  <c r="F219" i="27"/>
  <c r="M219" i="27" s="1"/>
  <c r="E218" i="27"/>
  <c r="L218" i="27" s="1"/>
  <c r="H216" i="27"/>
  <c r="E215" i="27"/>
  <c r="L215" i="27" s="1"/>
  <c r="G220" i="27"/>
  <c r="AU213" i="67" s="1"/>
  <c r="F215" i="27"/>
  <c r="M215" i="27" s="1"/>
  <c r="J216" i="15"/>
  <c r="K209" i="67" s="1"/>
  <c r="G222" i="27"/>
  <c r="AU215" i="67" s="1"/>
  <c r="F221" i="27"/>
  <c r="M221" i="27" s="1"/>
  <c r="E220" i="27"/>
  <c r="L220" i="27" s="1"/>
  <c r="E219" i="27"/>
  <c r="L219" i="27" s="1"/>
  <c r="D218" i="27"/>
  <c r="K218" i="27" s="1"/>
  <c r="G216" i="27"/>
  <c r="AU209" i="67" s="1"/>
  <c r="D215" i="27"/>
  <c r="K215" i="27" s="1"/>
  <c r="L222" i="15"/>
  <c r="M215" i="67" s="1"/>
  <c r="E221" i="27"/>
  <c r="L221" i="27" s="1"/>
  <c r="D219" i="27"/>
  <c r="K219" i="27" s="1"/>
  <c r="Q215" i="15"/>
  <c r="R208" i="67" s="1"/>
  <c r="J222" i="15"/>
  <c r="K215" i="67" s="1"/>
  <c r="P215" i="15"/>
  <c r="Q208" i="67" s="1"/>
  <c r="F223" i="27"/>
  <c r="M223" i="27" s="1"/>
  <c r="D223" i="27"/>
  <c r="K223" i="27" s="1"/>
  <c r="AF220" i="15"/>
  <c r="AG213" i="67" s="1"/>
  <c r="BC213" i="67" s="1"/>
  <c r="AF218" i="15"/>
  <c r="AG211" i="67" s="1"/>
  <c r="BC211" i="67" s="1"/>
  <c r="AQ219" i="15"/>
  <c r="AR212" i="67" s="1"/>
  <c r="AF217" i="15"/>
  <c r="AG210" i="67" s="1"/>
  <c r="BC210" i="67" s="1"/>
  <c r="AQ221" i="15"/>
  <c r="AR214" i="67" s="1"/>
  <c r="AF215" i="15"/>
  <c r="AG208" i="67" s="1"/>
  <c r="BC208" i="67" s="1"/>
  <c r="AF223" i="15"/>
  <c r="AG216" i="67" s="1"/>
  <c r="BC216" i="67" s="1"/>
  <c r="AF216" i="15"/>
  <c r="AG209" i="67" s="1"/>
  <c r="BC209" i="67" s="1"/>
  <c r="AF222" i="15"/>
  <c r="AG215" i="67" s="1"/>
  <c r="BC215" i="67" s="1"/>
  <c r="AQ223" i="15"/>
  <c r="AR216" i="67" s="1"/>
  <c r="AF219" i="15"/>
  <c r="AG212" i="67" s="1"/>
  <c r="BC212" i="67" s="1"/>
  <c r="AF221" i="15"/>
  <c r="AG214" i="67" s="1"/>
  <c r="BC214" i="67" s="1"/>
  <c r="N222" i="27"/>
  <c r="AV215" i="67" s="1"/>
  <c r="M220" i="15"/>
  <c r="N213" i="67" s="1"/>
  <c r="M217" i="15"/>
  <c r="N210" i="67" s="1"/>
  <c r="M219" i="15"/>
  <c r="N212" i="67" s="1"/>
  <c r="AQ216" i="15"/>
  <c r="AR209" i="67" s="1"/>
  <c r="M221" i="15"/>
  <c r="N214" i="67" s="1"/>
  <c r="AQ218" i="15"/>
  <c r="AR211" i="67" s="1"/>
  <c r="M215" i="15"/>
  <c r="N208" i="67" s="1"/>
  <c r="AQ220" i="15"/>
  <c r="AR213" i="67" s="1"/>
  <c r="AQ222" i="15"/>
  <c r="AR215" i="67" s="1"/>
  <c r="AQ217" i="15" l="1"/>
  <c r="AR210" i="67" s="1"/>
  <c r="M218" i="15"/>
  <c r="N211" i="67" s="1"/>
  <c r="N223" i="27"/>
  <c r="AV216" i="67" s="1"/>
  <c r="M222" i="15"/>
  <c r="N218" i="27"/>
  <c r="AV211" i="67" s="1"/>
  <c r="N217" i="27"/>
  <c r="AV210" i="67" s="1"/>
  <c r="N221" i="27"/>
  <c r="AV214" i="67" s="1"/>
  <c r="AQ215" i="15"/>
  <c r="AR208" i="67" s="1"/>
  <c r="M216" i="15"/>
  <c r="N209" i="67" s="1"/>
  <c r="AN223" i="27"/>
  <c r="N220" i="27"/>
  <c r="AV213" i="67" s="1"/>
  <c r="AN218" i="27"/>
  <c r="AN219" i="27"/>
  <c r="N215" i="27"/>
  <c r="AV208" i="67" s="1"/>
  <c r="N219" i="27"/>
  <c r="AV212" i="67" s="1"/>
  <c r="AN216" i="27"/>
  <c r="AN222" i="27"/>
  <c r="AN220" i="27"/>
  <c r="N215" i="67" l="1"/>
  <c r="O170" i="67" l="1"/>
  <c r="P170" i="67"/>
  <c r="AC170" i="67"/>
  <c r="AD170" i="67"/>
  <c r="AE170" i="67"/>
  <c r="AI170" i="67"/>
  <c r="AJ170" i="67"/>
  <c r="AM170" i="67"/>
  <c r="AY170" i="67"/>
  <c r="BB170" i="67"/>
  <c r="O171" i="67"/>
  <c r="P171" i="67"/>
  <c r="AC171" i="67"/>
  <c r="AD171" i="67"/>
  <c r="AE171" i="67"/>
  <c r="AI171" i="67"/>
  <c r="AJ171" i="67"/>
  <c r="AM171" i="67"/>
  <c r="AY171" i="67"/>
  <c r="BB171" i="67"/>
  <c r="O172" i="67"/>
  <c r="P172" i="67"/>
  <c r="AC172" i="67"/>
  <c r="AD172" i="67"/>
  <c r="AE172" i="67"/>
  <c r="AI172" i="67"/>
  <c r="AJ172" i="67"/>
  <c r="AM172" i="67"/>
  <c r="AY172" i="67"/>
  <c r="BB172" i="67"/>
  <c r="AI173" i="67"/>
  <c r="AJ173" i="67"/>
  <c r="AM173" i="67"/>
  <c r="AY173" i="67"/>
  <c r="BB173" i="67"/>
  <c r="AI174" i="67"/>
  <c r="AJ174" i="67"/>
  <c r="AM174" i="67"/>
  <c r="AY174" i="67"/>
  <c r="BB174" i="67"/>
  <c r="AI175" i="67"/>
  <c r="AJ175" i="67"/>
  <c r="AM175" i="67"/>
  <c r="AY175" i="67"/>
  <c r="BB175" i="67"/>
  <c r="AI176" i="67"/>
  <c r="AJ176" i="67"/>
  <c r="AM176" i="67"/>
  <c r="AY176" i="67"/>
  <c r="BB176" i="67"/>
  <c r="AI177" i="67"/>
  <c r="AJ177" i="67"/>
  <c r="AM177" i="67"/>
  <c r="AY177" i="67"/>
  <c r="BB177" i="67"/>
  <c r="AI178" i="67"/>
  <c r="AJ178" i="67"/>
  <c r="AM178" i="67"/>
  <c r="AY178" i="67"/>
  <c r="BB178" i="67"/>
  <c r="AI179" i="67"/>
  <c r="AJ179" i="67"/>
  <c r="AM179" i="67"/>
  <c r="AY179" i="67"/>
  <c r="BB179" i="67"/>
  <c r="AI180" i="67"/>
  <c r="AJ180" i="67"/>
  <c r="AM180" i="67"/>
  <c r="AY180" i="67"/>
  <c r="BB180" i="67"/>
  <c r="AI181" i="67"/>
  <c r="AJ181" i="67"/>
  <c r="AM181" i="67"/>
  <c r="AY181" i="67"/>
  <c r="BB181" i="67"/>
  <c r="O182" i="67"/>
  <c r="P182" i="67"/>
  <c r="AC182" i="67"/>
  <c r="AD182" i="67"/>
  <c r="AE182" i="67"/>
  <c r="AI182" i="67"/>
  <c r="AJ182" i="67"/>
  <c r="AM182" i="67"/>
  <c r="AY182" i="67"/>
  <c r="BB182" i="67"/>
  <c r="O183" i="67"/>
  <c r="P183" i="67"/>
  <c r="AC183" i="67"/>
  <c r="AD183" i="67"/>
  <c r="AE183" i="67"/>
  <c r="AI183" i="67"/>
  <c r="AJ183" i="67"/>
  <c r="AM183" i="67"/>
  <c r="AY183" i="67"/>
  <c r="BB183" i="67"/>
  <c r="O184" i="67"/>
  <c r="P184" i="67"/>
  <c r="AC184" i="67"/>
  <c r="AD184" i="67"/>
  <c r="AE184" i="67"/>
  <c r="AI184" i="67"/>
  <c r="AJ184" i="67"/>
  <c r="AM184" i="67"/>
  <c r="AY184" i="67"/>
  <c r="BB184" i="67"/>
  <c r="AI185" i="67"/>
  <c r="AJ185" i="67"/>
  <c r="AM185" i="67"/>
  <c r="AY185" i="67"/>
  <c r="BB185" i="67"/>
  <c r="AI186" i="67"/>
  <c r="AJ186" i="67"/>
  <c r="AM186" i="67"/>
  <c r="AY186" i="67"/>
  <c r="BB186" i="67"/>
  <c r="AI187" i="67"/>
  <c r="AJ187" i="67"/>
  <c r="AM187" i="67"/>
  <c r="AY187" i="67"/>
  <c r="BB187" i="67"/>
  <c r="AI188" i="67"/>
  <c r="AJ188" i="67"/>
  <c r="AM188" i="67"/>
  <c r="AY188" i="67"/>
  <c r="BB188" i="67"/>
  <c r="AI189" i="67"/>
  <c r="AJ189" i="67"/>
  <c r="AM189" i="67"/>
  <c r="AY189" i="67"/>
  <c r="BB189" i="67"/>
  <c r="AI190" i="67"/>
  <c r="AJ190" i="67"/>
  <c r="AM190" i="67"/>
  <c r="AY190" i="67"/>
  <c r="BB190" i="67"/>
  <c r="AI191" i="67"/>
  <c r="AJ191" i="67"/>
  <c r="AM191" i="67"/>
  <c r="AY191" i="67"/>
  <c r="BB191" i="67"/>
  <c r="AI192" i="67"/>
  <c r="AJ192" i="67"/>
  <c r="AM192" i="67"/>
  <c r="AY192" i="67"/>
  <c r="BB192" i="67"/>
  <c r="AI193" i="67"/>
  <c r="AJ193" i="67"/>
  <c r="AM193" i="67"/>
  <c r="AY193" i="67"/>
  <c r="BB193" i="67"/>
  <c r="O194" i="67"/>
  <c r="P194" i="67"/>
  <c r="AC194" i="67"/>
  <c r="AD194" i="67"/>
  <c r="AE194" i="67"/>
  <c r="AI194" i="67"/>
  <c r="AJ194" i="67"/>
  <c r="AM194" i="67"/>
  <c r="AY194" i="67"/>
  <c r="BB194" i="67"/>
  <c r="O195" i="67"/>
  <c r="P195" i="67"/>
  <c r="AC195" i="67"/>
  <c r="AD195" i="67"/>
  <c r="AE195" i="67"/>
  <c r="AI195" i="67"/>
  <c r="AJ195" i="67"/>
  <c r="AM195" i="67"/>
  <c r="AY195" i="67"/>
  <c r="BB195" i="67"/>
  <c r="O196" i="67"/>
  <c r="P196" i="67"/>
  <c r="AC196" i="67"/>
  <c r="AD196" i="67"/>
  <c r="AE196" i="67"/>
  <c r="AI196" i="67"/>
  <c r="AJ196" i="67"/>
  <c r="AM196" i="67"/>
  <c r="AY196" i="67"/>
  <c r="BB196" i="67"/>
  <c r="AI197" i="67"/>
  <c r="AJ197" i="67"/>
  <c r="AM197" i="67"/>
  <c r="AY197" i="67"/>
  <c r="BB197" i="67"/>
  <c r="AI198" i="67"/>
  <c r="AJ198" i="67"/>
  <c r="AM198" i="67"/>
  <c r="AY198" i="67"/>
  <c r="BB198" i="67"/>
  <c r="AI199" i="67"/>
  <c r="AJ199" i="67"/>
  <c r="AM199" i="67"/>
  <c r="AY199" i="67"/>
  <c r="BB199" i="67"/>
  <c r="AI200" i="67"/>
  <c r="AJ200" i="67"/>
  <c r="AM200" i="67"/>
  <c r="AY200" i="67"/>
  <c r="BB200" i="67"/>
  <c r="AI201" i="67"/>
  <c r="AJ201" i="67"/>
  <c r="AM201" i="67"/>
  <c r="AY201" i="67"/>
  <c r="BB201" i="67"/>
  <c r="AI202" i="67"/>
  <c r="AJ202" i="67"/>
  <c r="AM202" i="67"/>
  <c r="AY202" i="67"/>
  <c r="BB202" i="67"/>
  <c r="AI203" i="67"/>
  <c r="AJ203" i="67"/>
  <c r="AM203" i="67"/>
  <c r="AY203" i="67"/>
  <c r="BB203" i="67"/>
  <c r="AI204" i="67"/>
  <c r="AJ204" i="67"/>
  <c r="AM204" i="67"/>
  <c r="AY204" i="67"/>
  <c r="BB204" i="67"/>
  <c r="AI205" i="67"/>
  <c r="AJ205" i="67"/>
  <c r="AM205" i="67"/>
  <c r="AY205" i="67"/>
  <c r="BB205" i="67"/>
  <c r="BA200" i="67" l="1"/>
  <c r="BA199" i="67"/>
  <c r="BA204" i="67"/>
  <c r="BA171" i="67"/>
  <c r="BA181" i="67"/>
  <c r="BA198" i="67"/>
  <c r="BA195" i="67"/>
  <c r="BA175" i="67"/>
  <c r="BA192" i="67"/>
  <c r="BA197" i="67"/>
  <c r="BA176" i="67"/>
  <c r="BA170" i="67"/>
  <c r="BA179" i="67"/>
  <c r="BA190" i="67"/>
  <c r="BA183" i="67"/>
  <c r="BA201" i="67"/>
  <c r="BA196" i="67"/>
  <c r="BA172" i="67"/>
  <c r="BA186" i="67"/>
  <c r="BA178" i="67"/>
  <c r="BA173" i="67"/>
  <c r="BA185" i="67"/>
  <c r="BA177" i="67"/>
  <c r="BA205" i="67"/>
  <c r="BA202" i="67"/>
  <c r="BA191" i="67"/>
  <c r="BA188" i="67"/>
  <c r="BA182" i="67"/>
  <c r="BA180" i="67"/>
  <c r="BA174" i="67"/>
  <c r="BA203" i="67"/>
  <c r="BA189" i="67"/>
  <c r="BA194" i="67"/>
  <c r="BA187" i="67"/>
  <c r="BA184" i="67"/>
  <c r="BA193" i="67"/>
  <c r="C177" i="15"/>
  <c r="D177" i="15"/>
  <c r="E177" i="15"/>
  <c r="F177" i="15"/>
  <c r="G177" i="15"/>
  <c r="AE177" i="15"/>
  <c r="AF170" i="67" s="1"/>
  <c r="AG177" i="15"/>
  <c r="AH170" i="67" s="1"/>
  <c r="C178" i="15"/>
  <c r="D178" i="27" s="1"/>
  <c r="K178" i="27" s="1"/>
  <c r="D178" i="15"/>
  <c r="E178" i="15"/>
  <c r="F178" i="15"/>
  <c r="G178" i="15"/>
  <c r="AE178" i="15"/>
  <c r="AF171" i="67" s="1"/>
  <c r="AG178" i="15"/>
  <c r="AH171" i="67" s="1"/>
  <c r="C179" i="15"/>
  <c r="D179" i="15"/>
  <c r="E179" i="15"/>
  <c r="F179" i="15"/>
  <c r="G179" i="15"/>
  <c r="AE179" i="15"/>
  <c r="AF172" i="67" s="1"/>
  <c r="AG179" i="15"/>
  <c r="AH172" i="67" s="1"/>
  <c r="C180" i="15"/>
  <c r="D180" i="15"/>
  <c r="E180" i="15"/>
  <c r="F180" i="15"/>
  <c r="G180" i="15"/>
  <c r="AE180" i="15"/>
  <c r="AF173" i="67" s="1"/>
  <c r="AG180" i="15"/>
  <c r="AH173" i="67" s="1"/>
  <c r="C181" i="15"/>
  <c r="D181" i="15"/>
  <c r="E181" i="15"/>
  <c r="F181" i="15"/>
  <c r="G181" i="15"/>
  <c r="AE181" i="15"/>
  <c r="AF174" i="67" s="1"/>
  <c r="AG181" i="15"/>
  <c r="AH174" i="67" s="1"/>
  <c r="C182" i="15"/>
  <c r="D182" i="15"/>
  <c r="E182" i="15"/>
  <c r="F182" i="15"/>
  <c r="G182" i="15"/>
  <c r="AE182" i="15"/>
  <c r="AF175" i="67" s="1"/>
  <c r="AG182" i="15"/>
  <c r="AH175" i="67" s="1"/>
  <c r="C183" i="15"/>
  <c r="D183" i="15"/>
  <c r="E183" i="15"/>
  <c r="F183" i="15"/>
  <c r="G183" i="15"/>
  <c r="AE183" i="15"/>
  <c r="AF176" i="67" s="1"/>
  <c r="AG183" i="15"/>
  <c r="AH176" i="67" s="1"/>
  <c r="C184" i="15"/>
  <c r="D184" i="15"/>
  <c r="E184" i="15"/>
  <c r="F184" i="15"/>
  <c r="G184" i="15"/>
  <c r="AE184" i="15"/>
  <c r="AF177" i="67" s="1"/>
  <c r="AG184" i="15"/>
  <c r="AH177" i="67" s="1"/>
  <c r="C185" i="15"/>
  <c r="D185" i="15"/>
  <c r="E185" i="15"/>
  <c r="F185" i="15"/>
  <c r="G185" i="15"/>
  <c r="AE185" i="15"/>
  <c r="AF178" i="67" s="1"/>
  <c r="AG185" i="15"/>
  <c r="AH178" i="67" s="1"/>
  <c r="C186" i="15"/>
  <c r="D186" i="15"/>
  <c r="E186" i="15"/>
  <c r="F186" i="15"/>
  <c r="G186" i="15"/>
  <c r="AE186" i="15"/>
  <c r="AF179" i="67" s="1"/>
  <c r="AG186" i="15"/>
  <c r="AH179" i="67" s="1"/>
  <c r="C187" i="15"/>
  <c r="D187" i="15"/>
  <c r="E187" i="15"/>
  <c r="F187" i="15"/>
  <c r="G187" i="15"/>
  <c r="AE187" i="15"/>
  <c r="AF180" i="67" s="1"/>
  <c r="AG187" i="15"/>
  <c r="AH180" i="67" s="1"/>
  <c r="C188" i="15"/>
  <c r="D188" i="15"/>
  <c r="E188" i="15"/>
  <c r="F188" i="15"/>
  <c r="G188" i="15"/>
  <c r="AE188" i="15"/>
  <c r="AF181" i="67" s="1"/>
  <c r="AG188" i="15"/>
  <c r="AH181" i="67" s="1"/>
  <c r="C189" i="15"/>
  <c r="D189" i="15"/>
  <c r="E189" i="15"/>
  <c r="F189" i="15"/>
  <c r="G189" i="15"/>
  <c r="AE189" i="15"/>
  <c r="AF182" i="67" s="1"/>
  <c r="AG189" i="15"/>
  <c r="AH182" i="67" s="1"/>
  <c r="C190" i="15"/>
  <c r="D190" i="15"/>
  <c r="E190" i="15"/>
  <c r="F190" i="15"/>
  <c r="G190" i="15"/>
  <c r="AE190" i="15"/>
  <c r="AF183" i="67" s="1"/>
  <c r="AG190" i="15"/>
  <c r="AH183" i="67" s="1"/>
  <c r="C191" i="15"/>
  <c r="D191" i="15"/>
  <c r="E191" i="15"/>
  <c r="F191" i="15"/>
  <c r="G191" i="15"/>
  <c r="AE191" i="15"/>
  <c r="AF184" i="67" s="1"/>
  <c r="AG191" i="15"/>
  <c r="AH184" i="67" s="1"/>
  <c r="C192" i="15"/>
  <c r="D192" i="15"/>
  <c r="E192" i="15"/>
  <c r="F192" i="15"/>
  <c r="G192" i="15"/>
  <c r="AE192" i="15"/>
  <c r="AF185" i="67" s="1"/>
  <c r="AG192" i="15"/>
  <c r="AH185" i="67" s="1"/>
  <c r="C193" i="15"/>
  <c r="D193" i="15"/>
  <c r="E193" i="15"/>
  <c r="F193" i="15"/>
  <c r="G193" i="15"/>
  <c r="AE193" i="15"/>
  <c r="AF186" i="67" s="1"/>
  <c r="AG193" i="15"/>
  <c r="AH186" i="67" s="1"/>
  <c r="C194" i="15"/>
  <c r="D194" i="15"/>
  <c r="E194" i="15"/>
  <c r="F194" i="15"/>
  <c r="G194" i="15"/>
  <c r="AE194" i="15"/>
  <c r="AF187" i="67" s="1"/>
  <c r="AG194" i="15"/>
  <c r="AH187" i="67" s="1"/>
  <c r="C195" i="15"/>
  <c r="D195" i="15"/>
  <c r="E195" i="15"/>
  <c r="F195" i="15"/>
  <c r="G195" i="15"/>
  <c r="AE195" i="15"/>
  <c r="AF188" i="67" s="1"/>
  <c r="AG195" i="15"/>
  <c r="AH188" i="67" s="1"/>
  <c r="C196" i="15"/>
  <c r="D196" i="15"/>
  <c r="E196" i="15"/>
  <c r="F196" i="15"/>
  <c r="G196" i="15"/>
  <c r="AE196" i="15"/>
  <c r="AF189" i="67" s="1"/>
  <c r="AG196" i="15"/>
  <c r="AH189" i="67" s="1"/>
  <c r="C197" i="15"/>
  <c r="D197" i="15"/>
  <c r="E197" i="15"/>
  <c r="F197" i="15"/>
  <c r="G197" i="15"/>
  <c r="AE197" i="15"/>
  <c r="AF190" i="67" s="1"/>
  <c r="AG197" i="15"/>
  <c r="AH190" i="67" s="1"/>
  <c r="C198" i="15"/>
  <c r="D198" i="15"/>
  <c r="E198" i="15"/>
  <c r="F198" i="15"/>
  <c r="G198" i="15"/>
  <c r="AE198" i="15"/>
  <c r="AF191" i="67" s="1"/>
  <c r="AG198" i="15"/>
  <c r="AH191" i="67" s="1"/>
  <c r="C199" i="15"/>
  <c r="D199" i="15"/>
  <c r="E199" i="15"/>
  <c r="F199" i="15"/>
  <c r="G199" i="15"/>
  <c r="AE199" i="15"/>
  <c r="AF192" i="67" s="1"/>
  <c r="AG199" i="15"/>
  <c r="AH192" i="67" s="1"/>
  <c r="C200" i="15"/>
  <c r="D200" i="15"/>
  <c r="E200" i="15"/>
  <c r="F200" i="15"/>
  <c r="G200" i="15"/>
  <c r="AE200" i="15"/>
  <c r="AF193" i="67" s="1"/>
  <c r="AG200" i="15"/>
  <c r="AH193" i="67" s="1"/>
  <c r="C201" i="15"/>
  <c r="D201" i="15"/>
  <c r="E201" i="15"/>
  <c r="F201" i="15"/>
  <c r="G201" i="15"/>
  <c r="AE201" i="15"/>
  <c r="AF194" i="67" s="1"/>
  <c r="AG201" i="15"/>
  <c r="AH194" i="67" s="1"/>
  <c r="C202" i="15"/>
  <c r="D202" i="15"/>
  <c r="E202" i="15"/>
  <c r="F202" i="15"/>
  <c r="G202" i="15"/>
  <c r="AE202" i="15"/>
  <c r="AF195" i="67" s="1"/>
  <c r="AG202" i="15"/>
  <c r="AH195" i="67" s="1"/>
  <c r="C203" i="15"/>
  <c r="D203" i="15"/>
  <c r="E203" i="15"/>
  <c r="F203" i="15"/>
  <c r="G203" i="15"/>
  <c r="AE203" i="15"/>
  <c r="AF196" i="67" s="1"/>
  <c r="AG203" i="15"/>
  <c r="AH196" i="67" s="1"/>
  <c r="C204" i="15"/>
  <c r="D204" i="15"/>
  <c r="E204" i="15"/>
  <c r="F204" i="15"/>
  <c r="G204" i="15"/>
  <c r="AE204" i="15"/>
  <c r="AF197" i="67" s="1"/>
  <c r="AG204" i="15"/>
  <c r="AH197" i="67" s="1"/>
  <c r="C205" i="15"/>
  <c r="D205" i="15"/>
  <c r="E205" i="15"/>
  <c r="F205" i="15"/>
  <c r="G205" i="15"/>
  <c r="AE205" i="15"/>
  <c r="AF198" i="67" s="1"/>
  <c r="AG205" i="15"/>
  <c r="AH198" i="67" s="1"/>
  <c r="C206" i="15"/>
  <c r="D206" i="15"/>
  <c r="E206" i="15"/>
  <c r="F206" i="15"/>
  <c r="G206" i="15"/>
  <c r="AE206" i="15"/>
  <c r="AF199" i="67" s="1"/>
  <c r="AG206" i="15"/>
  <c r="AH199" i="67" s="1"/>
  <c r="C207" i="15"/>
  <c r="D207" i="15"/>
  <c r="E207" i="15"/>
  <c r="F207" i="15"/>
  <c r="G207" i="15"/>
  <c r="AE207" i="15"/>
  <c r="AF200" i="67" s="1"/>
  <c r="AG207" i="15"/>
  <c r="AH200" i="67" s="1"/>
  <c r="C208" i="15"/>
  <c r="D208" i="15"/>
  <c r="E208" i="15"/>
  <c r="F208" i="15"/>
  <c r="G208" i="15"/>
  <c r="AE208" i="15"/>
  <c r="AF201" i="67" s="1"/>
  <c r="AG208" i="15"/>
  <c r="AH201" i="67" s="1"/>
  <c r="C209" i="15"/>
  <c r="D209" i="15"/>
  <c r="E209" i="15"/>
  <c r="F209" i="15"/>
  <c r="G209" i="15"/>
  <c r="AE209" i="15"/>
  <c r="AF202" i="67" s="1"/>
  <c r="AG209" i="15"/>
  <c r="AH202" i="67" s="1"/>
  <c r="C210" i="15"/>
  <c r="D210" i="15"/>
  <c r="E210" i="15"/>
  <c r="F210" i="15"/>
  <c r="G210" i="15"/>
  <c r="AE210" i="15"/>
  <c r="AF203" i="67" s="1"/>
  <c r="AG210" i="15"/>
  <c r="AH203" i="67" s="1"/>
  <c r="C211" i="15"/>
  <c r="D211" i="15"/>
  <c r="E211" i="15"/>
  <c r="F211" i="15"/>
  <c r="G211" i="15"/>
  <c r="AE211" i="15"/>
  <c r="AF204" i="67" s="1"/>
  <c r="AG211" i="15"/>
  <c r="AH204" i="67" s="1"/>
  <c r="C212" i="15"/>
  <c r="D212" i="15"/>
  <c r="E212" i="15"/>
  <c r="F212" i="15"/>
  <c r="G212" i="15"/>
  <c r="AE212" i="15"/>
  <c r="AF205" i="67" s="1"/>
  <c r="AG212" i="15"/>
  <c r="AH205" i="67" s="1"/>
  <c r="C213" i="15"/>
  <c r="D213" i="15"/>
  <c r="E213" i="15"/>
  <c r="F213" i="15"/>
  <c r="G213" i="15"/>
  <c r="AE213" i="15"/>
  <c r="AF206" i="67" s="1"/>
  <c r="AG213" i="15"/>
  <c r="AH206" i="67" s="1"/>
  <c r="C214" i="15"/>
  <c r="D214" i="15"/>
  <c r="E214" i="15"/>
  <c r="F214" i="15"/>
  <c r="G214" i="15"/>
  <c r="AE214" i="15"/>
  <c r="AF207" i="67" s="1"/>
  <c r="AG214" i="15"/>
  <c r="AH207" i="67" s="1"/>
  <c r="K207" i="15" l="1"/>
  <c r="L200" i="67" s="1"/>
  <c r="E207" i="27"/>
  <c r="L207" i="27" s="1"/>
  <c r="Q188" i="15"/>
  <c r="R181" i="67" s="1"/>
  <c r="H188" i="27"/>
  <c r="P181" i="15"/>
  <c r="Q174" i="67" s="1"/>
  <c r="G181" i="27"/>
  <c r="AU174" i="67" s="1"/>
  <c r="P214" i="15"/>
  <c r="Q207" i="67" s="1"/>
  <c r="G214" i="27"/>
  <c r="AU207" i="67" s="1"/>
  <c r="Q213" i="15"/>
  <c r="R206" i="67" s="1"/>
  <c r="H213" i="27"/>
  <c r="J209" i="15"/>
  <c r="K202" i="67" s="1"/>
  <c r="D209" i="27"/>
  <c r="K209" i="27" s="1"/>
  <c r="K208" i="15"/>
  <c r="L201" i="67" s="1"/>
  <c r="E208" i="27"/>
  <c r="L208" i="27" s="1"/>
  <c r="L207" i="15"/>
  <c r="M200" i="67" s="1"/>
  <c r="F207" i="27"/>
  <c r="M207" i="27" s="1"/>
  <c r="P206" i="15"/>
  <c r="Q199" i="67" s="1"/>
  <c r="G206" i="27"/>
  <c r="AU199" i="67" s="1"/>
  <c r="Q205" i="15"/>
  <c r="R198" i="67" s="1"/>
  <c r="H205" i="27"/>
  <c r="J201" i="15"/>
  <c r="K194" i="67" s="1"/>
  <c r="D201" i="27"/>
  <c r="K201" i="27" s="1"/>
  <c r="K200" i="15"/>
  <c r="E200" i="27"/>
  <c r="L200" i="27" s="1"/>
  <c r="L199" i="15"/>
  <c r="M192" i="67" s="1"/>
  <c r="F199" i="27"/>
  <c r="M199" i="27" s="1"/>
  <c r="P198" i="15"/>
  <c r="Q191" i="67" s="1"/>
  <c r="G198" i="27"/>
  <c r="AU191" i="67" s="1"/>
  <c r="Q197" i="15"/>
  <c r="R190" i="67" s="1"/>
  <c r="H197" i="27"/>
  <c r="J193" i="15"/>
  <c r="D193" i="27"/>
  <c r="K193" i="27" s="1"/>
  <c r="K192" i="15"/>
  <c r="L185" i="67" s="1"/>
  <c r="E192" i="27"/>
  <c r="L192" i="27" s="1"/>
  <c r="L191" i="15"/>
  <c r="M184" i="67" s="1"/>
  <c r="F191" i="27"/>
  <c r="M191" i="27" s="1"/>
  <c r="P190" i="15"/>
  <c r="Q183" i="67" s="1"/>
  <c r="G190" i="27"/>
  <c r="AU183" i="67" s="1"/>
  <c r="Q189" i="15"/>
  <c r="H189" i="27"/>
  <c r="J185" i="15"/>
  <c r="K178" i="67" s="1"/>
  <c r="D185" i="27"/>
  <c r="K185" i="27" s="1"/>
  <c r="K184" i="15"/>
  <c r="L177" i="67" s="1"/>
  <c r="E184" i="27"/>
  <c r="L184" i="27" s="1"/>
  <c r="L183" i="15"/>
  <c r="M176" i="67" s="1"/>
  <c r="F183" i="27"/>
  <c r="M183" i="27" s="1"/>
  <c r="P182" i="15"/>
  <c r="G182" i="27"/>
  <c r="AU175" i="67" s="1"/>
  <c r="Q181" i="15"/>
  <c r="R174" i="67" s="1"/>
  <c r="H181" i="27"/>
  <c r="J177" i="15"/>
  <c r="K170" i="67" s="1"/>
  <c r="D177" i="27"/>
  <c r="K177" i="27" s="1"/>
  <c r="K214" i="15"/>
  <c r="L207" i="67" s="1"/>
  <c r="E214" i="27"/>
  <c r="L214" i="27" s="1"/>
  <c r="L213" i="15"/>
  <c r="M206" i="67" s="1"/>
  <c r="F213" i="27"/>
  <c r="M213" i="27" s="1"/>
  <c r="P212" i="15"/>
  <c r="Q205" i="67" s="1"/>
  <c r="G212" i="27"/>
  <c r="AU205" i="67" s="1"/>
  <c r="Q211" i="15"/>
  <c r="R204" i="67" s="1"/>
  <c r="H211" i="27"/>
  <c r="J207" i="15"/>
  <c r="K200" i="67" s="1"/>
  <c r="D207" i="27"/>
  <c r="K207" i="27" s="1"/>
  <c r="K206" i="15"/>
  <c r="E206" i="27"/>
  <c r="L206" i="27" s="1"/>
  <c r="L205" i="15"/>
  <c r="M198" i="67" s="1"/>
  <c r="F205" i="27"/>
  <c r="M205" i="27" s="1"/>
  <c r="P204" i="15"/>
  <c r="Q197" i="67" s="1"/>
  <c r="G204" i="27"/>
  <c r="AU197" i="67" s="1"/>
  <c r="Q203" i="15"/>
  <c r="R196" i="67" s="1"/>
  <c r="H203" i="27"/>
  <c r="J199" i="15"/>
  <c r="K192" i="67" s="1"/>
  <c r="D199" i="27"/>
  <c r="K199" i="27" s="1"/>
  <c r="K198" i="15"/>
  <c r="L191" i="67" s="1"/>
  <c r="E198" i="27"/>
  <c r="L198" i="27" s="1"/>
  <c r="L197" i="15"/>
  <c r="M190" i="67" s="1"/>
  <c r="F197" i="27"/>
  <c r="M197" i="27" s="1"/>
  <c r="P196" i="15"/>
  <c r="Q189" i="67" s="1"/>
  <c r="G196" i="27"/>
  <c r="AU189" i="67" s="1"/>
  <c r="Q195" i="15"/>
  <c r="R188" i="67" s="1"/>
  <c r="H195" i="27"/>
  <c r="J191" i="15"/>
  <c r="K184" i="67" s="1"/>
  <c r="D191" i="27"/>
  <c r="K191" i="27" s="1"/>
  <c r="K190" i="15"/>
  <c r="L183" i="67" s="1"/>
  <c r="E190" i="27"/>
  <c r="L190" i="27" s="1"/>
  <c r="L189" i="15"/>
  <c r="M182" i="67" s="1"/>
  <c r="F189" i="27"/>
  <c r="M189" i="27" s="1"/>
  <c r="P188" i="15"/>
  <c r="Q181" i="67" s="1"/>
  <c r="G188" i="27"/>
  <c r="AU181" i="67" s="1"/>
  <c r="Q187" i="15"/>
  <c r="R180" i="67" s="1"/>
  <c r="H187" i="27"/>
  <c r="J183" i="15"/>
  <c r="K176" i="67" s="1"/>
  <c r="D183" i="27"/>
  <c r="K183" i="27" s="1"/>
  <c r="K182" i="15"/>
  <c r="L175" i="67" s="1"/>
  <c r="E182" i="27"/>
  <c r="L182" i="27" s="1"/>
  <c r="L181" i="15"/>
  <c r="M174" i="67" s="1"/>
  <c r="F181" i="27"/>
  <c r="M181" i="27" s="1"/>
  <c r="P180" i="15"/>
  <c r="Q173" i="67" s="1"/>
  <c r="G180" i="27"/>
  <c r="AU173" i="67" s="1"/>
  <c r="Q179" i="15"/>
  <c r="R172" i="67" s="1"/>
  <c r="H179" i="27"/>
  <c r="P213" i="15"/>
  <c r="Q206" i="67" s="1"/>
  <c r="G213" i="27"/>
  <c r="AU206" i="67" s="1"/>
  <c r="Q204" i="15"/>
  <c r="H204" i="27"/>
  <c r="Q196" i="15"/>
  <c r="R189" i="67" s="1"/>
  <c r="H196" i="27"/>
  <c r="P189" i="15"/>
  <c r="Q182" i="67" s="1"/>
  <c r="G189" i="27"/>
  <c r="AU182" i="67" s="1"/>
  <c r="J214" i="15"/>
  <c r="K207" i="67" s="1"/>
  <c r="D214" i="27"/>
  <c r="K214" i="27" s="1"/>
  <c r="K213" i="15"/>
  <c r="L206" i="67" s="1"/>
  <c r="E213" i="27"/>
  <c r="L213" i="27" s="1"/>
  <c r="L212" i="15"/>
  <c r="M205" i="67" s="1"/>
  <c r="F212" i="27"/>
  <c r="M212" i="27" s="1"/>
  <c r="P211" i="15"/>
  <c r="Q204" i="67" s="1"/>
  <c r="G211" i="27"/>
  <c r="AU204" i="67" s="1"/>
  <c r="Q210" i="15"/>
  <c r="R203" i="67" s="1"/>
  <c r="H210" i="27"/>
  <c r="J206" i="15"/>
  <c r="K199" i="67" s="1"/>
  <c r="D206" i="27"/>
  <c r="K206" i="27" s="1"/>
  <c r="K205" i="15"/>
  <c r="L198" i="67" s="1"/>
  <c r="E205" i="27"/>
  <c r="L205" i="27" s="1"/>
  <c r="L204" i="15"/>
  <c r="M197" i="67" s="1"/>
  <c r="F204" i="27"/>
  <c r="M204" i="27" s="1"/>
  <c r="P203" i="15"/>
  <c r="Q196" i="67" s="1"/>
  <c r="G203" i="27"/>
  <c r="AU196" i="67" s="1"/>
  <c r="Q202" i="15"/>
  <c r="R195" i="67" s="1"/>
  <c r="H202" i="27"/>
  <c r="J198" i="15"/>
  <c r="K191" i="67" s="1"/>
  <c r="D198" i="27"/>
  <c r="K198" i="27" s="1"/>
  <c r="K197" i="15"/>
  <c r="L190" i="67" s="1"/>
  <c r="E197" i="27"/>
  <c r="L197" i="27" s="1"/>
  <c r="L196" i="15"/>
  <c r="M189" i="67" s="1"/>
  <c r="F196" i="27"/>
  <c r="M196" i="27" s="1"/>
  <c r="P195" i="15"/>
  <c r="AQ195" i="15" s="1"/>
  <c r="AR188" i="67" s="1"/>
  <c r="G195" i="27"/>
  <c r="AU188" i="67" s="1"/>
  <c r="Q194" i="15"/>
  <c r="R187" i="67" s="1"/>
  <c r="H194" i="27"/>
  <c r="J190" i="15"/>
  <c r="K183" i="67" s="1"/>
  <c r="D190" i="27"/>
  <c r="K190" i="27" s="1"/>
  <c r="K189" i="15"/>
  <c r="L182" i="67" s="1"/>
  <c r="E189" i="27"/>
  <c r="L189" i="27" s="1"/>
  <c r="L188" i="15"/>
  <c r="M181" i="67" s="1"/>
  <c r="F188" i="27"/>
  <c r="M188" i="27" s="1"/>
  <c r="P187" i="15"/>
  <c r="Q180" i="67" s="1"/>
  <c r="G187" i="27"/>
  <c r="AU180" i="67" s="1"/>
  <c r="Q186" i="15"/>
  <c r="R179" i="67" s="1"/>
  <c r="H186" i="27"/>
  <c r="J182" i="15"/>
  <c r="K175" i="67" s="1"/>
  <c r="D182" i="27"/>
  <c r="K182" i="27" s="1"/>
  <c r="K181" i="15"/>
  <c r="L174" i="67" s="1"/>
  <c r="E181" i="27"/>
  <c r="L181" i="27" s="1"/>
  <c r="L180" i="15"/>
  <c r="M173" i="67" s="1"/>
  <c r="F180" i="27"/>
  <c r="M180" i="27" s="1"/>
  <c r="P179" i="15"/>
  <c r="Q172" i="67" s="1"/>
  <c r="G179" i="27"/>
  <c r="AU172" i="67" s="1"/>
  <c r="Q178" i="15"/>
  <c r="R171" i="67" s="1"/>
  <c r="H178" i="27"/>
  <c r="J208" i="15"/>
  <c r="K201" i="67" s="1"/>
  <c r="D208" i="27"/>
  <c r="K208" i="27" s="1"/>
  <c r="J200" i="15"/>
  <c r="K193" i="67" s="1"/>
  <c r="D200" i="27"/>
  <c r="K200" i="27" s="1"/>
  <c r="K191" i="15"/>
  <c r="L184" i="67" s="1"/>
  <c r="E191" i="27"/>
  <c r="L191" i="27" s="1"/>
  <c r="J184" i="15"/>
  <c r="K177" i="67" s="1"/>
  <c r="D184" i="27"/>
  <c r="K184" i="27" s="1"/>
  <c r="J213" i="15"/>
  <c r="K206" i="67" s="1"/>
  <c r="D213" i="27"/>
  <c r="K213" i="27" s="1"/>
  <c r="K212" i="15"/>
  <c r="L205" i="67" s="1"/>
  <c r="E212" i="27"/>
  <c r="L212" i="27" s="1"/>
  <c r="L211" i="15"/>
  <c r="M204" i="67" s="1"/>
  <c r="F211" i="27"/>
  <c r="M211" i="27" s="1"/>
  <c r="P210" i="15"/>
  <c r="Q203" i="67" s="1"/>
  <c r="G210" i="27"/>
  <c r="AU203" i="67" s="1"/>
  <c r="Q209" i="15"/>
  <c r="R202" i="67" s="1"/>
  <c r="H209" i="27"/>
  <c r="J205" i="15"/>
  <c r="K198" i="67" s="1"/>
  <c r="D205" i="27"/>
  <c r="K205" i="27" s="1"/>
  <c r="N205" i="27" s="1"/>
  <c r="AV198" i="67" s="1"/>
  <c r="K204" i="15"/>
  <c r="L197" i="67" s="1"/>
  <c r="E204" i="27"/>
  <c r="L204" i="27" s="1"/>
  <c r="L203" i="15"/>
  <c r="M196" i="67" s="1"/>
  <c r="F203" i="27"/>
  <c r="M203" i="27" s="1"/>
  <c r="P202" i="15"/>
  <c r="G202" i="27"/>
  <c r="AU195" i="67" s="1"/>
  <c r="Q201" i="15"/>
  <c r="R194" i="67" s="1"/>
  <c r="H201" i="27"/>
  <c r="J197" i="15"/>
  <c r="K190" i="67" s="1"/>
  <c r="D197" i="27"/>
  <c r="K197" i="27" s="1"/>
  <c r="N197" i="27" s="1"/>
  <c r="AV190" i="67" s="1"/>
  <c r="K196" i="15"/>
  <c r="L189" i="67" s="1"/>
  <c r="E196" i="27"/>
  <c r="L196" i="27" s="1"/>
  <c r="L195" i="15"/>
  <c r="M188" i="67" s="1"/>
  <c r="F195" i="27"/>
  <c r="M195" i="27" s="1"/>
  <c r="P194" i="15"/>
  <c r="Q187" i="67" s="1"/>
  <c r="G194" i="27"/>
  <c r="AU187" i="67" s="1"/>
  <c r="Q193" i="15"/>
  <c r="R186" i="67" s="1"/>
  <c r="H193" i="27"/>
  <c r="J189" i="15"/>
  <c r="K182" i="67" s="1"/>
  <c r="D189" i="27"/>
  <c r="K189" i="27" s="1"/>
  <c r="N189" i="27" s="1"/>
  <c r="AV182" i="67" s="1"/>
  <c r="K188" i="15"/>
  <c r="L181" i="67" s="1"/>
  <c r="E188" i="27"/>
  <c r="L188" i="27" s="1"/>
  <c r="L187" i="15"/>
  <c r="M180" i="67" s="1"/>
  <c r="F187" i="27"/>
  <c r="M187" i="27" s="1"/>
  <c r="P186" i="15"/>
  <c r="Q179" i="67" s="1"/>
  <c r="G186" i="27"/>
  <c r="AU179" i="67" s="1"/>
  <c r="Q185" i="15"/>
  <c r="R178" i="67" s="1"/>
  <c r="H185" i="27"/>
  <c r="J181" i="15"/>
  <c r="D181" i="27"/>
  <c r="K181" i="27" s="1"/>
  <c r="K180" i="15"/>
  <c r="L173" i="67" s="1"/>
  <c r="E180" i="27"/>
  <c r="L180" i="27" s="1"/>
  <c r="L179" i="15"/>
  <c r="M172" i="67" s="1"/>
  <c r="F179" i="27"/>
  <c r="M179" i="27" s="1"/>
  <c r="P178" i="15"/>
  <c r="Q171" i="67" s="1"/>
  <c r="G178" i="27"/>
  <c r="AU171" i="67" s="1"/>
  <c r="Q177" i="15"/>
  <c r="H177" i="27"/>
  <c r="Q212" i="15"/>
  <c r="R205" i="67" s="1"/>
  <c r="H212" i="27"/>
  <c r="P197" i="15"/>
  <c r="Q190" i="67" s="1"/>
  <c r="G197" i="27"/>
  <c r="AU190" i="67" s="1"/>
  <c r="L190" i="15"/>
  <c r="M183" i="67" s="1"/>
  <c r="F190" i="27"/>
  <c r="M190" i="27" s="1"/>
  <c r="K183" i="15"/>
  <c r="L176" i="67" s="1"/>
  <c r="E183" i="27"/>
  <c r="L183" i="27" s="1"/>
  <c r="J212" i="15"/>
  <c r="K205" i="67" s="1"/>
  <c r="D212" i="27"/>
  <c r="K212" i="27" s="1"/>
  <c r="N212" i="27" s="1"/>
  <c r="AV205" i="67" s="1"/>
  <c r="K211" i="15"/>
  <c r="L204" i="67" s="1"/>
  <c r="E211" i="27"/>
  <c r="L211" i="27" s="1"/>
  <c r="L210" i="15"/>
  <c r="M203" i="67" s="1"/>
  <c r="F210" i="27"/>
  <c r="M210" i="27" s="1"/>
  <c r="P209" i="15"/>
  <c r="G209" i="27"/>
  <c r="AU202" i="67" s="1"/>
  <c r="Q208" i="15"/>
  <c r="R201" i="67" s="1"/>
  <c r="H208" i="27"/>
  <c r="J204" i="15"/>
  <c r="K197" i="67" s="1"/>
  <c r="D204" i="27"/>
  <c r="K204" i="27" s="1"/>
  <c r="N204" i="27" s="1"/>
  <c r="AV197" i="67" s="1"/>
  <c r="K203" i="15"/>
  <c r="L196" i="67" s="1"/>
  <c r="E203" i="27"/>
  <c r="L203" i="27" s="1"/>
  <c r="L202" i="15"/>
  <c r="M195" i="67" s="1"/>
  <c r="F202" i="27"/>
  <c r="M202" i="27" s="1"/>
  <c r="P201" i="15"/>
  <c r="Q194" i="67" s="1"/>
  <c r="G201" i="27"/>
  <c r="AU194" i="67" s="1"/>
  <c r="Q200" i="15"/>
  <c r="R193" i="67" s="1"/>
  <c r="H200" i="27"/>
  <c r="J196" i="15"/>
  <c r="K189" i="67" s="1"/>
  <c r="D196" i="27"/>
  <c r="K196" i="27" s="1"/>
  <c r="N196" i="27" s="1"/>
  <c r="AV189" i="67" s="1"/>
  <c r="K195" i="15"/>
  <c r="E195" i="27"/>
  <c r="L195" i="27" s="1"/>
  <c r="L194" i="15"/>
  <c r="M187" i="67" s="1"/>
  <c r="F194" i="27"/>
  <c r="M194" i="27" s="1"/>
  <c r="P193" i="15"/>
  <c r="Q186" i="67" s="1"/>
  <c r="G193" i="27"/>
  <c r="AU186" i="67" s="1"/>
  <c r="Q192" i="15"/>
  <c r="R185" i="67" s="1"/>
  <c r="H192" i="27"/>
  <c r="J188" i="15"/>
  <c r="D188" i="27"/>
  <c r="K188" i="27" s="1"/>
  <c r="N188" i="27" s="1"/>
  <c r="AV181" i="67" s="1"/>
  <c r="K187" i="15"/>
  <c r="L180" i="67" s="1"/>
  <c r="E187" i="27"/>
  <c r="L187" i="27" s="1"/>
  <c r="L186" i="15"/>
  <c r="M179" i="67" s="1"/>
  <c r="F186" i="27"/>
  <c r="M186" i="27" s="1"/>
  <c r="P185" i="15"/>
  <c r="Q178" i="67" s="1"/>
  <c r="G185" i="27"/>
  <c r="AU178" i="67" s="1"/>
  <c r="Q184" i="15"/>
  <c r="H184" i="27"/>
  <c r="J180" i="15"/>
  <c r="K173" i="67" s="1"/>
  <c r="D180" i="27"/>
  <c r="K180" i="27" s="1"/>
  <c r="N180" i="27" s="1"/>
  <c r="AV173" i="67" s="1"/>
  <c r="K179" i="15"/>
  <c r="L172" i="67" s="1"/>
  <c r="E179" i="27"/>
  <c r="L179" i="27" s="1"/>
  <c r="L178" i="15"/>
  <c r="M171" i="67" s="1"/>
  <c r="F178" i="27"/>
  <c r="M178" i="27" s="1"/>
  <c r="P177" i="15"/>
  <c r="AQ177" i="15" s="1"/>
  <c r="AR170" i="67" s="1"/>
  <c r="G177" i="27"/>
  <c r="AU170" i="67" s="1"/>
  <c r="P205" i="15"/>
  <c r="Q198" i="67" s="1"/>
  <c r="G205" i="27"/>
  <c r="AU198" i="67" s="1"/>
  <c r="K199" i="15"/>
  <c r="L192" i="67" s="1"/>
  <c r="E199" i="27"/>
  <c r="L199" i="27" s="1"/>
  <c r="J192" i="15"/>
  <c r="K185" i="67" s="1"/>
  <c r="D192" i="27"/>
  <c r="K192" i="27" s="1"/>
  <c r="Q180" i="15"/>
  <c r="R173" i="67" s="1"/>
  <c r="H180" i="27"/>
  <c r="J211" i="15"/>
  <c r="K204" i="67" s="1"/>
  <c r="D211" i="27"/>
  <c r="K211" i="27" s="1"/>
  <c r="K210" i="15"/>
  <c r="L203" i="67" s="1"/>
  <c r="E210" i="27"/>
  <c r="L210" i="27" s="1"/>
  <c r="L209" i="15"/>
  <c r="M202" i="67" s="1"/>
  <c r="F209" i="27"/>
  <c r="M209" i="27" s="1"/>
  <c r="P208" i="15"/>
  <c r="Q201" i="67" s="1"/>
  <c r="G208" i="27"/>
  <c r="AU201" i="67" s="1"/>
  <c r="Q207" i="15"/>
  <c r="R200" i="67" s="1"/>
  <c r="H207" i="27"/>
  <c r="J203" i="15"/>
  <c r="K196" i="67" s="1"/>
  <c r="D203" i="27"/>
  <c r="K203" i="27" s="1"/>
  <c r="K202" i="15"/>
  <c r="L195" i="67" s="1"/>
  <c r="E202" i="27"/>
  <c r="L202" i="27" s="1"/>
  <c r="L201" i="15"/>
  <c r="M194" i="67" s="1"/>
  <c r="F201" i="27"/>
  <c r="M201" i="27" s="1"/>
  <c r="P200" i="15"/>
  <c r="Q193" i="67" s="1"/>
  <c r="G200" i="27"/>
  <c r="AU193" i="67" s="1"/>
  <c r="Q199" i="15"/>
  <c r="R192" i="67" s="1"/>
  <c r="H199" i="27"/>
  <c r="J195" i="15"/>
  <c r="K188" i="67" s="1"/>
  <c r="D195" i="27"/>
  <c r="K195" i="27" s="1"/>
  <c r="K194" i="15"/>
  <c r="E194" i="27"/>
  <c r="L194" i="27" s="1"/>
  <c r="L193" i="15"/>
  <c r="M186" i="67" s="1"/>
  <c r="F193" i="27"/>
  <c r="M193" i="27" s="1"/>
  <c r="P192" i="15"/>
  <c r="Q185" i="67" s="1"/>
  <c r="G192" i="27"/>
  <c r="AU185" i="67" s="1"/>
  <c r="Q191" i="15"/>
  <c r="R184" i="67" s="1"/>
  <c r="H191" i="27"/>
  <c r="J187" i="15"/>
  <c r="D187" i="27"/>
  <c r="K187" i="27" s="1"/>
  <c r="K186" i="15"/>
  <c r="L179" i="67" s="1"/>
  <c r="E186" i="27"/>
  <c r="L186" i="27" s="1"/>
  <c r="L185" i="15"/>
  <c r="M178" i="67" s="1"/>
  <c r="F185" i="27"/>
  <c r="M185" i="27" s="1"/>
  <c r="P184" i="15"/>
  <c r="Q177" i="67" s="1"/>
  <c r="G184" i="27"/>
  <c r="AU177" i="67" s="1"/>
  <c r="Q183" i="15"/>
  <c r="R176" i="67" s="1"/>
  <c r="H183" i="27"/>
  <c r="J179" i="15"/>
  <c r="K172" i="67" s="1"/>
  <c r="D179" i="27"/>
  <c r="K179" i="27" s="1"/>
  <c r="K178" i="15"/>
  <c r="L171" i="67" s="1"/>
  <c r="E178" i="27"/>
  <c r="L178" i="27" s="1"/>
  <c r="L177" i="15"/>
  <c r="M170" i="67" s="1"/>
  <c r="F177" i="27"/>
  <c r="M177" i="27" s="1"/>
  <c r="L214" i="15"/>
  <c r="M207" i="67" s="1"/>
  <c r="F214" i="27"/>
  <c r="M214" i="27" s="1"/>
  <c r="L206" i="15"/>
  <c r="M199" i="67" s="1"/>
  <c r="F206" i="27"/>
  <c r="M206" i="27" s="1"/>
  <c r="L198" i="15"/>
  <c r="M191" i="67" s="1"/>
  <c r="F198" i="27"/>
  <c r="M198" i="27" s="1"/>
  <c r="L182" i="15"/>
  <c r="F182" i="27"/>
  <c r="M182" i="27" s="1"/>
  <c r="Q214" i="15"/>
  <c r="R207" i="67" s="1"/>
  <c r="H214" i="27"/>
  <c r="J210" i="15"/>
  <c r="K203" i="67" s="1"/>
  <c r="D210" i="27"/>
  <c r="K210" i="27" s="1"/>
  <c r="K209" i="15"/>
  <c r="L202" i="67" s="1"/>
  <c r="E209" i="27"/>
  <c r="L209" i="27" s="1"/>
  <c r="L208" i="15"/>
  <c r="M201" i="67" s="1"/>
  <c r="F208" i="27"/>
  <c r="M208" i="27" s="1"/>
  <c r="P207" i="15"/>
  <c r="AQ207" i="15" s="1"/>
  <c r="AR200" i="67" s="1"/>
  <c r="G207" i="27"/>
  <c r="Q206" i="15"/>
  <c r="R199" i="67" s="1"/>
  <c r="H206" i="27"/>
  <c r="J202" i="15"/>
  <c r="K195" i="67" s="1"/>
  <c r="D202" i="27"/>
  <c r="K202" i="27" s="1"/>
  <c r="K201" i="15"/>
  <c r="L194" i="67" s="1"/>
  <c r="E201" i="27"/>
  <c r="L201" i="27" s="1"/>
  <c r="L200" i="15"/>
  <c r="M193" i="67" s="1"/>
  <c r="F200" i="27"/>
  <c r="M200" i="27" s="1"/>
  <c r="P199" i="15"/>
  <c r="Q192" i="67" s="1"/>
  <c r="G199" i="27"/>
  <c r="AU192" i="67" s="1"/>
  <c r="Q198" i="15"/>
  <c r="R191" i="67" s="1"/>
  <c r="H198" i="27"/>
  <c r="J194" i="15"/>
  <c r="K187" i="67" s="1"/>
  <c r="D194" i="27"/>
  <c r="K194" i="27" s="1"/>
  <c r="K193" i="15"/>
  <c r="L186" i="67" s="1"/>
  <c r="E193" i="27"/>
  <c r="L193" i="27" s="1"/>
  <c r="L192" i="15"/>
  <c r="M185" i="67" s="1"/>
  <c r="F192" i="27"/>
  <c r="M192" i="27" s="1"/>
  <c r="P191" i="15"/>
  <c r="Q184" i="67" s="1"/>
  <c r="G191" i="27"/>
  <c r="Q190" i="15"/>
  <c r="H190" i="27"/>
  <c r="J186" i="15"/>
  <c r="D186" i="27"/>
  <c r="K186" i="27" s="1"/>
  <c r="K185" i="15"/>
  <c r="L178" i="67" s="1"/>
  <c r="E185" i="27"/>
  <c r="L185" i="27" s="1"/>
  <c r="L184" i="15"/>
  <c r="M177" i="67" s="1"/>
  <c r="F184" i="27"/>
  <c r="M184" i="27" s="1"/>
  <c r="P183" i="15"/>
  <c r="Q176" i="67" s="1"/>
  <c r="G183" i="27"/>
  <c r="AU176" i="67" s="1"/>
  <c r="Q182" i="15"/>
  <c r="H182" i="27"/>
  <c r="K177" i="15"/>
  <c r="L170" i="67" s="1"/>
  <c r="E177" i="27"/>
  <c r="L177" i="27" s="1"/>
  <c r="AF192" i="15"/>
  <c r="AG185" i="67" s="1"/>
  <c r="BC185" i="67" s="1"/>
  <c r="AF207" i="15"/>
  <c r="AG200" i="67" s="1"/>
  <c r="BC200" i="67" s="1"/>
  <c r="AF209" i="15"/>
  <c r="AG202" i="67" s="1"/>
  <c r="BC202" i="67" s="1"/>
  <c r="AF196" i="15"/>
  <c r="AG189" i="67" s="1"/>
  <c r="BC189" i="67" s="1"/>
  <c r="AF202" i="15"/>
  <c r="AG195" i="67" s="1"/>
  <c r="BC195" i="67" s="1"/>
  <c r="AQ194" i="15"/>
  <c r="AR187" i="67" s="1"/>
  <c r="AF200" i="15"/>
  <c r="AG193" i="67" s="1"/>
  <c r="BC193" i="67" s="1"/>
  <c r="AF194" i="15"/>
  <c r="AG187" i="67" s="1"/>
  <c r="BC187" i="67" s="1"/>
  <c r="AF206" i="15"/>
  <c r="AG199" i="67" s="1"/>
  <c r="BC199" i="67" s="1"/>
  <c r="J178" i="15"/>
  <c r="K171" i="67" s="1"/>
  <c r="AF184" i="15"/>
  <c r="AG177" i="67" s="1"/>
  <c r="BC177" i="67" s="1"/>
  <c r="AF213" i="15"/>
  <c r="AG206" i="67" s="1"/>
  <c r="BC206" i="67" s="1"/>
  <c r="AF188" i="15"/>
  <c r="AG181" i="67" s="1"/>
  <c r="BC181" i="67" s="1"/>
  <c r="AF180" i="15"/>
  <c r="AG173" i="67" s="1"/>
  <c r="BC173" i="67" s="1"/>
  <c r="M205" i="15"/>
  <c r="AF212" i="15"/>
  <c r="AG205" i="67" s="1"/>
  <c r="BC205" i="67" s="1"/>
  <c r="AF211" i="15"/>
  <c r="AG204" i="67" s="1"/>
  <c r="BC204" i="67" s="1"/>
  <c r="AF186" i="15"/>
  <c r="AG179" i="67" s="1"/>
  <c r="BC179" i="67" s="1"/>
  <c r="AF182" i="15"/>
  <c r="AG175" i="67" s="1"/>
  <c r="BC175" i="67" s="1"/>
  <c r="AF214" i="15"/>
  <c r="AG207" i="67" s="1"/>
  <c r="BC207" i="67" s="1"/>
  <c r="AF210" i="15"/>
  <c r="AG203" i="67" s="1"/>
  <c r="BC203" i="67" s="1"/>
  <c r="AF208" i="15"/>
  <c r="AG201" i="67" s="1"/>
  <c r="BC201" i="67" s="1"/>
  <c r="AF198" i="15"/>
  <c r="AG191" i="67" s="1"/>
  <c r="BC191" i="67" s="1"/>
  <c r="AF178" i="15"/>
  <c r="AG171" i="67" s="1"/>
  <c r="BC171" i="67" s="1"/>
  <c r="AF190" i="15"/>
  <c r="AG183" i="67" s="1"/>
  <c r="BC183" i="67" s="1"/>
  <c r="AQ184" i="15"/>
  <c r="AR177" i="67" s="1"/>
  <c r="AQ212" i="15"/>
  <c r="AR205" i="67" s="1"/>
  <c r="AQ206" i="15"/>
  <c r="AR199" i="67" s="1"/>
  <c r="AF205" i="15"/>
  <c r="AG198" i="67" s="1"/>
  <c r="BC198" i="67" s="1"/>
  <c r="AQ197" i="15"/>
  <c r="AR190" i="67" s="1"/>
  <c r="AF193" i="15"/>
  <c r="AG186" i="67" s="1"/>
  <c r="BC186" i="67" s="1"/>
  <c r="AF189" i="15"/>
  <c r="AG182" i="67" s="1"/>
  <c r="BC182" i="67" s="1"/>
  <c r="AF191" i="15"/>
  <c r="AG184" i="67" s="1"/>
  <c r="BC184" i="67" s="1"/>
  <c r="AQ213" i="15"/>
  <c r="AR206" i="67" s="1"/>
  <c r="AF203" i="15"/>
  <c r="AG196" i="67" s="1"/>
  <c r="BC196" i="67" s="1"/>
  <c r="AQ191" i="15"/>
  <c r="AR184" i="67" s="1"/>
  <c r="AF187" i="15"/>
  <c r="AG180" i="67" s="1"/>
  <c r="BC180" i="67" s="1"/>
  <c r="AF201" i="15"/>
  <c r="AG194" i="67" s="1"/>
  <c r="BC194" i="67" s="1"/>
  <c r="AF185" i="15"/>
  <c r="AG178" i="67" s="1"/>
  <c r="BC178" i="67" s="1"/>
  <c r="AF199" i="15"/>
  <c r="AG192" i="67" s="1"/>
  <c r="BC192" i="67" s="1"/>
  <c r="AF183" i="15"/>
  <c r="AG176" i="67" s="1"/>
  <c r="BC176" i="67" s="1"/>
  <c r="AF204" i="15"/>
  <c r="AG197" i="67" s="1"/>
  <c r="BC197" i="67" s="1"/>
  <c r="AF197" i="15"/>
  <c r="AG190" i="67" s="1"/>
  <c r="BC190" i="67" s="1"/>
  <c r="AF181" i="15"/>
  <c r="AG174" i="67" s="1"/>
  <c r="BC174" i="67" s="1"/>
  <c r="AF179" i="15"/>
  <c r="AG172" i="67" s="1"/>
  <c r="BC172" i="67" s="1"/>
  <c r="AQ178" i="15"/>
  <c r="AR171" i="67" s="1"/>
  <c r="AQ203" i="15"/>
  <c r="AR196" i="67" s="1"/>
  <c r="AF195" i="15"/>
  <c r="AG188" i="67" s="1"/>
  <c r="BC188" i="67" s="1"/>
  <c r="AF177" i="15"/>
  <c r="AG170" i="67" s="1"/>
  <c r="BC170" i="67" s="1"/>
  <c r="AQ210" i="15" l="1"/>
  <c r="AR203" i="67" s="1"/>
  <c r="M211" i="15"/>
  <c r="N204" i="67" s="1"/>
  <c r="AQ179" i="15"/>
  <c r="AR172" i="67" s="1"/>
  <c r="AQ193" i="15"/>
  <c r="AR186" i="67" s="1"/>
  <c r="AQ198" i="15"/>
  <c r="AR191" i="67" s="1"/>
  <c r="AQ204" i="15"/>
  <c r="AR197" i="67" s="1"/>
  <c r="M179" i="15"/>
  <c r="N172" i="67" s="1"/>
  <c r="AQ211" i="15"/>
  <c r="AR204" i="67" s="1"/>
  <c r="AQ192" i="15"/>
  <c r="AR185" i="67" s="1"/>
  <c r="AQ189" i="15"/>
  <c r="AR182" i="67" s="1"/>
  <c r="AQ186" i="15"/>
  <c r="AR179" i="67" s="1"/>
  <c r="AQ185" i="15"/>
  <c r="AR178" i="67" s="1"/>
  <c r="AQ196" i="15"/>
  <c r="AR189" i="67" s="1"/>
  <c r="M182" i="15"/>
  <c r="N175" i="67" s="1"/>
  <c r="M175" i="67"/>
  <c r="M184" i="15"/>
  <c r="N177" i="67" s="1"/>
  <c r="N186" i="27"/>
  <c r="AV179" i="67" s="1"/>
  <c r="N187" i="27"/>
  <c r="AV180" i="67" s="1"/>
  <c r="N181" i="27"/>
  <c r="AV174" i="67" s="1"/>
  <c r="M177" i="15"/>
  <c r="N170" i="67" s="1"/>
  <c r="M212" i="15"/>
  <c r="N205" i="67" s="1"/>
  <c r="AQ183" i="15"/>
  <c r="AR176" i="67" s="1"/>
  <c r="AQ200" i="15"/>
  <c r="AR193" i="67" s="1"/>
  <c r="M203" i="15"/>
  <c r="M189" i="15"/>
  <c r="N182" i="67" s="1"/>
  <c r="AQ181" i="15"/>
  <c r="AR174" i="67" s="1"/>
  <c r="AQ187" i="15"/>
  <c r="AR180" i="67" s="1"/>
  <c r="M196" i="15"/>
  <c r="N189" i="67" s="1"/>
  <c r="AQ180" i="15"/>
  <c r="AR173" i="67" s="1"/>
  <c r="AQ190" i="15"/>
  <c r="AR183" i="67" s="1"/>
  <c r="M192" i="15"/>
  <c r="N185" i="67" s="1"/>
  <c r="M185" i="15"/>
  <c r="M214" i="15"/>
  <c r="N207" i="67" s="1"/>
  <c r="N179" i="27"/>
  <c r="AV172" i="67" s="1"/>
  <c r="N211" i="27"/>
  <c r="AV204" i="67" s="1"/>
  <c r="AQ201" i="15"/>
  <c r="AR194" i="67" s="1"/>
  <c r="AQ205" i="15"/>
  <c r="AR198" i="67" s="1"/>
  <c r="M201" i="15"/>
  <c r="N194" i="67" s="1"/>
  <c r="M202" i="15"/>
  <c r="N195" i="67" s="1"/>
  <c r="M180" i="15"/>
  <c r="N173" i="67" s="1"/>
  <c r="M191" i="15"/>
  <c r="N184" i="67" s="1"/>
  <c r="N194" i="27"/>
  <c r="AV187" i="67" s="1"/>
  <c r="N195" i="27"/>
  <c r="AV188" i="67" s="1"/>
  <c r="M190" i="15"/>
  <c r="N183" i="67" s="1"/>
  <c r="M204" i="15"/>
  <c r="N197" i="67" s="1"/>
  <c r="M198" i="15"/>
  <c r="N191" i="67" s="1"/>
  <c r="M209" i="15"/>
  <c r="M210" i="15"/>
  <c r="N203" i="67" s="1"/>
  <c r="M197" i="15"/>
  <c r="N192" i="27"/>
  <c r="AV185" i="67" s="1"/>
  <c r="N184" i="27"/>
  <c r="AV177" i="67" s="1"/>
  <c r="N214" i="27"/>
  <c r="AV207" i="67" s="1"/>
  <c r="AQ199" i="15"/>
  <c r="AR192" i="67" s="1"/>
  <c r="M207" i="15"/>
  <c r="N200" i="67" s="1"/>
  <c r="R175" i="67"/>
  <c r="R177" i="67"/>
  <c r="Q202" i="67"/>
  <c r="AQ202" i="15"/>
  <c r="AR195" i="67" s="1"/>
  <c r="Q195" i="67"/>
  <c r="R183" i="67"/>
  <c r="M186" i="15"/>
  <c r="N179" i="67" s="1"/>
  <c r="K179" i="67"/>
  <c r="Q200" i="67"/>
  <c r="M187" i="15"/>
  <c r="K180" i="67"/>
  <c r="Q170" i="67"/>
  <c r="R197" i="67"/>
  <c r="M213" i="15"/>
  <c r="N206" i="67" s="1"/>
  <c r="AQ188" i="15"/>
  <c r="AR181" i="67" s="1"/>
  <c r="M199" i="15"/>
  <c r="M183" i="15"/>
  <c r="N176" i="67" s="1"/>
  <c r="N198" i="67"/>
  <c r="AN191" i="27"/>
  <c r="AU184" i="67"/>
  <c r="M194" i="15"/>
  <c r="L187" i="67"/>
  <c r="M195" i="15"/>
  <c r="L188" i="67"/>
  <c r="R182" i="67"/>
  <c r="M208" i="15"/>
  <c r="N201" i="67" s="1"/>
  <c r="M181" i="15"/>
  <c r="N174" i="67" s="1"/>
  <c r="K174" i="67"/>
  <c r="AQ208" i="15"/>
  <c r="AR201" i="67" s="1"/>
  <c r="M206" i="15"/>
  <c r="N199" i="67" s="1"/>
  <c r="L199" i="67"/>
  <c r="M200" i="15"/>
  <c r="N193" i="67" s="1"/>
  <c r="L193" i="67"/>
  <c r="R170" i="67"/>
  <c r="AQ182" i="15"/>
  <c r="AR175" i="67" s="1"/>
  <c r="Q175" i="67"/>
  <c r="N196" i="67"/>
  <c r="M188" i="15"/>
  <c r="N181" i="67" s="1"/>
  <c r="K181" i="67"/>
  <c r="Q188" i="67"/>
  <c r="M193" i="15"/>
  <c r="K186" i="67"/>
  <c r="AN207" i="27"/>
  <c r="AU200" i="67"/>
  <c r="AQ209" i="15"/>
  <c r="AR202" i="67" s="1"/>
  <c r="N207" i="27"/>
  <c r="AV200" i="67" s="1"/>
  <c r="N213" i="27"/>
  <c r="AV206" i="67" s="1"/>
  <c r="N178" i="27"/>
  <c r="AN203" i="27"/>
  <c r="AN196" i="27"/>
  <c r="AN182" i="27"/>
  <c r="N193" i="27"/>
  <c r="AV186" i="67" s="1"/>
  <c r="AN214" i="27"/>
  <c r="AN190" i="27"/>
  <c r="N201" i="27"/>
  <c r="AV194" i="67" s="1"/>
  <c r="AN181" i="27"/>
  <c r="N202" i="27"/>
  <c r="AV195" i="67" s="1"/>
  <c r="AN192" i="27"/>
  <c r="N203" i="27"/>
  <c r="AV196" i="67" s="1"/>
  <c r="AN193" i="27"/>
  <c r="AN197" i="27"/>
  <c r="AN186" i="27"/>
  <c r="AN179" i="27"/>
  <c r="N190" i="27"/>
  <c r="AV183" i="67" s="1"/>
  <c r="AN211" i="27"/>
  <c r="AN189" i="27"/>
  <c r="N183" i="27"/>
  <c r="AV176" i="67" s="1"/>
  <c r="AN185" i="27"/>
  <c r="N182" i="27"/>
  <c r="AV175" i="67" s="1"/>
  <c r="AQ214" i="15"/>
  <c r="AR207" i="67" s="1"/>
  <c r="M178" i="15"/>
  <c r="N171" i="67" s="1"/>
  <c r="AN204" i="27"/>
  <c r="N177" i="27"/>
  <c r="AV170" i="67" s="1"/>
  <c r="AN198" i="27"/>
  <c r="N209" i="27"/>
  <c r="AV202" i="67" s="1"/>
  <c r="AN184" i="27"/>
  <c r="AN199" i="27"/>
  <c r="N210" i="27"/>
  <c r="AV203" i="67" s="1"/>
  <c r="AN200" i="27"/>
  <c r="AN205" i="27"/>
  <c r="AN201" i="27"/>
  <c r="AN194" i="27"/>
  <c r="N200" i="27"/>
  <c r="AV193" i="67" s="1"/>
  <c r="AN187" i="27"/>
  <c r="N198" i="27"/>
  <c r="AV191" i="67" s="1"/>
  <c r="AN180" i="27"/>
  <c r="N191" i="27"/>
  <c r="AV184" i="67" s="1"/>
  <c r="AN210" i="27"/>
  <c r="AN213" i="27"/>
  <c r="AN212" i="27"/>
  <c r="N185" i="27"/>
  <c r="AV178" i="67" s="1"/>
  <c r="AN206" i="27"/>
  <c r="AN183" i="27"/>
  <c r="AN178" i="27"/>
  <c r="AN208" i="27"/>
  <c r="AN177" i="27"/>
  <c r="AN209" i="27"/>
  <c r="AN202" i="27"/>
  <c r="N208" i="27"/>
  <c r="AV201" i="67" s="1"/>
  <c r="AN195" i="27"/>
  <c r="N206" i="27"/>
  <c r="AV199" i="67" s="1"/>
  <c r="AN188" i="27"/>
  <c r="N199" i="27"/>
  <c r="N178" i="67" l="1"/>
  <c r="N202" i="67"/>
  <c r="N190" i="67"/>
  <c r="AV192" i="67"/>
  <c r="AV171" i="67"/>
  <c r="N188" i="67"/>
  <c r="N180" i="67"/>
  <c r="N186" i="67"/>
  <c r="N187" i="67"/>
  <c r="N192" i="67"/>
  <c r="H52" i="1" l="1"/>
  <c r="H50" i="1"/>
  <c r="H51" i="1"/>
  <c r="K51" i="1" s="1"/>
  <c r="E141" i="15"/>
  <c r="L141" i="15" s="1"/>
  <c r="M134" i="67" s="1"/>
  <c r="E142" i="15"/>
  <c r="L142" i="15" s="1"/>
  <c r="M135" i="67" s="1"/>
  <c r="E143" i="15"/>
  <c r="L143" i="15" s="1"/>
  <c r="M136" i="67" s="1"/>
  <c r="E144" i="15"/>
  <c r="L144" i="15" s="1"/>
  <c r="M137" i="67" s="1"/>
  <c r="E145" i="15"/>
  <c r="L145" i="15" s="1"/>
  <c r="M138" i="67" s="1"/>
  <c r="E146" i="15"/>
  <c r="L146" i="15" s="1"/>
  <c r="M139" i="67" s="1"/>
  <c r="E147" i="15"/>
  <c r="L147" i="15" s="1"/>
  <c r="M140" i="67" s="1"/>
  <c r="E148" i="15"/>
  <c r="L148" i="15" s="1"/>
  <c r="M141" i="67" s="1"/>
  <c r="E149" i="15"/>
  <c r="L149" i="15" s="1"/>
  <c r="M142" i="67" s="1"/>
  <c r="E150" i="15"/>
  <c r="L150" i="15" s="1"/>
  <c r="M143" i="67" s="1"/>
  <c r="E151" i="15"/>
  <c r="L151" i="15" s="1"/>
  <c r="M144" i="67" s="1"/>
  <c r="E152" i="15"/>
  <c r="L152" i="15" s="1"/>
  <c r="M145" i="67" s="1"/>
  <c r="Y228" i="15" l="1"/>
  <c r="Z221" i="67" s="1"/>
  <c r="Y227" i="15"/>
  <c r="Z220" i="67" s="1"/>
  <c r="Y225" i="15"/>
  <c r="Z218" i="67" s="1"/>
  <c r="Y226" i="15"/>
  <c r="Z219" i="67" s="1"/>
  <c r="Y224" i="15"/>
  <c r="Z217" i="67" s="1"/>
  <c r="Y223" i="15"/>
  <c r="Z216" i="67" s="1"/>
  <c r="Y218" i="15"/>
  <c r="Z211" i="67" s="1"/>
  <c r="Y220" i="15"/>
  <c r="Z213" i="67" s="1"/>
  <c r="Y221" i="15"/>
  <c r="Z214" i="67" s="1"/>
  <c r="Y215" i="15"/>
  <c r="Z208" i="67" s="1"/>
  <c r="Y219" i="15"/>
  <c r="Z212" i="67" s="1"/>
  <c r="Y217" i="15"/>
  <c r="Z210" i="67" s="1"/>
  <c r="Y222" i="15"/>
  <c r="Z215" i="67" s="1"/>
  <c r="Y216" i="15"/>
  <c r="Z209" i="67" s="1"/>
  <c r="Y196" i="15"/>
  <c r="Z189" i="67" s="1"/>
  <c r="Y205" i="15"/>
  <c r="Z198" i="67" s="1"/>
  <c r="Y184" i="15"/>
  <c r="Z177" i="67" s="1"/>
  <c r="Y212" i="15"/>
  <c r="Z205" i="67" s="1"/>
  <c r="Y201" i="15"/>
  <c r="Z194" i="67" s="1"/>
  <c r="Y210" i="15"/>
  <c r="Z203" i="67" s="1"/>
  <c r="Y179" i="15"/>
  <c r="Z172" i="67" s="1"/>
  <c r="Y182" i="15"/>
  <c r="Z175" i="67" s="1"/>
  <c r="Y198" i="15"/>
  <c r="Z191" i="67" s="1"/>
  <c r="Y203" i="15"/>
  <c r="Z196" i="67" s="1"/>
  <c r="Y192" i="15"/>
  <c r="Z185" i="67" s="1"/>
  <c r="Y211" i="15"/>
  <c r="Z204" i="67" s="1"/>
  <c r="Y194" i="15"/>
  <c r="Z187" i="67" s="1"/>
  <c r="Y188" i="15"/>
  <c r="Z181" i="67" s="1"/>
  <c r="Y199" i="15"/>
  <c r="Z192" i="67" s="1"/>
  <c r="Y209" i="15"/>
  <c r="Z202" i="67" s="1"/>
  <c r="Y202" i="15"/>
  <c r="Z195" i="67" s="1"/>
  <c r="Y178" i="15"/>
  <c r="Z171" i="67" s="1"/>
  <c r="Y197" i="15"/>
  <c r="Z190" i="67" s="1"/>
  <c r="Y213" i="15"/>
  <c r="Z206" i="67" s="1"/>
  <c r="Y183" i="15"/>
  <c r="Z176" i="67" s="1"/>
  <c r="Y206" i="15"/>
  <c r="Z199" i="67" s="1"/>
  <c r="Y181" i="15"/>
  <c r="Z174" i="67" s="1"/>
  <c r="Y189" i="15"/>
  <c r="Z182" i="67" s="1"/>
  <c r="Y185" i="15"/>
  <c r="Z178" i="67" s="1"/>
  <c r="Y180" i="15"/>
  <c r="Z173" i="67" s="1"/>
  <c r="Y195" i="15"/>
  <c r="Z188" i="67" s="1"/>
  <c r="Y214" i="15"/>
  <c r="Z207" i="67" s="1"/>
  <c r="Y186" i="15"/>
  <c r="Z179" i="67" s="1"/>
  <c r="Y190" i="15"/>
  <c r="Z183" i="67" s="1"/>
  <c r="Y177" i="15"/>
  <c r="Z170" i="67" s="1"/>
  <c r="Y208" i="15"/>
  <c r="Z201" i="67" s="1"/>
  <c r="Y200" i="15"/>
  <c r="Z193" i="67" s="1"/>
  <c r="Y187" i="15"/>
  <c r="Z180" i="67" s="1"/>
  <c r="Y204" i="15"/>
  <c r="Z197" i="67" s="1"/>
  <c r="Y191" i="15"/>
  <c r="Z184" i="67" s="1"/>
  <c r="Y193" i="15"/>
  <c r="Z186" i="67" s="1"/>
  <c r="Y207" i="15"/>
  <c r="Z200" i="67" s="1"/>
  <c r="K50" i="1"/>
  <c r="F144" i="27"/>
  <c r="M144" i="27" s="1"/>
  <c r="F151" i="27"/>
  <c r="M151" i="27" s="1"/>
  <c r="F143" i="27"/>
  <c r="M143" i="27" s="1"/>
  <c r="F152" i="27"/>
  <c r="M152" i="27" s="1"/>
  <c r="F150" i="27"/>
  <c r="M150" i="27" s="1"/>
  <c r="F142" i="27"/>
  <c r="M142" i="27" s="1"/>
  <c r="F149" i="27"/>
  <c r="M149" i="27" s="1"/>
  <c r="F141" i="27"/>
  <c r="M141" i="27" s="1"/>
  <c r="F147" i="27"/>
  <c r="M147" i="27" s="1"/>
  <c r="F148" i="27"/>
  <c r="M148" i="27" s="1"/>
  <c r="F146" i="27"/>
  <c r="M146" i="27" s="1"/>
  <c r="F145" i="27"/>
  <c r="M145" i="27" s="1"/>
  <c r="AE165" i="15"/>
  <c r="E165" i="15"/>
  <c r="L165" i="15" s="1"/>
  <c r="M158" i="67" s="1"/>
  <c r="E166" i="15"/>
  <c r="F166" i="27" s="1"/>
  <c r="M166" i="27" s="1"/>
  <c r="E167" i="15"/>
  <c r="F167" i="27" s="1"/>
  <c r="M167" i="27" s="1"/>
  <c r="E168" i="15"/>
  <c r="F168" i="27" s="1"/>
  <c r="M168" i="27" s="1"/>
  <c r="E169" i="15"/>
  <c r="F169" i="27" s="1"/>
  <c r="M169" i="27" s="1"/>
  <c r="E170" i="15"/>
  <c r="F170" i="27" s="1"/>
  <c r="M170" i="27" s="1"/>
  <c r="E171" i="15"/>
  <c r="F171" i="27" s="1"/>
  <c r="M171" i="27" s="1"/>
  <c r="E172" i="15"/>
  <c r="F172" i="27" s="1"/>
  <c r="M172" i="27" s="1"/>
  <c r="E173" i="15"/>
  <c r="L173" i="15" s="1"/>
  <c r="M166" i="67" s="1"/>
  <c r="E174" i="15"/>
  <c r="F174" i="27" s="1"/>
  <c r="M174" i="27" s="1"/>
  <c r="E175" i="15"/>
  <c r="F175" i="27" s="1"/>
  <c r="M175" i="27" s="1"/>
  <c r="E176" i="15"/>
  <c r="F176" i="27" s="1"/>
  <c r="M176" i="27" s="1"/>
  <c r="E154" i="15"/>
  <c r="F154" i="27" s="1"/>
  <c r="M154" i="27" s="1"/>
  <c r="E155" i="15"/>
  <c r="F155" i="27" s="1"/>
  <c r="M155" i="27" s="1"/>
  <c r="E156" i="15"/>
  <c r="F156" i="27" s="1"/>
  <c r="M156" i="27" s="1"/>
  <c r="E157" i="15"/>
  <c r="F157" i="27" s="1"/>
  <c r="M157" i="27" s="1"/>
  <c r="E158" i="15"/>
  <c r="F158" i="27" s="1"/>
  <c r="M158" i="27" s="1"/>
  <c r="E159" i="15"/>
  <c r="F159" i="27" s="1"/>
  <c r="M159" i="27" s="1"/>
  <c r="E160" i="15"/>
  <c r="F160" i="27" s="1"/>
  <c r="M160" i="27" s="1"/>
  <c r="E161" i="15"/>
  <c r="F161" i="27" s="1"/>
  <c r="M161" i="27" s="1"/>
  <c r="E162" i="15"/>
  <c r="F162" i="27" s="1"/>
  <c r="M162" i="27" s="1"/>
  <c r="E163" i="15"/>
  <c r="F163" i="27" s="1"/>
  <c r="M163" i="27" s="1"/>
  <c r="E164" i="15"/>
  <c r="F164" i="27" s="1"/>
  <c r="M164" i="27" s="1"/>
  <c r="E153" i="15"/>
  <c r="L153" i="15" s="1"/>
  <c r="M146" i="67" s="1"/>
  <c r="L159" i="15" l="1"/>
  <c r="M152" i="67" s="1"/>
  <c r="L158" i="15"/>
  <c r="M151" i="67" s="1"/>
  <c r="L161" i="15"/>
  <c r="M154" i="67" s="1"/>
  <c r="L166" i="15"/>
  <c r="M159" i="67" s="1"/>
  <c r="L167" i="15"/>
  <c r="M160" i="67" s="1"/>
  <c r="L169" i="15"/>
  <c r="M162" i="67" s="1"/>
  <c r="L174" i="15"/>
  <c r="M167" i="67" s="1"/>
  <c r="L175" i="15"/>
  <c r="M168" i="67" s="1"/>
  <c r="L160" i="15"/>
  <c r="M153" i="67" s="1"/>
  <c r="L168" i="15"/>
  <c r="M161" i="67" s="1"/>
  <c r="L176" i="15"/>
  <c r="M169" i="67" s="1"/>
  <c r="L154" i="15"/>
  <c r="M147" i="67" s="1"/>
  <c r="L162" i="15"/>
  <c r="M155" i="67" s="1"/>
  <c r="L170" i="15"/>
  <c r="M163" i="67" s="1"/>
  <c r="L155" i="15"/>
  <c r="M148" i="67" s="1"/>
  <c r="L163" i="15"/>
  <c r="M156" i="67" s="1"/>
  <c r="L171" i="15"/>
  <c r="M164" i="67" s="1"/>
  <c r="L156" i="15"/>
  <c r="M149" i="67" s="1"/>
  <c r="L164" i="15"/>
  <c r="M157" i="67" s="1"/>
  <c r="L172" i="15"/>
  <c r="M165" i="67" s="1"/>
  <c r="L157" i="15"/>
  <c r="M150" i="67" s="1"/>
  <c r="F165" i="27"/>
  <c r="M165" i="27" s="1"/>
  <c r="F153" i="27"/>
  <c r="M153" i="27" s="1"/>
  <c r="F173" i="27"/>
  <c r="M173" i="27" s="1"/>
  <c r="AE176" i="15" l="1"/>
  <c r="AF169" i="67" s="1"/>
  <c r="AG176" i="15"/>
  <c r="AH169" i="67" s="1"/>
  <c r="C176" i="15"/>
  <c r="D176" i="27" s="1"/>
  <c r="K176" i="27" s="1"/>
  <c r="D176" i="15"/>
  <c r="F176" i="15"/>
  <c r="G176" i="27" s="1"/>
  <c r="G176" i="15"/>
  <c r="H176" i="27" s="1"/>
  <c r="AI169" i="67"/>
  <c r="AJ169" i="67"/>
  <c r="AM169" i="67"/>
  <c r="AY169" i="67"/>
  <c r="BB169" i="67"/>
  <c r="BA169" i="67" l="1"/>
  <c r="AN176" i="27"/>
  <c r="P176" i="15"/>
  <c r="AQ176" i="15" s="1"/>
  <c r="AR169" i="67" s="1"/>
  <c r="AU169" i="67"/>
  <c r="J176" i="15"/>
  <c r="K169" i="67" s="1"/>
  <c r="K176" i="15"/>
  <c r="E176" i="27"/>
  <c r="L176" i="27" s="1"/>
  <c r="Q176" i="15"/>
  <c r="R169" i="67" s="1"/>
  <c r="AF176" i="15"/>
  <c r="AG169" i="67" s="1"/>
  <c r="BC169" i="67" s="1"/>
  <c r="AY162" i="67"/>
  <c r="BB162" i="67"/>
  <c r="AY163" i="67"/>
  <c r="BB163" i="67"/>
  <c r="AY164" i="67"/>
  <c r="BB164" i="67"/>
  <c r="AY165" i="67"/>
  <c r="BB165" i="67"/>
  <c r="AY166" i="67"/>
  <c r="BB166" i="67"/>
  <c r="AY167" i="67"/>
  <c r="BB167" i="67"/>
  <c r="AY168" i="67"/>
  <c r="BB168" i="67"/>
  <c r="A34" i="55"/>
  <c r="BA165" i="67" l="1"/>
  <c r="Q169" i="67"/>
  <c r="N176" i="27"/>
  <c r="AV169" i="67" s="1"/>
  <c r="L169" i="67"/>
  <c r="M176" i="15"/>
  <c r="N169" i="67" s="1"/>
  <c r="BA163" i="67"/>
  <c r="BA164" i="67"/>
  <c r="BA168" i="67"/>
  <c r="BA162" i="67"/>
  <c r="BA167" i="67"/>
  <c r="BA166" i="67"/>
  <c r="C175" i="15"/>
  <c r="D175" i="15"/>
  <c r="F175" i="15"/>
  <c r="G175" i="15"/>
  <c r="AE175" i="15"/>
  <c r="AF168" i="67" s="1"/>
  <c r="AG175" i="15"/>
  <c r="AH168" i="67" s="1"/>
  <c r="AI168" i="67"/>
  <c r="AJ168" i="67"/>
  <c r="AM168" i="67"/>
  <c r="AI167" i="67"/>
  <c r="AJ167" i="67"/>
  <c r="AM167" i="67"/>
  <c r="K175" i="15" l="1"/>
  <c r="E175" i="27"/>
  <c r="L175" i="27" s="1"/>
  <c r="Q175" i="15"/>
  <c r="R168" i="67" s="1"/>
  <c r="H175" i="27"/>
  <c r="J175" i="15"/>
  <c r="K168" i="67" s="1"/>
  <c r="D175" i="27"/>
  <c r="K175" i="27" s="1"/>
  <c r="P175" i="15"/>
  <c r="Q168" i="67" s="1"/>
  <c r="G175" i="27"/>
  <c r="AF175" i="15"/>
  <c r="AG168" i="67" s="1"/>
  <c r="BC168" i="67" s="1"/>
  <c r="C174" i="15"/>
  <c r="D174" i="15"/>
  <c r="F174" i="15"/>
  <c r="G174" i="15"/>
  <c r="AE174" i="15"/>
  <c r="AF167" i="67" s="1"/>
  <c r="AG174" i="15"/>
  <c r="AH167" i="67" s="1"/>
  <c r="N175" i="27" l="1"/>
  <c r="AV168" i="67" s="1"/>
  <c r="L168" i="67"/>
  <c r="M175" i="15"/>
  <c r="N168" i="67" s="1"/>
  <c r="Q174" i="15"/>
  <c r="R167" i="67" s="1"/>
  <c r="H174" i="27"/>
  <c r="AQ175" i="15"/>
  <c r="AR168" i="67" s="1"/>
  <c r="AU168" i="67"/>
  <c r="AN175" i="27"/>
  <c r="K174" i="15"/>
  <c r="E174" i="27"/>
  <c r="L174" i="27" s="1"/>
  <c r="P174" i="15"/>
  <c r="Q167" i="67" s="1"/>
  <c r="G174" i="27"/>
  <c r="J174" i="15"/>
  <c r="K167" i="67" s="1"/>
  <c r="D174" i="27"/>
  <c r="K174" i="27" s="1"/>
  <c r="AF174" i="15"/>
  <c r="AG167" i="67" s="1"/>
  <c r="BC167" i="67" s="1"/>
  <c r="N174" i="27" l="1"/>
  <c r="AV167" i="67" s="1"/>
  <c r="L167" i="67"/>
  <c r="M174" i="15"/>
  <c r="N167" i="67" s="1"/>
  <c r="AQ174" i="15"/>
  <c r="AR167" i="67" s="1"/>
  <c r="AU167" i="67"/>
  <c r="AN174" i="27"/>
  <c r="AI166" i="67"/>
  <c r="AJ166" i="67"/>
  <c r="AM166" i="67"/>
  <c r="AE173" i="15"/>
  <c r="AF166" i="67" s="1"/>
  <c r="AG173" i="15"/>
  <c r="AH166" i="67" s="1"/>
  <c r="D173" i="15"/>
  <c r="F173" i="15"/>
  <c r="G173" i="15"/>
  <c r="C173" i="15"/>
  <c r="Q173" i="15" l="1"/>
  <c r="R166" i="67" s="1"/>
  <c r="H173" i="27"/>
  <c r="K173" i="15"/>
  <c r="E173" i="27"/>
  <c r="L173" i="27" s="1"/>
  <c r="P173" i="15"/>
  <c r="Q166" i="67" s="1"/>
  <c r="G173" i="27"/>
  <c r="J173" i="15"/>
  <c r="K166" i="67" s="1"/>
  <c r="D173" i="27"/>
  <c r="K173" i="27" s="1"/>
  <c r="AF173" i="15"/>
  <c r="AG166" i="67" s="1"/>
  <c r="BC166" i="67" s="1"/>
  <c r="AI165" i="67"/>
  <c r="AJ165" i="67"/>
  <c r="AM165" i="67"/>
  <c r="N173" i="27" l="1"/>
  <c r="AV166" i="67" s="1"/>
  <c r="L166" i="67"/>
  <c r="M173" i="15"/>
  <c r="AQ173" i="15"/>
  <c r="AR166" i="67" s="1"/>
  <c r="AU166" i="67"/>
  <c r="AN173" i="27"/>
  <c r="N166" i="67"/>
  <c r="AE172" i="15"/>
  <c r="AF165" i="67" s="1"/>
  <c r="AG172" i="15"/>
  <c r="AH165" i="67" s="1"/>
  <c r="C172" i="15"/>
  <c r="D172" i="15"/>
  <c r="E172" i="27" s="1"/>
  <c r="L172" i="27" s="1"/>
  <c r="F172" i="15"/>
  <c r="G172" i="27" s="1"/>
  <c r="G172" i="15"/>
  <c r="H172" i="27" s="1"/>
  <c r="AU165" i="67" l="1"/>
  <c r="J172" i="15"/>
  <c r="K165" i="67" s="1"/>
  <c r="D172" i="27"/>
  <c r="K172" i="27" s="1"/>
  <c r="P172" i="15"/>
  <c r="Q165" i="67" s="1"/>
  <c r="K172" i="15"/>
  <c r="Q172" i="15"/>
  <c r="R165" i="67" s="1"/>
  <c r="AF172" i="15"/>
  <c r="AG165" i="67" s="1"/>
  <c r="BC165" i="67" s="1"/>
  <c r="AN172" i="27"/>
  <c r="C171" i="15"/>
  <c r="J171" i="15" s="1"/>
  <c r="D171" i="15"/>
  <c r="K171" i="15" s="1"/>
  <c r="F171" i="15"/>
  <c r="G171" i="27" s="1"/>
  <c r="G171" i="15"/>
  <c r="Q171" i="15" s="1"/>
  <c r="R164" i="67" s="1"/>
  <c r="AE171" i="15"/>
  <c r="AF164" i="67" s="1"/>
  <c r="AG171" i="15"/>
  <c r="AH164" i="67" s="1"/>
  <c r="AI164" i="67"/>
  <c r="AJ164" i="67"/>
  <c r="AM164" i="67"/>
  <c r="N172" i="27" l="1"/>
  <c r="AV165" i="67" s="1"/>
  <c r="L165" i="67"/>
  <c r="M172" i="15"/>
  <c r="N165" i="67" s="1"/>
  <c r="L164" i="67"/>
  <c r="M171" i="15"/>
  <c r="N164" i="67" s="1"/>
  <c r="AU164" i="67"/>
  <c r="AQ172" i="15"/>
  <c r="AR165" i="67" s="1"/>
  <c r="E171" i="27"/>
  <c r="L171" i="27" s="1"/>
  <c r="D171" i="27"/>
  <c r="K171" i="27" s="1"/>
  <c r="AN171" i="27"/>
  <c r="K164" i="67"/>
  <c r="P171" i="15"/>
  <c r="Q164" i="67" s="1"/>
  <c r="H171" i="27"/>
  <c r="AF171" i="15"/>
  <c r="AG164" i="67" s="1"/>
  <c r="BC164" i="67" s="1"/>
  <c r="N171" i="27" l="1"/>
  <c r="AV164" i="67" s="1"/>
  <c r="AQ171" i="15"/>
  <c r="AR164" i="67" s="1"/>
  <c r="AI162" i="67" l="1"/>
  <c r="AJ162" i="67"/>
  <c r="AM162" i="67"/>
  <c r="AI163" i="67"/>
  <c r="AJ163" i="67"/>
  <c r="AM163" i="67"/>
  <c r="AE170" i="15" l="1"/>
  <c r="AF163" i="67" s="1"/>
  <c r="AG170" i="15"/>
  <c r="AH163" i="67" s="1"/>
  <c r="C170" i="15"/>
  <c r="D170" i="27" s="1"/>
  <c r="K170" i="27" s="1"/>
  <c r="D170" i="15"/>
  <c r="E170" i="27" s="1"/>
  <c r="L170" i="27" s="1"/>
  <c r="F170" i="15"/>
  <c r="P170" i="15" s="1"/>
  <c r="Q163" i="67" s="1"/>
  <c r="G170" i="15"/>
  <c r="H170" i="27" s="1"/>
  <c r="N170" i="27" l="1"/>
  <c r="AV163" i="67" s="1"/>
  <c r="K170" i="15"/>
  <c r="J170" i="15"/>
  <c r="K163" i="67" s="1"/>
  <c r="Q170" i="15"/>
  <c r="R163" i="67" s="1"/>
  <c r="G170" i="27"/>
  <c r="AF170" i="15"/>
  <c r="AG163" i="67" s="1"/>
  <c r="BC163" i="67" s="1"/>
  <c r="AQ170" i="15"/>
  <c r="AR163" i="67" s="1"/>
  <c r="AE169" i="15"/>
  <c r="AF162" i="67" s="1"/>
  <c r="AG169" i="15"/>
  <c r="AH162" i="67" s="1"/>
  <c r="C169" i="15"/>
  <c r="J169" i="15" s="1"/>
  <c r="K162" i="67" s="1"/>
  <c r="D169" i="15"/>
  <c r="E169" i="27" s="1"/>
  <c r="L169" i="27" s="1"/>
  <c r="F169" i="15"/>
  <c r="G169" i="27" s="1"/>
  <c r="G169" i="15"/>
  <c r="Q169" i="15" s="1"/>
  <c r="R162" i="67" s="1"/>
  <c r="M170" i="15" l="1"/>
  <c r="N163" i="67" s="1"/>
  <c r="AU163" i="67"/>
  <c r="AU162" i="67"/>
  <c r="D169" i="27"/>
  <c r="K169" i="27" s="1"/>
  <c r="AN169" i="27"/>
  <c r="P169" i="15"/>
  <c r="Q162" i="67" s="1"/>
  <c r="L163" i="67"/>
  <c r="H169" i="27"/>
  <c r="K169" i="15"/>
  <c r="AN170" i="27"/>
  <c r="AF169" i="15"/>
  <c r="AG162" i="67" s="1"/>
  <c r="BC162" i="67" s="1"/>
  <c r="G165" i="15"/>
  <c r="G166" i="15"/>
  <c r="H166" i="27" s="1"/>
  <c r="G167" i="15"/>
  <c r="H167" i="27" s="1"/>
  <c r="G168" i="15"/>
  <c r="H168" i="27" s="1"/>
  <c r="F166" i="15"/>
  <c r="G166" i="27" s="1"/>
  <c r="F167" i="15"/>
  <c r="G167" i="27" s="1"/>
  <c r="F168" i="15"/>
  <c r="G168" i="27" s="1"/>
  <c r="D166" i="15"/>
  <c r="E166" i="27" s="1"/>
  <c r="D167" i="15"/>
  <c r="E167" i="27" s="1"/>
  <c r="D168" i="15"/>
  <c r="E168" i="27" s="1"/>
  <c r="C166" i="15"/>
  <c r="D166" i="27" s="1"/>
  <c r="C167" i="15"/>
  <c r="D167" i="27" s="1"/>
  <c r="C168" i="15"/>
  <c r="D168" i="27" s="1"/>
  <c r="N169" i="27" l="1"/>
  <c r="AV162" i="67" s="1"/>
  <c r="L162" i="67"/>
  <c r="M169" i="15"/>
  <c r="N162" i="67" s="1"/>
  <c r="AQ169" i="15"/>
  <c r="AR162" i="67" s="1"/>
  <c r="BB161" i="67"/>
  <c r="AU161" i="67"/>
  <c r="AY161" i="67"/>
  <c r="AI161" i="67"/>
  <c r="AJ161" i="67"/>
  <c r="AM161" i="67"/>
  <c r="AN168" i="27"/>
  <c r="K168" i="27"/>
  <c r="L168" i="27"/>
  <c r="AE168" i="15"/>
  <c r="AF161" i="67" s="1"/>
  <c r="AG168" i="15"/>
  <c r="AH161" i="67" s="1"/>
  <c r="P168" i="15"/>
  <c r="Q168" i="15"/>
  <c r="R161" i="67" s="1"/>
  <c r="J168" i="15"/>
  <c r="K161" i="67" s="1"/>
  <c r="K168" i="15"/>
  <c r="N168" i="27" l="1"/>
  <c r="L161" i="67"/>
  <c r="M168" i="15"/>
  <c r="BA161" i="67"/>
  <c r="AF168" i="15"/>
  <c r="AG161" i="67" s="1"/>
  <c r="BC161" i="67" s="1"/>
  <c r="Q161" i="67"/>
  <c r="AQ168" i="15"/>
  <c r="AR161" i="67" s="1"/>
  <c r="AV161" i="67" l="1"/>
  <c r="N161" i="67"/>
  <c r="O158" i="67" l="1"/>
  <c r="P158" i="67"/>
  <c r="AC158" i="67"/>
  <c r="AD158" i="67"/>
  <c r="AE158" i="67"/>
  <c r="AI158" i="67"/>
  <c r="AJ158" i="67"/>
  <c r="AM158" i="67"/>
  <c r="AY158" i="67"/>
  <c r="BB158" i="67"/>
  <c r="O159" i="67"/>
  <c r="P159" i="67"/>
  <c r="AC159" i="67"/>
  <c r="AD159" i="67"/>
  <c r="AE159" i="67"/>
  <c r="AI159" i="67"/>
  <c r="AJ159" i="67"/>
  <c r="AM159" i="67"/>
  <c r="AU159" i="67"/>
  <c r="AY159" i="67"/>
  <c r="BB159" i="67"/>
  <c r="O160" i="67"/>
  <c r="P160" i="67"/>
  <c r="AC160" i="67"/>
  <c r="AD160" i="67"/>
  <c r="AE160" i="67"/>
  <c r="AI160" i="67"/>
  <c r="AJ160" i="67"/>
  <c r="AM160" i="67"/>
  <c r="AU160" i="67"/>
  <c r="AY160" i="67"/>
  <c r="BB160" i="67"/>
  <c r="BA158" i="67" l="1"/>
  <c r="BA160" i="67"/>
  <c r="BA159" i="67"/>
  <c r="J167" i="15"/>
  <c r="K160" i="67" s="1"/>
  <c r="K167" i="15"/>
  <c r="P167" i="15"/>
  <c r="Q160" i="67" s="1"/>
  <c r="Q167" i="15"/>
  <c r="R160" i="67" s="1"/>
  <c r="AE167" i="15"/>
  <c r="AF160" i="67" s="1"/>
  <c r="AG167" i="15"/>
  <c r="AH160" i="67" s="1"/>
  <c r="J166" i="15"/>
  <c r="K159" i="67" s="1"/>
  <c r="K166" i="15"/>
  <c r="P166" i="15"/>
  <c r="Q159" i="67" s="1"/>
  <c r="Q166" i="15"/>
  <c r="R159" i="67" s="1"/>
  <c r="AE166" i="15"/>
  <c r="AF159" i="67" s="1"/>
  <c r="AG166" i="15"/>
  <c r="AH159" i="67" s="1"/>
  <c r="L160" i="67" l="1"/>
  <c r="M167" i="15"/>
  <c r="N160" i="67" s="1"/>
  <c r="L159" i="67"/>
  <c r="M166" i="15"/>
  <c r="N159" i="67" s="1"/>
  <c r="AQ166" i="15"/>
  <c r="AR159" i="67" s="1"/>
  <c r="AF167" i="15"/>
  <c r="AG160" i="67" s="1"/>
  <c r="BC160" i="67" s="1"/>
  <c r="AQ167" i="15"/>
  <c r="AR160" i="67" s="1"/>
  <c r="AF166" i="15"/>
  <c r="AG159" i="67" s="1"/>
  <c r="BC159" i="67" s="1"/>
  <c r="AN166" i="27" l="1"/>
  <c r="AN167" i="27"/>
  <c r="L166" i="27"/>
  <c r="L167" i="27"/>
  <c r="K166" i="27"/>
  <c r="K167" i="27"/>
  <c r="N167" i="27" l="1"/>
  <c r="AV160" i="67" s="1"/>
  <c r="N166" i="27"/>
  <c r="AV159" i="67" s="1"/>
  <c r="G155" i="15"/>
  <c r="Q155" i="15" s="1"/>
  <c r="C153" i="15"/>
  <c r="J153" i="15" s="1"/>
  <c r="D153" i="15"/>
  <c r="K153" i="15" s="1"/>
  <c r="F153" i="15"/>
  <c r="P153" i="15" s="1"/>
  <c r="G153" i="15"/>
  <c r="Q153" i="15" s="1"/>
  <c r="AE153" i="15"/>
  <c r="AG153" i="15"/>
  <c r="C154" i="15"/>
  <c r="J154" i="15" s="1"/>
  <c r="D154" i="15"/>
  <c r="K154" i="15" s="1"/>
  <c r="F154" i="15"/>
  <c r="P154" i="15" s="1"/>
  <c r="G154" i="15"/>
  <c r="Q154" i="15" s="1"/>
  <c r="AE154" i="15"/>
  <c r="AG154" i="15"/>
  <c r="C155" i="15"/>
  <c r="J155" i="15" s="1"/>
  <c r="D155" i="15"/>
  <c r="K155" i="15" s="1"/>
  <c r="F155" i="15"/>
  <c r="P155" i="15" s="1"/>
  <c r="AE155" i="15"/>
  <c r="AG155" i="15"/>
  <c r="C156" i="15"/>
  <c r="J156" i="15" s="1"/>
  <c r="D156" i="15"/>
  <c r="K156" i="15" s="1"/>
  <c r="F156" i="15"/>
  <c r="P156" i="15" s="1"/>
  <c r="G156" i="15"/>
  <c r="Q156" i="15" s="1"/>
  <c r="AE156" i="15"/>
  <c r="AG156" i="15"/>
  <c r="C157" i="15"/>
  <c r="J157" i="15" s="1"/>
  <c r="D157" i="15"/>
  <c r="K157" i="15" s="1"/>
  <c r="F157" i="15"/>
  <c r="P157" i="15" s="1"/>
  <c r="G157" i="15"/>
  <c r="Q157" i="15" s="1"/>
  <c r="AE157" i="15"/>
  <c r="AG157" i="15"/>
  <c r="C158" i="15"/>
  <c r="J158" i="15" s="1"/>
  <c r="D158" i="15"/>
  <c r="K158" i="15" s="1"/>
  <c r="F158" i="15"/>
  <c r="P158" i="15" s="1"/>
  <c r="G158" i="15"/>
  <c r="Q158" i="15" s="1"/>
  <c r="AE158" i="15"/>
  <c r="AG158" i="15"/>
  <c r="C159" i="15"/>
  <c r="J159" i="15" s="1"/>
  <c r="D159" i="15"/>
  <c r="K159" i="15" s="1"/>
  <c r="F159" i="15"/>
  <c r="P159" i="15" s="1"/>
  <c r="G159" i="15"/>
  <c r="Q159" i="15" s="1"/>
  <c r="AE159" i="15"/>
  <c r="AG159" i="15"/>
  <c r="C160" i="15"/>
  <c r="J160" i="15" s="1"/>
  <c r="D160" i="15"/>
  <c r="K160" i="15" s="1"/>
  <c r="F160" i="15"/>
  <c r="P160" i="15" s="1"/>
  <c r="G160" i="15"/>
  <c r="Q160" i="15" s="1"/>
  <c r="AE160" i="15"/>
  <c r="AG160" i="15"/>
  <c r="C161" i="15"/>
  <c r="J161" i="15" s="1"/>
  <c r="D161" i="15"/>
  <c r="K161" i="15" s="1"/>
  <c r="F161" i="15"/>
  <c r="P161" i="15" s="1"/>
  <c r="G161" i="15"/>
  <c r="Q161" i="15" s="1"/>
  <c r="AE161" i="15"/>
  <c r="AG161" i="15"/>
  <c r="C162" i="15"/>
  <c r="J162" i="15" s="1"/>
  <c r="D162" i="15"/>
  <c r="K162" i="15" s="1"/>
  <c r="F162" i="15"/>
  <c r="P162" i="15" s="1"/>
  <c r="G162" i="15"/>
  <c r="Q162" i="15" s="1"/>
  <c r="AE162" i="15"/>
  <c r="AG162" i="15"/>
  <c r="C163" i="15"/>
  <c r="J163" i="15" s="1"/>
  <c r="D163" i="15"/>
  <c r="K163" i="15" s="1"/>
  <c r="F163" i="15"/>
  <c r="P163" i="15" s="1"/>
  <c r="G163" i="15"/>
  <c r="Q163" i="15" s="1"/>
  <c r="AE163" i="15"/>
  <c r="AG163" i="15"/>
  <c r="C164" i="15"/>
  <c r="J164" i="15" s="1"/>
  <c r="D164" i="15"/>
  <c r="K164" i="15" s="1"/>
  <c r="F164" i="15"/>
  <c r="P164" i="15" s="1"/>
  <c r="G164" i="15"/>
  <c r="Q164" i="15" s="1"/>
  <c r="R157" i="67" s="1"/>
  <c r="AE164" i="15"/>
  <c r="AF157" i="67" s="1"/>
  <c r="AG164" i="15"/>
  <c r="C165" i="15"/>
  <c r="D165" i="27" s="1"/>
  <c r="K165" i="27" s="1"/>
  <c r="D165" i="15"/>
  <c r="K165" i="15" s="1"/>
  <c r="F165" i="15"/>
  <c r="P165" i="15" s="1"/>
  <c r="Q158" i="67" s="1"/>
  <c r="AF158" i="67"/>
  <c r="AG165" i="15"/>
  <c r="O157" i="67"/>
  <c r="P157" i="67"/>
  <c r="AC157" i="67"/>
  <c r="AD157" i="67"/>
  <c r="AE157" i="67"/>
  <c r="AI157" i="67"/>
  <c r="AJ157" i="67"/>
  <c r="AM157" i="67"/>
  <c r="AY157" i="67"/>
  <c r="BB157" i="67"/>
  <c r="M154" i="15" l="1"/>
  <c r="M160" i="15"/>
  <c r="M156" i="15"/>
  <c r="M162" i="15"/>
  <c r="M155" i="15"/>
  <c r="M161" i="15"/>
  <c r="M153" i="15"/>
  <c r="M157" i="15"/>
  <c r="M158" i="15"/>
  <c r="M163" i="15"/>
  <c r="M159" i="15"/>
  <c r="L158" i="67"/>
  <c r="L157" i="67"/>
  <c r="M164" i="15"/>
  <c r="AF163" i="15"/>
  <c r="D164" i="27"/>
  <c r="K164" i="27" s="1"/>
  <c r="G165" i="27"/>
  <c r="AN165" i="27" s="1"/>
  <c r="AF164" i="15"/>
  <c r="AG157" i="67" s="1"/>
  <c r="BC157" i="67" s="1"/>
  <c r="E165" i="27"/>
  <c r="L165" i="27" s="1"/>
  <c r="AH157" i="67"/>
  <c r="AF162" i="15"/>
  <c r="AF165" i="15"/>
  <c r="AG158" i="67" s="1"/>
  <c r="BC158" i="67" s="1"/>
  <c r="AH158" i="67"/>
  <c r="AF160" i="15"/>
  <c r="AF153" i="15"/>
  <c r="AF158" i="15"/>
  <c r="AF154" i="15"/>
  <c r="AF155" i="15"/>
  <c r="BA157" i="67"/>
  <c r="AF159" i="15"/>
  <c r="AQ161" i="15"/>
  <c r="AQ163" i="15"/>
  <c r="AQ155" i="15"/>
  <c r="AQ153" i="15"/>
  <c r="AQ159" i="15"/>
  <c r="AF156" i="15"/>
  <c r="AF161" i="15"/>
  <c r="AF157" i="15"/>
  <c r="AQ157" i="15"/>
  <c r="AQ165" i="15"/>
  <c r="AR158" i="67" s="1"/>
  <c r="Q165" i="15"/>
  <c r="R158" i="67" s="1"/>
  <c r="H165" i="27"/>
  <c r="H164" i="27"/>
  <c r="E164" i="27"/>
  <c r="L164" i="27" s="1"/>
  <c r="AQ162" i="15"/>
  <c r="AQ158" i="15"/>
  <c r="AQ160" i="15"/>
  <c r="AQ156" i="15"/>
  <c r="Q157" i="67"/>
  <c r="AQ164" i="15"/>
  <c r="AR157" i="67" s="1"/>
  <c r="AQ154" i="15"/>
  <c r="K157" i="67"/>
  <c r="G164" i="27"/>
  <c r="J165" i="15"/>
  <c r="K158" i="67" s="1"/>
  <c r="M165" i="15" l="1"/>
  <c r="N158" i="67" s="1"/>
  <c r="N164" i="27"/>
  <c r="AV157" i="67" s="1"/>
  <c r="N165" i="27"/>
  <c r="AV158" i="67" s="1"/>
  <c r="AU158" i="67"/>
  <c r="AU157" i="67"/>
  <c r="AN164" i="27"/>
  <c r="N157" i="67"/>
  <c r="N156" i="67"/>
  <c r="L156" i="67"/>
  <c r="O156" i="67"/>
  <c r="P156" i="67"/>
  <c r="Q156" i="67"/>
  <c r="H163" i="27"/>
  <c r="AC156" i="67"/>
  <c r="AD156" i="67"/>
  <c r="AE156" i="67"/>
  <c r="AF156" i="67"/>
  <c r="AG156" i="67"/>
  <c r="BC156" i="67" s="1"/>
  <c r="AH156" i="67"/>
  <c r="AI156" i="67"/>
  <c r="AJ156" i="67"/>
  <c r="AM156" i="67"/>
  <c r="AR156" i="67"/>
  <c r="G163" i="27"/>
  <c r="D163" i="27"/>
  <c r="K163" i="27" s="1"/>
  <c r="E163" i="27"/>
  <c r="L163" i="27" s="1"/>
  <c r="AY156" i="67"/>
  <c r="BB156" i="67"/>
  <c r="H162" i="27"/>
  <c r="H40" i="1"/>
  <c r="H41" i="1"/>
  <c r="K41" i="1" s="1"/>
  <c r="H42" i="1"/>
  <c r="K42" i="1" s="1"/>
  <c r="H43" i="1"/>
  <c r="K43" i="1" s="1"/>
  <c r="H47" i="1"/>
  <c r="H48" i="1"/>
  <c r="K48" i="1" s="1"/>
  <c r="H49" i="1"/>
  <c r="K49" i="1" s="1"/>
  <c r="Y153" i="15"/>
  <c r="K52" i="1"/>
  <c r="H9" i="1"/>
  <c r="H15" i="1" s="1"/>
  <c r="H18" i="1"/>
  <c r="H35" i="1" s="1"/>
  <c r="D162" i="27"/>
  <c r="K162" i="27" s="1"/>
  <c r="E162" i="27"/>
  <c r="L162" i="27" s="1"/>
  <c r="G162" i="27"/>
  <c r="K155" i="67"/>
  <c r="L155" i="67"/>
  <c r="N155" i="67"/>
  <c r="O155" i="67"/>
  <c r="P155" i="67"/>
  <c r="Q155" i="67"/>
  <c r="R155" i="67"/>
  <c r="AC155" i="67"/>
  <c r="AD155" i="67"/>
  <c r="AE155" i="67"/>
  <c r="AF155" i="67"/>
  <c r="AG155" i="67"/>
  <c r="BC155" i="67" s="1"/>
  <c r="AH155" i="67"/>
  <c r="AI155" i="67"/>
  <c r="AJ155" i="67"/>
  <c r="AM155" i="67"/>
  <c r="AR155" i="67"/>
  <c r="AY155" i="67"/>
  <c r="BB155" i="67"/>
  <c r="H161" i="27"/>
  <c r="D161" i="27"/>
  <c r="K161" i="27" s="1"/>
  <c r="E161" i="27"/>
  <c r="L161" i="27" s="1"/>
  <c r="G161" i="27"/>
  <c r="K154" i="67"/>
  <c r="L154" i="67"/>
  <c r="N154" i="67"/>
  <c r="O154" i="67"/>
  <c r="P154" i="67"/>
  <c r="Q154" i="67"/>
  <c r="R154" i="67"/>
  <c r="AC154" i="67"/>
  <c r="AD154" i="67"/>
  <c r="AE154" i="67"/>
  <c r="AF154" i="67"/>
  <c r="AG154" i="67"/>
  <c r="BC154" i="67" s="1"/>
  <c r="AH154" i="67"/>
  <c r="AI154" i="67"/>
  <c r="AJ154" i="67"/>
  <c r="AM154" i="67"/>
  <c r="AR154" i="67"/>
  <c r="AY154" i="67"/>
  <c r="BB154" i="67"/>
  <c r="H153" i="27"/>
  <c r="D160" i="27"/>
  <c r="K160" i="27" s="1"/>
  <c r="L153" i="67"/>
  <c r="R153" i="67"/>
  <c r="AF153" i="67"/>
  <c r="AH153" i="67"/>
  <c r="O153" i="67"/>
  <c r="P153" i="67"/>
  <c r="AC153" i="67"/>
  <c r="AD153" i="67"/>
  <c r="AE153" i="67"/>
  <c r="AI153" i="67"/>
  <c r="AJ153" i="67"/>
  <c r="AM153" i="67"/>
  <c r="AY153" i="67"/>
  <c r="BB153" i="67"/>
  <c r="H160" i="27"/>
  <c r="G160" i="27"/>
  <c r="E160" i="27"/>
  <c r="L160" i="27" s="1"/>
  <c r="N153" i="67"/>
  <c r="K153" i="67"/>
  <c r="AG153" i="67"/>
  <c r="BC153" i="67" s="1"/>
  <c r="AR153" i="67"/>
  <c r="Q153" i="67"/>
  <c r="H159" i="27"/>
  <c r="D159" i="27"/>
  <c r="K159" i="27" s="1"/>
  <c r="E159" i="27"/>
  <c r="L159" i="27" s="1"/>
  <c r="AH152" i="67"/>
  <c r="O152" i="67"/>
  <c r="P152" i="67"/>
  <c r="AC152" i="67"/>
  <c r="AD152" i="67"/>
  <c r="AE152" i="67"/>
  <c r="AI152" i="67"/>
  <c r="AJ152" i="67"/>
  <c r="AM152" i="67"/>
  <c r="AY152" i="67"/>
  <c r="BB152" i="67"/>
  <c r="H158" i="27"/>
  <c r="E158" i="27"/>
  <c r="L158" i="27" s="1"/>
  <c r="AH151" i="67"/>
  <c r="O151" i="67"/>
  <c r="P151" i="67"/>
  <c r="AC151" i="67"/>
  <c r="AD151" i="67"/>
  <c r="AE151" i="67"/>
  <c r="AI151" i="67"/>
  <c r="AJ151" i="67"/>
  <c r="AM151" i="67"/>
  <c r="AY151" i="67"/>
  <c r="BB151" i="67"/>
  <c r="E157" i="27"/>
  <c r="L157" i="27" s="1"/>
  <c r="Q150" i="67"/>
  <c r="AH150" i="67"/>
  <c r="O150" i="67"/>
  <c r="P150" i="67"/>
  <c r="AC150" i="67"/>
  <c r="AD150" i="67"/>
  <c r="AE150" i="67"/>
  <c r="AI150" i="67"/>
  <c r="AJ150" i="67"/>
  <c r="AM150" i="67"/>
  <c r="AY150" i="67"/>
  <c r="BB150" i="67"/>
  <c r="D156" i="27"/>
  <c r="K156" i="27" s="1"/>
  <c r="E156" i="27"/>
  <c r="L156" i="27" s="1"/>
  <c r="G156" i="27"/>
  <c r="AF149" i="67"/>
  <c r="AH149" i="67"/>
  <c r="O149" i="67"/>
  <c r="P149" i="67"/>
  <c r="AC149" i="67"/>
  <c r="AD149" i="67"/>
  <c r="AE149" i="67"/>
  <c r="AI149" i="67"/>
  <c r="AJ149" i="67"/>
  <c r="AM149" i="67"/>
  <c r="AY149" i="67"/>
  <c r="BB149" i="67"/>
  <c r="D155" i="27"/>
  <c r="K155" i="27" s="1"/>
  <c r="G155" i="27"/>
  <c r="H155" i="27"/>
  <c r="AF148" i="67"/>
  <c r="AH148" i="67"/>
  <c r="O148" i="67"/>
  <c r="P148" i="67"/>
  <c r="AC148" i="67"/>
  <c r="AD148" i="67"/>
  <c r="AE148" i="67"/>
  <c r="AI148" i="67"/>
  <c r="AJ148" i="67"/>
  <c r="AM148" i="67"/>
  <c r="AY148" i="67"/>
  <c r="BB148" i="67"/>
  <c r="D154" i="27"/>
  <c r="K154" i="27" s="1"/>
  <c r="G154" i="27"/>
  <c r="H154" i="27"/>
  <c r="AF147" i="67"/>
  <c r="O147" i="67"/>
  <c r="P147" i="67"/>
  <c r="AC147" i="67"/>
  <c r="AD147" i="67"/>
  <c r="AE147" i="67"/>
  <c r="AI147" i="67"/>
  <c r="AJ147" i="67"/>
  <c r="AM147" i="67"/>
  <c r="AY147" i="67"/>
  <c r="BB147" i="67"/>
  <c r="K147" i="67"/>
  <c r="O146" i="67"/>
  <c r="P146" i="67"/>
  <c r="AC146" i="67"/>
  <c r="AD146" i="67"/>
  <c r="AE146" i="67"/>
  <c r="AI146" i="67"/>
  <c r="AJ146" i="67"/>
  <c r="AM146" i="67"/>
  <c r="AY146" i="67"/>
  <c r="BB146" i="67"/>
  <c r="O145" i="67"/>
  <c r="P145" i="67"/>
  <c r="AC145" i="67"/>
  <c r="AD145" i="67"/>
  <c r="AE145" i="67"/>
  <c r="AI145" i="67"/>
  <c r="AJ145" i="67"/>
  <c r="AM145" i="67"/>
  <c r="AY145" i="67"/>
  <c r="BB145" i="67"/>
  <c r="D153" i="27"/>
  <c r="K153" i="27" s="1"/>
  <c r="Q146" i="67"/>
  <c r="K146" i="67"/>
  <c r="AF146" i="67"/>
  <c r="C152" i="15"/>
  <c r="J152" i="15" s="1"/>
  <c r="D152" i="15"/>
  <c r="K152" i="15" s="1"/>
  <c r="F152" i="15"/>
  <c r="P152" i="15" s="1"/>
  <c r="G152" i="15"/>
  <c r="AE152" i="15"/>
  <c r="AF145" i="67" s="1"/>
  <c r="AG152" i="15"/>
  <c r="C151" i="15"/>
  <c r="D151" i="27" s="1"/>
  <c r="K151" i="27" s="1"/>
  <c r="D151" i="15"/>
  <c r="K151" i="15" s="1"/>
  <c r="F151" i="15"/>
  <c r="G151" i="27" s="1"/>
  <c r="G151" i="15"/>
  <c r="Q151" i="15" s="1"/>
  <c r="AE151" i="15"/>
  <c r="AF144" i="67" s="1"/>
  <c r="AG151" i="15"/>
  <c r="O144" i="67"/>
  <c r="P144" i="67"/>
  <c r="AC144" i="67"/>
  <c r="AD144" i="67"/>
  <c r="AE144" i="67"/>
  <c r="AI144" i="67"/>
  <c r="AJ144" i="67"/>
  <c r="AM144" i="67"/>
  <c r="AY144" i="67"/>
  <c r="BB144" i="67"/>
  <c r="C150" i="15"/>
  <c r="J150" i="15" s="1"/>
  <c r="D150" i="15"/>
  <c r="K150" i="15" s="1"/>
  <c r="F150" i="15"/>
  <c r="G150" i="15"/>
  <c r="H150" i="27" s="1"/>
  <c r="AE150" i="15"/>
  <c r="AG150" i="15"/>
  <c r="AH143" i="67" s="1"/>
  <c r="O143" i="67"/>
  <c r="P143" i="67"/>
  <c r="AC143" i="67"/>
  <c r="AD143" i="67"/>
  <c r="AE143" i="67"/>
  <c r="AI143" i="67"/>
  <c r="AJ143" i="67"/>
  <c r="AM143" i="67"/>
  <c r="AY143" i="67"/>
  <c r="BB143" i="67"/>
  <c r="C149" i="15"/>
  <c r="D149" i="27" s="1"/>
  <c r="K149" i="27" s="1"/>
  <c r="D149" i="15"/>
  <c r="K149" i="15" s="1"/>
  <c r="F149" i="15"/>
  <c r="G149" i="27" s="1"/>
  <c r="G149" i="15"/>
  <c r="H149" i="27" s="1"/>
  <c r="AE149" i="15"/>
  <c r="AF142" i="67" s="1"/>
  <c r="AG149" i="15"/>
  <c r="AH142" i="67" s="1"/>
  <c r="O141" i="67"/>
  <c r="P141" i="67"/>
  <c r="AC141" i="67"/>
  <c r="AD141" i="67"/>
  <c r="AE141" i="67"/>
  <c r="AI141" i="67"/>
  <c r="AJ141" i="67"/>
  <c r="AM141" i="67"/>
  <c r="AY141" i="67"/>
  <c r="BB141" i="67"/>
  <c r="O142" i="67"/>
  <c r="P142" i="67"/>
  <c r="AC142" i="67"/>
  <c r="AD142" i="67"/>
  <c r="AE142" i="67"/>
  <c r="AI142" i="67"/>
  <c r="AJ142" i="67"/>
  <c r="AM142" i="67"/>
  <c r="AY142" i="67"/>
  <c r="BB142" i="67"/>
  <c r="O139" i="67"/>
  <c r="P139" i="67"/>
  <c r="AC139" i="67"/>
  <c r="AD139" i="67"/>
  <c r="AE139" i="67"/>
  <c r="AI139" i="67"/>
  <c r="AJ139" i="67"/>
  <c r="AM139" i="67"/>
  <c r="AY139" i="67"/>
  <c r="BB139" i="67"/>
  <c r="O140" i="67"/>
  <c r="P140" i="67"/>
  <c r="AC140" i="67"/>
  <c r="AD140" i="67"/>
  <c r="AE140" i="67"/>
  <c r="AI140" i="67"/>
  <c r="AJ140" i="67"/>
  <c r="AM140" i="67"/>
  <c r="AY140" i="67"/>
  <c r="BB140" i="67"/>
  <c r="O137" i="67"/>
  <c r="P137" i="67"/>
  <c r="AC137" i="67"/>
  <c r="AD137" i="67"/>
  <c r="AE137" i="67"/>
  <c r="AI137" i="67"/>
  <c r="AJ137" i="67"/>
  <c r="AM137" i="67"/>
  <c r="AY137" i="67"/>
  <c r="BB137" i="67"/>
  <c r="O138" i="67"/>
  <c r="P138" i="67"/>
  <c r="AC138" i="67"/>
  <c r="AD138" i="67"/>
  <c r="AE138" i="67"/>
  <c r="AI138" i="67"/>
  <c r="AJ138" i="67"/>
  <c r="AM138" i="67"/>
  <c r="AY138" i="67"/>
  <c r="BB138" i="67"/>
  <c r="O135" i="67"/>
  <c r="P135" i="67"/>
  <c r="AC135" i="67"/>
  <c r="AD135" i="67"/>
  <c r="AE135" i="67"/>
  <c r="AI135" i="67"/>
  <c r="AJ135" i="67"/>
  <c r="AM135" i="67"/>
  <c r="AY135" i="67"/>
  <c r="BB135" i="67"/>
  <c r="O136" i="67"/>
  <c r="P136" i="67"/>
  <c r="AC136" i="67"/>
  <c r="AD136" i="67"/>
  <c r="AE136" i="67"/>
  <c r="AI136" i="67"/>
  <c r="AJ136" i="67"/>
  <c r="AM136" i="67"/>
  <c r="AY136" i="67"/>
  <c r="BB136" i="67"/>
  <c r="O134" i="67"/>
  <c r="P134" i="67"/>
  <c r="AC134" i="67"/>
  <c r="AD134" i="67"/>
  <c r="AE134" i="67"/>
  <c r="AI134" i="67"/>
  <c r="AJ134" i="67"/>
  <c r="AM134" i="67"/>
  <c r="AY134" i="67"/>
  <c r="BB134" i="67"/>
  <c r="O132" i="67"/>
  <c r="P132" i="67"/>
  <c r="AC132" i="67"/>
  <c r="AD132" i="67"/>
  <c r="AE132" i="67"/>
  <c r="AI132" i="67"/>
  <c r="AJ132" i="67"/>
  <c r="AM132" i="67"/>
  <c r="AY132" i="67"/>
  <c r="BB132" i="67"/>
  <c r="O133" i="67"/>
  <c r="P133" i="67"/>
  <c r="AC133" i="67"/>
  <c r="AD133" i="67"/>
  <c r="AE133" i="67"/>
  <c r="AI133" i="67"/>
  <c r="AJ133" i="67"/>
  <c r="AM133" i="67"/>
  <c r="AY133" i="67"/>
  <c r="BB133" i="67"/>
  <c r="G147" i="15"/>
  <c r="G148" i="15"/>
  <c r="AE137" i="15"/>
  <c r="AG137" i="15"/>
  <c r="AH130" i="67" s="1"/>
  <c r="AE138" i="15"/>
  <c r="AF131" i="67" s="1"/>
  <c r="AG138" i="15"/>
  <c r="AH131" i="67" s="1"/>
  <c r="AE139" i="15"/>
  <c r="AF132" i="67" s="1"/>
  <c r="AG139" i="15"/>
  <c r="AE140" i="15"/>
  <c r="AF133" i="67" s="1"/>
  <c r="AG140" i="15"/>
  <c r="AH133" i="67" s="1"/>
  <c r="AE141" i="15"/>
  <c r="AF134" i="67" s="1"/>
  <c r="AG141" i="15"/>
  <c r="AH134" i="67" s="1"/>
  <c r="AE142" i="15"/>
  <c r="AF135" i="67" s="1"/>
  <c r="AG142" i="15"/>
  <c r="AH135" i="67" s="1"/>
  <c r="AE143" i="15"/>
  <c r="AF136" i="67" s="1"/>
  <c r="AG143" i="15"/>
  <c r="AE144" i="15"/>
  <c r="AF137" i="67" s="1"/>
  <c r="AG144" i="15"/>
  <c r="AE145" i="15"/>
  <c r="AF138" i="67" s="1"/>
  <c r="AG145" i="15"/>
  <c r="AH138" i="67" s="1"/>
  <c r="AE146" i="15"/>
  <c r="AF139" i="67" s="1"/>
  <c r="AG146" i="15"/>
  <c r="AH139" i="67" s="1"/>
  <c r="AE147" i="15"/>
  <c r="AF140" i="67" s="1"/>
  <c r="AG147" i="15"/>
  <c r="AE148" i="15"/>
  <c r="AF141" i="67" s="1"/>
  <c r="AG148" i="15"/>
  <c r="AH141" i="67" s="1"/>
  <c r="G134" i="15"/>
  <c r="Q134" i="15" s="1"/>
  <c r="R127" i="67" s="1"/>
  <c r="G135" i="15"/>
  <c r="H135" i="27" s="1"/>
  <c r="G136" i="15"/>
  <c r="G137" i="15"/>
  <c r="H137" i="27" s="1"/>
  <c r="G138" i="15"/>
  <c r="Q138" i="15" s="1"/>
  <c r="R131" i="67" s="1"/>
  <c r="D137" i="15"/>
  <c r="K137" i="15" s="1"/>
  <c r="F137" i="15"/>
  <c r="P137" i="15" s="1"/>
  <c r="Q130" i="67" s="1"/>
  <c r="D138" i="15"/>
  <c r="K138" i="15" s="1"/>
  <c r="F138" i="15"/>
  <c r="P138" i="15" s="1"/>
  <c r="Q131" i="67" s="1"/>
  <c r="D139" i="15"/>
  <c r="F139" i="15"/>
  <c r="G139" i="15"/>
  <c r="Q139" i="15" s="1"/>
  <c r="D140" i="15"/>
  <c r="F140" i="15"/>
  <c r="G140" i="27" s="1"/>
  <c r="G140" i="15"/>
  <c r="D141" i="15"/>
  <c r="K141" i="15" s="1"/>
  <c r="F141" i="15"/>
  <c r="G141" i="27" s="1"/>
  <c r="G141" i="15"/>
  <c r="Q141" i="15" s="1"/>
  <c r="D142" i="15"/>
  <c r="K142" i="15" s="1"/>
  <c r="F142" i="15"/>
  <c r="P142" i="15" s="1"/>
  <c r="G142" i="15"/>
  <c r="Q142" i="15" s="1"/>
  <c r="R135" i="67" s="1"/>
  <c r="D143" i="15"/>
  <c r="K143" i="15" s="1"/>
  <c r="F143" i="15"/>
  <c r="P143" i="15" s="1"/>
  <c r="Q136" i="67" s="1"/>
  <c r="G143" i="15"/>
  <c r="D144" i="15"/>
  <c r="K144" i="15" s="1"/>
  <c r="F144" i="15"/>
  <c r="P144" i="15" s="1"/>
  <c r="Q137" i="67" s="1"/>
  <c r="G144" i="15"/>
  <c r="D145" i="15"/>
  <c r="K145" i="15" s="1"/>
  <c r="F145" i="15"/>
  <c r="P145" i="15" s="1"/>
  <c r="G145" i="15"/>
  <c r="Q145" i="15" s="1"/>
  <c r="D146" i="15"/>
  <c r="K146" i="15" s="1"/>
  <c r="F146" i="15"/>
  <c r="G146" i="27" s="1"/>
  <c r="G146" i="15"/>
  <c r="H146" i="27" s="1"/>
  <c r="D147" i="15"/>
  <c r="K147" i="15" s="1"/>
  <c r="F147" i="15"/>
  <c r="G147" i="27" s="1"/>
  <c r="D148" i="15"/>
  <c r="K148" i="15" s="1"/>
  <c r="F148" i="15"/>
  <c r="G148" i="27" s="1"/>
  <c r="C137" i="15"/>
  <c r="J137" i="15" s="1"/>
  <c r="K130" i="67" s="1"/>
  <c r="C138" i="15"/>
  <c r="C139" i="15"/>
  <c r="D139" i="27" s="1"/>
  <c r="K139" i="27" s="1"/>
  <c r="C140" i="15"/>
  <c r="J140" i="15" s="1"/>
  <c r="K133" i="67" s="1"/>
  <c r="C141" i="15"/>
  <c r="D141" i="27" s="1"/>
  <c r="K141" i="27" s="1"/>
  <c r="C142" i="15"/>
  <c r="C143" i="15"/>
  <c r="D143" i="27" s="1"/>
  <c r="K143" i="27" s="1"/>
  <c r="C144" i="15"/>
  <c r="C145" i="15"/>
  <c r="C146" i="15"/>
  <c r="C147" i="15"/>
  <c r="D147" i="27" s="1"/>
  <c r="K147" i="27" s="1"/>
  <c r="C148" i="15"/>
  <c r="O130" i="67"/>
  <c r="P130" i="67"/>
  <c r="AC130" i="67"/>
  <c r="AD130" i="67"/>
  <c r="AE130" i="67"/>
  <c r="AI130" i="67"/>
  <c r="AJ130" i="67"/>
  <c r="AM130" i="67"/>
  <c r="AY130" i="67"/>
  <c r="BB130" i="67"/>
  <c r="O131" i="67"/>
  <c r="P131" i="67"/>
  <c r="AC131" i="67"/>
  <c r="AD131" i="67"/>
  <c r="AE131" i="67"/>
  <c r="AI131" i="67"/>
  <c r="AJ131" i="67"/>
  <c r="AM131" i="67"/>
  <c r="AY131" i="67"/>
  <c r="BB131" i="67"/>
  <c r="O129" i="67"/>
  <c r="P129" i="67"/>
  <c r="AC129" i="67"/>
  <c r="AD129" i="67"/>
  <c r="AE129" i="67"/>
  <c r="AI129" i="67"/>
  <c r="AJ129" i="67"/>
  <c r="AM129" i="67"/>
  <c r="AY129" i="67"/>
  <c r="BB129" i="67"/>
  <c r="O128" i="67"/>
  <c r="P128" i="67"/>
  <c r="AC128" i="67"/>
  <c r="AD128" i="67"/>
  <c r="AE128" i="67"/>
  <c r="AI128" i="67"/>
  <c r="AJ128" i="67"/>
  <c r="AM128" i="67"/>
  <c r="AY128" i="67"/>
  <c r="BB128" i="67"/>
  <c r="O127" i="67"/>
  <c r="P127" i="67"/>
  <c r="AC127" i="67"/>
  <c r="AD127" i="67"/>
  <c r="AE127" i="67"/>
  <c r="AI127" i="67"/>
  <c r="AJ127" i="67"/>
  <c r="AM127" i="67"/>
  <c r="AY127" i="67"/>
  <c r="BB127" i="67"/>
  <c r="O126" i="67"/>
  <c r="P126" i="67"/>
  <c r="AC126" i="67"/>
  <c r="AD126" i="67"/>
  <c r="AE126" i="67"/>
  <c r="AI126" i="67"/>
  <c r="AJ126" i="67"/>
  <c r="AM126" i="67"/>
  <c r="AY126" i="67"/>
  <c r="BB126" i="67"/>
  <c r="O125" i="67"/>
  <c r="P125" i="67"/>
  <c r="AC125" i="67"/>
  <c r="AD125" i="67"/>
  <c r="AE125" i="67"/>
  <c r="AI125" i="67"/>
  <c r="AJ125" i="67"/>
  <c r="AM125" i="67"/>
  <c r="AY125" i="67"/>
  <c r="BB125" i="67"/>
  <c r="O124" i="67"/>
  <c r="P124" i="67"/>
  <c r="AC124" i="67"/>
  <c r="AD124" i="67"/>
  <c r="AE124" i="67"/>
  <c r="AI124" i="67"/>
  <c r="AJ124" i="67"/>
  <c r="AM124" i="67"/>
  <c r="AY124" i="67"/>
  <c r="BB124" i="67"/>
  <c r="O123" i="67"/>
  <c r="P123" i="67"/>
  <c r="AC123" i="67"/>
  <c r="AD123" i="67"/>
  <c r="AE123" i="67"/>
  <c r="AI123" i="67"/>
  <c r="AJ123" i="67"/>
  <c r="AM123" i="67"/>
  <c r="AY123" i="67"/>
  <c r="BB123" i="67"/>
  <c r="O122" i="67"/>
  <c r="P122" i="67"/>
  <c r="AC122" i="67"/>
  <c r="AD122" i="67"/>
  <c r="AE122" i="67"/>
  <c r="AI122" i="67"/>
  <c r="AJ122" i="67"/>
  <c r="AM122" i="67"/>
  <c r="AY122" i="67"/>
  <c r="BB122" i="67"/>
  <c r="O121" i="67"/>
  <c r="P121" i="67"/>
  <c r="AC121" i="67"/>
  <c r="AD121" i="67"/>
  <c r="AE121" i="67"/>
  <c r="AI121" i="67"/>
  <c r="AJ121" i="67"/>
  <c r="AM121" i="67"/>
  <c r="AY121" i="67"/>
  <c r="BB121" i="67"/>
  <c r="BA121" i="67" s="1"/>
  <c r="BB3" i="67"/>
  <c r="BB4" i="67"/>
  <c r="BB5" i="67"/>
  <c r="BB6" i="67"/>
  <c r="BB7" i="67"/>
  <c r="BB8" i="67"/>
  <c r="BB9" i="67"/>
  <c r="BB10" i="67"/>
  <c r="BB11" i="67"/>
  <c r="BB12" i="67"/>
  <c r="BB13" i="67"/>
  <c r="BB14" i="67"/>
  <c r="BB15" i="67"/>
  <c r="BB16" i="67"/>
  <c r="BB17" i="67"/>
  <c r="BB18" i="67"/>
  <c r="BB19" i="67"/>
  <c r="BB20" i="67"/>
  <c r="BB21" i="67"/>
  <c r="BB22" i="67"/>
  <c r="BB23" i="67"/>
  <c r="BB24" i="67"/>
  <c r="BB25" i="67"/>
  <c r="BB26" i="67"/>
  <c r="BB27" i="67"/>
  <c r="BB28" i="67"/>
  <c r="BB29" i="67"/>
  <c r="BB30" i="67"/>
  <c r="BB31" i="67"/>
  <c r="BB32" i="67"/>
  <c r="BB33" i="67"/>
  <c r="BB34" i="67"/>
  <c r="BB35" i="67"/>
  <c r="BB36" i="67"/>
  <c r="BB37" i="67"/>
  <c r="BB38" i="67"/>
  <c r="BB39" i="67"/>
  <c r="BB40" i="67"/>
  <c r="BB41" i="67"/>
  <c r="BB42" i="67"/>
  <c r="BB43" i="67"/>
  <c r="BB44" i="67"/>
  <c r="BB45" i="67"/>
  <c r="BB46" i="67"/>
  <c r="BB47" i="67"/>
  <c r="BB48" i="67"/>
  <c r="BB49" i="67"/>
  <c r="BB50" i="67"/>
  <c r="BB51" i="67"/>
  <c r="BB52" i="67"/>
  <c r="BB53" i="67"/>
  <c r="BB54" i="67"/>
  <c r="BB55" i="67"/>
  <c r="BB56" i="67"/>
  <c r="BB57" i="67"/>
  <c r="BB58" i="67"/>
  <c r="BB59" i="67"/>
  <c r="BB60" i="67"/>
  <c r="BB61" i="67"/>
  <c r="BB62" i="67"/>
  <c r="BB63" i="67"/>
  <c r="BB64" i="67"/>
  <c r="BB65" i="67"/>
  <c r="BB66" i="67"/>
  <c r="BB67" i="67"/>
  <c r="BB68" i="67"/>
  <c r="BB69" i="67"/>
  <c r="BB70" i="67"/>
  <c r="BB71" i="67"/>
  <c r="BB72" i="67"/>
  <c r="BB73" i="67"/>
  <c r="BB74" i="67"/>
  <c r="BB75" i="67"/>
  <c r="BB76" i="67"/>
  <c r="BB77" i="67"/>
  <c r="BB78" i="67"/>
  <c r="BB79" i="67"/>
  <c r="BB80" i="67"/>
  <c r="BB81" i="67"/>
  <c r="BB82" i="67"/>
  <c r="BB83" i="67"/>
  <c r="BB84" i="67"/>
  <c r="BB85" i="67"/>
  <c r="BB86" i="67"/>
  <c r="BB87" i="67"/>
  <c r="BB88" i="67"/>
  <c r="BB89" i="67"/>
  <c r="BB90" i="67"/>
  <c r="BB91" i="67"/>
  <c r="BB92" i="67"/>
  <c r="BB93" i="67"/>
  <c r="BB94" i="67"/>
  <c r="BB95" i="67"/>
  <c r="BB96" i="67"/>
  <c r="BB97" i="67"/>
  <c r="BB98" i="67"/>
  <c r="BB99" i="67"/>
  <c r="BB100" i="67"/>
  <c r="BB101" i="67"/>
  <c r="BB102" i="67"/>
  <c r="BB103" i="67"/>
  <c r="BB104" i="67"/>
  <c r="BB105" i="67"/>
  <c r="BB106" i="67"/>
  <c r="BB107" i="67"/>
  <c r="BB108" i="67"/>
  <c r="BB109" i="67"/>
  <c r="BB110" i="67"/>
  <c r="BB111" i="67"/>
  <c r="BB112" i="67"/>
  <c r="BB113" i="67"/>
  <c r="BB114" i="67"/>
  <c r="BB115" i="67"/>
  <c r="BB116" i="67"/>
  <c r="BB117" i="67"/>
  <c r="BB118" i="67"/>
  <c r="BB119" i="67"/>
  <c r="BB120" i="67"/>
  <c r="C127" i="15"/>
  <c r="D127" i="27" s="1"/>
  <c r="K127" i="27" s="1"/>
  <c r="D127" i="15"/>
  <c r="F127" i="15"/>
  <c r="G127" i="27" s="1"/>
  <c r="G127" i="15"/>
  <c r="C128" i="15"/>
  <c r="D128" i="27" s="1"/>
  <c r="K128" i="27" s="1"/>
  <c r="D128" i="15"/>
  <c r="F128" i="15"/>
  <c r="G128" i="15"/>
  <c r="C129" i="15"/>
  <c r="D129" i="27" s="1"/>
  <c r="K129" i="27" s="1"/>
  <c r="D129" i="15"/>
  <c r="F129" i="15"/>
  <c r="G129" i="27" s="1"/>
  <c r="G129" i="15"/>
  <c r="C130" i="15"/>
  <c r="D130" i="27" s="1"/>
  <c r="K130" i="27" s="1"/>
  <c r="D130" i="15"/>
  <c r="F130" i="15"/>
  <c r="G130" i="27" s="1"/>
  <c r="G130" i="15"/>
  <c r="C131" i="15"/>
  <c r="D131" i="27" s="1"/>
  <c r="K131" i="27" s="1"/>
  <c r="D131" i="15"/>
  <c r="F131" i="15"/>
  <c r="G131" i="27" s="1"/>
  <c r="G131" i="15"/>
  <c r="Q131" i="15" s="1"/>
  <c r="R124" i="67" s="1"/>
  <c r="C132" i="15"/>
  <c r="D132" i="27" s="1"/>
  <c r="K132" i="27" s="1"/>
  <c r="D132" i="15"/>
  <c r="F132" i="15"/>
  <c r="G132" i="27" s="1"/>
  <c r="G132" i="15"/>
  <c r="C133" i="15"/>
  <c r="D133" i="27" s="1"/>
  <c r="K133" i="27" s="1"/>
  <c r="D133" i="15"/>
  <c r="F133" i="15"/>
  <c r="G133" i="15"/>
  <c r="C134" i="15"/>
  <c r="D134" i="27" s="1"/>
  <c r="K134" i="27" s="1"/>
  <c r="D134" i="15"/>
  <c r="F134" i="15"/>
  <c r="G134" i="27" s="1"/>
  <c r="C135" i="15"/>
  <c r="D135" i="15"/>
  <c r="F135" i="15"/>
  <c r="P135" i="15" s="1"/>
  <c r="Q128" i="67" s="1"/>
  <c r="C136" i="15"/>
  <c r="D136" i="27" s="1"/>
  <c r="K136" i="27" s="1"/>
  <c r="D136" i="15"/>
  <c r="K136" i="15" s="1"/>
  <c r="F136" i="15"/>
  <c r="P136" i="15" s="1"/>
  <c r="O120" i="67"/>
  <c r="P120" i="67"/>
  <c r="AC120" i="67"/>
  <c r="AD120" i="67"/>
  <c r="AE120" i="67"/>
  <c r="AI120" i="67"/>
  <c r="AJ120" i="67"/>
  <c r="AM120" i="67"/>
  <c r="AY120" i="67"/>
  <c r="G117" i="15"/>
  <c r="H117" i="27" s="1"/>
  <c r="C126" i="15"/>
  <c r="J126" i="15" s="1"/>
  <c r="K119" i="67" s="1"/>
  <c r="D126" i="15"/>
  <c r="F126" i="15"/>
  <c r="G126" i="27" s="1"/>
  <c r="G126" i="15"/>
  <c r="H126" i="27" s="1"/>
  <c r="O119" i="67"/>
  <c r="P119" i="67"/>
  <c r="AC119" i="67"/>
  <c r="AD119" i="67"/>
  <c r="AE119" i="67"/>
  <c r="AI119" i="67"/>
  <c r="AJ119" i="67"/>
  <c r="AM119" i="67"/>
  <c r="AY119" i="67"/>
  <c r="C125" i="15"/>
  <c r="D125" i="27" s="1"/>
  <c r="K125" i="27" s="1"/>
  <c r="D125" i="15"/>
  <c r="K125" i="15" s="1"/>
  <c r="F125" i="15"/>
  <c r="G125" i="27" s="1"/>
  <c r="G125" i="15"/>
  <c r="Q125" i="15" s="1"/>
  <c r="O118" i="67"/>
  <c r="P118" i="67"/>
  <c r="AC118" i="67"/>
  <c r="AD118" i="67"/>
  <c r="AE118" i="67"/>
  <c r="AI118" i="67"/>
  <c r="AJ118" i="67"/>
  <c r="AM118" i="67"/>
  <c r="AY118" i="67"/>
  <c r="O112" i="67"/>
  <c r="P112" i="67"/>
  <c r="AC112" i="67"/>
  <c r="AD112" i="67"/>
  <c r="AE112" i="67"/>
  <c r="AI112" i="67"/>
  <c r="AJ112" i="67"/>
  <c r="AM112" i="67"/>
  <c r="AY112" i="67"/>
  <c r="O113" i="67"/>
  <c r="P113" i="67"/>
  <c r="AC113" i="67"/>
  <c r="AD113" i="67"/>
  <c r="AE113" i="67"/>
  <c r="AI113" i="67"/>
  <c r="AJ113" i="67"/>
  <c r="AM113" i="67"/>
  <c r="AY113" i="67"/>
  <c r="O114" i="67"/>
  <c r="P114" i="67"/>
  <c r="AC114" i="67"/>
  <c r="AD114" i="67"/>
  <c r="AE114" i="67"/>
  <c r="AI114" i="67"/>
  <c r="AJ114" i="67"/>
  <c r="AM114" i="67"/>
  <c r="AY114" i="67"/>
  <c r="O115" i="67"/>
  <c r="P115" i="67"/>
  <c r="AC115" i="67"/>
  <c r="AD115" i="67"/>
  <c r="AE115" i="67"/>
  <c r="AI115" i="67"/>
  <c r="AJ115" i="67"/>
  <c r="AM115" i="67"/>
  <c r="AY115" i="67"/>
  <c r="O116" i="67"/>
  <c r="P116" i="67"/>
  <c r="AC116" i="67"/>
  <c r="AD116" i="67"/>
  <c r="AE116" i="67"/>
  <c r="AI116" i="67"/>
  <c r="AJ116" i="67"/>
  <c r="AM116" i="67"/>
  <c r="AY116" i="67"/>
  <c r="O117" i="67"/>
  <c r="P117" i="67"/>
  <c r="AC117" i="67"/>
  <c r="AD117" i="67"/>
  <c r="AE117" i="67"/>
  <c r="AI117" i="67"/>
  <c r="AJ117" i="67"/>
  <c r="AM117" i="67"/>
  <c r="AY117" i="67"/>
  <c r="C119" i="15"/>
  <c r="D119" i="27" s="1"/>
  <c r="K119" i="27" s="1"/>
  <c r="D119" i="15"/>
  <c r="F119" i="15"/>
  <c r="G119" i="15"/>
  <c r="C120" i="15"/>
  <c r="J120" i="15" s="1"/>
  <c r="K113" i="67" s="1"/>
  <c r="D120" i="15"/>
  <c r="K120" i="15" s="1"/>
  <c r="F120" i="15"/>
  <c r="G120" i="15"/>
  <c r="C121" i="15"/>
  <c r="J121" i="15" s="1"/>
  <c r="K114" i="67" s="1"/>
  <c r="D121" i="15"/>
  <c r="F121" i="15"/>
  <c r="G121" i="15"/>
  <c r="Q121" i="15" s="1"/>
  <c r="R114" i="67" s="1"/>
  <c r="C122" i="15"/>
  <c r="D122" i="27" s="1"/>
  <c r="K122" i="27" s="1"/>
  <c r="D122" i="15"/>
  <c r="F122" i="15"/>
  <c r="G122" i="15"/>
  <c r="C123" i="15"/>
  <c r="J123" i="15" s="1"/>
  <c r="K116" i="67" s="1"/>
  <c r="D123" i="15"/>
  <c r="F123" i="15"/>
  <c r="G123" i="15"/>
  <c r="Q123" i="15" s="1"/>
  <c r="C124" i="15"/>
  <c r="J124" i="15" s="1"/>
  <c r="K117" i="67" s="1"/>
  <c r="D124" i="15"/>
  <c r="F124" i="15"/>
  <c r="P124" i="15" s="1"/>
  <c r="Q117" i="67" s="1"/>
  <c r="G124" i="15"/>
  <c r="AG124" i="15"/>
  <c r="AH117" i="67" s="1"/>
  <c r="AG125" i="15"/>
  <c r="AG126" i="15"/>
  <c r="AH119" i="67" s="1"/>
  <c r="AG127" i="15"/>
  <c r="AH120" i="67" s="1"/>
  <c r="AG128" i="15"/>
  <c r="AH121" i="67" s="1"/>
  <c r="AG129" i="15"/>
  <c r="AH122" i="67" s="1"/>
  <c r="AG130" i="15"/>
  <c r="AH123" i="67" s="1"/>
  <c r="AG131" i="15"/>
  <c r="AH124" i="67" s="1"/>
  <c r="AG132" i="15"/>
  <c r="AG133" i="15"/>
  <c r="AH126" i="67" s="1"/>
  <c r="AG134" i="15"/>
  <c r="AH127" i="67" s="1"/>
  <c r="AG135" i="15"/>
  <c r="AG136" i="15"/>
  <c r="AH129" i="67" s="1"/>
  <c r="AE133" i="15"/>
  <c r="AF126" i="67" s="1"/>
  <c r="AE134" i="15"/>
  <c r="AF127" i="67" s="1"/>
  <c r="AE135" i="15"/>
  <c r="AF128" i="67" s="1"/>
  <c r="AE136" i="15"/>
  <c r="AF129" i="67" s="1"/>
  <c r="AE126" i="15"/>
  <c r="AF119" i="67" s="1"/>
  <c r="AE127" i="15"/>
  <c r="AF120" i="67" s="1"/>
  <c r="AE128" i="15"/>
  <c r="AF121" i="67" s="1"/>
  <c r="AE129" i="15"/>
  <c r="AF122" i="67" s="1"/>
  <c r="AE130" i="15"/>
  <c r="AF123" i="67" s="1"/>
  <c r="AE131" i="15"/>
  <c r="AF124" i="67" s="1"/>
  <c r="AE132" i="15"/>
  <c r="AF125" i="67" s="1"/>
  <c r="AE124" i="15"/>
  <c r="AF117" i="67" s="1"/>
  <c r="AE125" i="15"/>
  <c r="AF118" i="67" s="1"/>
  <c r="AG119" i="15"/>
  <c r="AH112" i="67" s="1"/>
  <c r="AG120" i="15"/>
  <c r="AH113" i="67" s="1"/>
  <c r="AG121" i="15"/>
  <c r="AH114" i="67" s="1"/>
  <c r="AG122" i="15"/>
  <c r="AH115" i="67" s="1"/>
  <c r="AG123" i="15"/>
  <c r="AH116" i="67" s="1"/>
  <c r="AE119" i="15"/>
  <c r="AF112" i="67" s="1"/>
  <c r="AE120" i="15"/>
  <c r="AF113" i="67" s="1"/>
  <c r="AE121" i="15"/>
  <c r="AF114" i="67" s="1"/>
  <c r="AE122" i="15"/>
  <c r="AF115" i="67" s="1"/>
  <c r="AE123" i="15"/>
  <c r="AF116" i="67" s="1"/>
  <c r="AG69" i="15"/>
  <c r="AH62" i="67" s="1"/>
  <c r="AG70" i="15"/>
  <c r="AH63" i="67" s="1"/>
  <c r="C118" i="15"/>
  <c r="D118" i="27" s="1"/>
  <c r="K118" i="27" s="1"/>
  <c r="D118" i="15"/>
  <c r="F118" i="15"/>
  <c r="G118" i="27" s="1"/>
  <c r="G118" i="15"/>
  <c r="AE118" i="15"/>
  <c r="AF111" i="67" s="1"/>
  <c r="AG118" i="15"/>
  <c r="AH111" i="67" s="1"/>
  <c r="O111" i="67"/>
  <c r="P111" i="67"/>
  <c r="AC111" i="67"/>
  <c r="AD111" i="67"/>
  <c r="AE111" i="67"/>
  <c r="AI111" i="67"/>
  <c r="AJ111" i="67"/>
  <c r="AM111" i="67"/>
  <c r="AY111" i="67"/>
  <c r="AZ111" i="67"/>
  <c r="C117" i="15"/>
  <c r="J117" i="15" s="1"/>
  <c r="D117" i="15"/>
  <c r="F117" i="15"/>
  <c r="P117" i="15" s="1"/>
  <c r="Q110" i="67" s="1"/>
  <c r="AE117" i="15"/>
  <c r="AF110" i="67" s="1"/>
  <c r="AG117" i="15"/>
  <c r="AH110" i="67" s="1"/>
  <c r="O110" i="67"/>
  <c r="P110" i="67"/>
  <c r="AC110" i="67"/>
  <c r="AD110" i="67"/>
  <c r="AE110" i="67"/>
  <c r="AI110" i="67"/>
  <c r="AJ110" i="67"/>
  <c r="AM110" i="67"/>
  <c r="AY110" i="67"/>
  <c r="AZ110" i="67"/>
  <c r="AE116" i="15"/>
  <c r="AF109" i="67" s="1"/>
  <c r="AG116" i="15"/>
  <c r="AH109" i="67" s="1"/>
  <c r="C116" i="15"/>
  <c r="J116" i="15" s="1"/>
  <c r="K109" i="67" s="1"/>
  <c r="D116" i="15"/>
  <c r="K116" i="15" s="1"/>
  <c r="L109" i="67" s="1"/>
  <c r="F116" i="15"/>
  <c r="P116" i="15" s="1"/>
  <c r="Q109" i="67" s="1"/>
  <c r="G116" i="15"/>
  <c r="H116" i="27" s="1"/>
  <c r="O109" i="67"/>
  <c r="P109" i="67"/>
  <c r="AC109" i="67"/>
  <c r="AD109" i="67"/>
  <c r="AE109" i="67"/>
  <c r="AI109" i="67"/>
  <c r="AJ109" i="67"/>
  <c r="AM109" i="67"/>
  <c r="AY109" i="67"/>
  <c r="AZ109" i="67"/>
  <c r="C115" i="15"/>
  <c r="J115" i="15" s="1"/>
  <c r="K108" i="67" s="1"/>
  <c r="D115" i="15"/>
  <c r="K115" i="15" s="1"/>
  <c r="F115" i="15"/>
  <c r="P115" i="15" s="1"/>
  <c r="Q108" i="67" s="1"/>
  <c r="G115" i="15"/>
  <c r="H115" i="27" s="1"/>
  <c r="AE115" i="15"/>
  <c r="AF108" i="67" s="1"/>
  <c r="AG115" i="15"/>
  <c r="O108" i="67"/>
  <c r="P108" i="67"/>
  <c r="AC108" i="67"/>
  <c r="AD108" i="67"/>
  <c r="AE108" i="67"/>
  <c r="AI108" i="67"/>
  <c r="AJ108" i="67"/>
  <c r="AM108" i="67"/>
  <c r="AY108" i="67"/>
  <c r="AZ108" i="67"/>
  <c r="C114" i="15"/>
  <c r="D114" i="27" s="1"/>
  <c r="K114" i="27" s="1"/>
  <c r="D114" i="15"/>
  <c r="F114" i="15"/>
  <c r="G114" i="27" s="1"/>
  <c r="G114" i="15"/>
  <c r="Q114" i="15" s="1"/>
  <c r="R107" i="67" s="1"/>
  <c r="AE114" i="15"/>
  <c r="AG114" i="15"/>
  <c r="AH107" i="67" s="1"/>
  <c r="O107" i="67"/>
  <c r="P107" i="67"/>
  <c r="AC107" i="67"/>
  <c r="AD107" i="67"/>
  <c r="AE107" i="67"/>
  <c r="AI107" i="67"/>
  <c r="AJ107" i="67"/>
  <c r="AM107" i="67"/>
  <c r="AY107" i="67"/>
  <c r="AZ107" i="67"/>
  <c r="O106" i="67"/>
  <c r="P106" i="67"/>
  <c r="AC106" i="67"/>
  <c r="AD106" i="67"/>
  <c r="AE106" i="67"/>
  <c r="AI106" i="67"/>
  <c r="AJ106" i="67"/>
  <c r="AM106" i="67"/>
  <c r="AY106" i="67"/>
  <c r="AZ106" i="67"/>
  <c r="AE113" i="15"/>
  <c r="AF106" i="67" s="1"/>
  <c r="AG113" i="15"/>
  <c r="AH106" i="67" s="1"/>
  <c r="C113" i="15"/>
  <c r="J113" i="15" s="1"/>
  <c r="K106" i="67" s="1"/>
  <c r="D113" i="15"/>
  <c r="F113" i="15"/>
  <c r="G113" i="27" s="1"/>
  <c r="AN113" i="27" s="1"/>
  <c r="G113" i="15"/>
  <c r="Q113" i="15" s="1"/>
  <c r="R106" i="67" s="1"/>
  <c r="AE112" i="15"/>
  <c r="AF105" i="67" s="1"/>
  <c r="AG112" i="15"/>
  <c r="C112" i="15"/>
  <c r="J112" i="15" s="1"/>
  <c r="K105" i="67" s="1"/>
  <c r="D112" i="15"/>
  <c r="F112" i="15"/>
  <c r="P112" i="15" s="1"/>
  <c r="G112" i="15"/>
  <c r="Q112" i="15" s="1"/>
  <c r="R105" i="67" s="1"/>
  <c r="O105" i="67"/>
  <c r="P105" i="67"/>
  <c r="AC105" i="67"/>
  <c r="AD105" i="67"/>
  <c r="AE105" i="67"/>
  <c r="AI105" i="67"/>
  <c r="AJ105" i="67"/>
  <c r="AM105" i="67"/>
  <c r="AY105" i="67"/>
  <c r="AZ105" i="67"/>
  <c r="C111" i="15"/>
  <c r="J111" i="15" s="1"/>
  <c r="K104" i="67" s="1"/>
  <c r="D111" i="15"/>
  <c r="K111" i="15" s="1"/>
  <c r="L104" i="67" s="1"/>
  <c r="F111" i="15"/>
  <c r="G111" i="27" s="1"/>
  <c r="G111" i="15"/>
  <c r="Q111" i="15" s="1"/>
  <c r="R104" i="67" s="1"/>
  <c r="AE111" i="15"/>
  <c r="AF104" i="67" s="1"/>
  <c r="AG111" i="15"/>
  <c r="O104" i="67"/>
  <c r="P104" i="67"/>
  <c r="AC104" i="67"/>
  <c r="AD104" i="67"/>
  <c r="AE104" i="67"/>
  <c r="AI104" i="67"/>
  <c r="AJ104" i="67"/>
  <c r="AM104" i="67"/>
  <c r="AY104" i="67"/>
  <c r="AZ104" i="67"/>
  <c r="AY102" i="67"/>
  <c r="AZ102" i="67"/>
  <c r="AY103" i="67"/>
  <c r="AZ103" i="67"/>
  <c r="C110" i="15"/>
  <c r="D110" i="27" s="1"/>
  <c r="K110" i="27" s="1"/>
  <c r="D110" i="15"/>
  <c r="F110" i="15"/>
  <c r="P110" i="15" s="1"/>
  <c r="G110" i="15"/>
  <c r="H110" i="27" s="1"/>
  <c r="AE110" i="15"/>
  <c r="AF103" i="67" s="1"/>
  <c r="AG110" i="15"/>
  <c r="AH103" i="67" s="1"/>
  <c r="O103" i="67"/>
  <c r="P103" i="67"/>
  <c r="AC103" i="67"/>
  <c r="AD103" i="67"/>
  <c r="AE103" i="67"/>
  <c r="AI103" i="67"/>
  <c r="AJ103" i="67"/>
  <c r="AM103" i="67"/>
  <c r="C109" i="15"/>
  <c r="J109" i="15" s="1"/>
  <c r="D109" i="15"/>
  <c r="F109" i="15"/>
  <c r="G109" i="15"/>
  <c r="Q109" i="15" s="1"/>
  <c r="R102" i="67" s="1"/>
  <c r="AE109" i="15"/>
  <c r="AF102" i="67" s="1"/>
  <c r="AG109" i="15"/>
  <c r="AH102" i="67" s="1"/>
  <c r="O102" i="67"/>
  <c r="P102" i="67"/>
  <c r="AC102" i="67"/>
  <c r="AD102" i="67"/>
  <c r="AE102" i="67"/>
  <c r="AI102" i="67"/>
  <c r="AJ102" i="67"/>
  <c r="AM102" i="67"/>
  <c r="AZ101" i="67"/>
  <c r="AY101" i="67"/>
  <c r="AM101" i="67"/>
  <c r="AJ101" i="67"/>
  <c r="AI101" i="67"/>
  <c r="AE101" i="67"/>
  <c r="AD101" i="67"/>
  <c r="AC101" i="67"/>
  <c r="P101" i="67"/>
  <c r="O101" i="67"/>
  <c r="C108" i="15"/>
  <c r="D108" i="27" s="1"/>
  <c r="K108" i="27" s="1"/>
  <c r="D108" i="15"/>
  <c r="F108" i="15"/>
  <c r="P108" i="15" s="1"/>
  <c r="Q101" i="67" s="1"/>
  <c r="G108" i="15"/>
  <c r="Q108" i="15" s="1"/>
  <c r="R101" i="67" s="1"/>
  <c r="AE108" i="15"/>
  <c r="AF101" i="67" s="1"/>
  <c r="AG108" i="15"/>
  <c r="AH101" i="67" s="1"/>
  <c r="C107" i="15"/>
  <c r="D107" i="27" s="1"/>
  <c r="K107" i="27" s="1"/>
  <c r="D107" i="15"/>
  <c r="F107" i="15"/>
  <c r="G107" i="27" s="1"/>
  <c r="G107" i="15"/>
  <c r="Q107" i="15" s="1"/>
  <c r="R100" i="67" s="1"/>
  <c r="AE107" i="15"/>
  <c r="AF100" i="67" s="1"/>
  <c r="AG107" i="15"/>
  <c r="AH100" i="67" s="1"/>
  <c r="O100" i="67"/>
  <c r="P100" i="67"/>
  <c r="AC100" i="67"/>
  <c r="AD100" i="67"/>
  <c r="AE100" i="67"/>
  <c r="AI100" i="67"/>
  <c r="AJ100" i="67"/>
  <c r="AM100" i="67"/>
  <c r="AY100" i="67"/>
  <c r="AZ100" i="67"/>
  <c r="C106" i="15"/>
  <c r="J106" i="15" s="1"/>
  <c r="K99" i="67" s="1"/>
  <c r="D106" i="15"/>
  <c r="F106" i="15"/>
  <c r="P106" i="15" s="1"/>
  <c r="G106" i="15"/>
  <c r="Q106" i="15" s="1"/>
  <c r="R99" i="67" s="1"/>
  <c r="AE106" i="15"/>
  <c r="AF99" i="67" s="1"/>
  <c r="AG106" i="15"/>
  <c r="AH99" i="67" s="1"/>
  <c r="O99" i="67"/>
  <c r="P99" i="67"/>
  <c r="AC99" i="67"/>
  <c r="AD99" i="67"/>
  <c r="AE99" i="67"/>
  <c r="AI99" i="67"/>
  <c r="AJ99" i="67"/>
  <c r="AM99" i="67"/>
  <c r="AY99" i="67"/>
  <c r="AZ99" i="67"/>
  <c r="C105" i="15"/>
  <c r="D105" i="27" s="1"/>
  <c r="K105" i="27" s="1"/>
  <c r="D105" i="15"/>
  <c r="K105" i="15" s="1"/>
  <c r="F105" i="15"/>
  <c r="G105" i="27" s="1"/>
  <c r="G105" i="15"/>
  <c r="Q105" i="15" s="1"/>
  <c r="R98" i="67" s="1"/>
  <c r="AE105" i="15"/>
  <c r="AF98" i="67" s="1"/>
  <c r="AG105" i="15"/>
  <c r="AH98" i="67" s="1"/>
  <c r="O98" i="67"/>
  <c r="P98" i="67"/>
  <c r="AC98" i="67"/>
  <c r="AD98" i="67"/>
  <c r="AE98" i="67"/>
  <c r="AI98" i="67"/>
  <c r="AJ98" i="67"/>
  <c r="AM98" i="67"/>
  <c r="AY98" i="67"/>
  <c r="AZ98" i="67"/>
  <c r="C104" i="15"/>
  <c r="D104" i="27" s="1"/>
  <c r="K104" i="27" s="1"/>
  <c r="D104" i="15"/>
  <c r="F104" i="15"/>
  <c r="P104" i="15" s="1"/>
  <c r="Q97" i="67" s="1"/>
  <c r="G104" i="15"/>
  <c r="AE104" i="15"/>
  <c r="AF97" i="67" s="1"/>
  <c r="AG104" i="15"/>
  <c r="AH97" i="67" s="1"/>
  <c r="O97" i="67"/>
  <c r="P97" i="67"/>
  <c r="AC97" i="67"/>
  <c r="AD97" i="67"/>
  <c r="AE97" i="67"/>
  <c r="AI97" i="67"/>
  <c r="AJ97" i="67"/>
  <c r="AM97" i="67"/>
  <c r="AY97" i="67"/>
  <c r="AZ97" i="67"/>
  <c r="AE103" i="15"/>
  <c r="AG103" i="15"/>
  <c r="C103" i="15"/>
  <c r="D103" i="27" s="1"/>
  <c r="K103" i="27" s="1"/>
  <c r="D103" i="15"/>
  <c r="F103" i="15"/>
  <c r="G103" i="27" s="1"/>
  <c r="G103" i="15"/>
  <c r="Q103" i="15" s="1"/>
  <c r="R96" i="67" s="1"/>
  <c r="O96" i="67"/>
  <c r="P96" i="67"/>
  <c r="AC96" i="67"/>
  <c r="AD96" i="67"/>
  <c r="AE96" i="67"/>
  <c r="AI96" i="67"/>
  <c r="AJ96" i="67"/>
  <c r="AM96" i="67"/>
  <c r="AY96" i="67"/>
  <c r="AZ96" i="67"/>
  <c r="A44" i="37"/>
  <c r="C102" i="15"/>
  <c r="D102" i="27" s="1"/>
  <c r="K102" i="27" s="1"/>
  <c r="D102" i="15"/>
  <c r="K102" i="15" s="1"/>
  <c r="F102" i="15"/>
  <c r="G102" i="15"/>
  <c r="Q102" i="15" s="1"/>
  <c r="R95" i="67" s="1"/>
  <c r="AE102" i="15"/>
  <c r="AF95" i="67" s="1"/>
  <c r="AG102" i="15"/>
  <c r="AH95" i="67" s="1"/>
  <c r="O95" i="67"/>
  <c r="P95" i="67"/>
  <c r="AC95" i="67"/>
  <c r="AD95" i="67"/>
  <c r="AE95" i="67"/>
  <c r="AI95" i="67"/>
  <c r="AJ95" i="67"/>
  <c r="AM95" i="67"/>
  <c r="AY95" i="67"/>
  <c r="AZ95" i="67"/>
  <c r="A35" i="55"/>
  <c r="A45" i="37" s="1"/>
  <c r="O94" i="67"/>
  <c r="P94" i="67"/>
  <c r="AC94" i="67"/>
  <c r="AD94" i="67"/>
  <c r="AE94" i="67"/>
  <c r="AI94" i="67"/>
  <c r="AJ94" i="67"/>
  <c r="AM94" i="67"/>
  <c r="AY94" i="67"/>
  <c r="AZ94" i="67"/>
  <c r="AE101" i="15"/>
  <c r="AF94" i="67" s="1"/>
  <c r="AG101" i="15"/>
  <c r="C101" i="15"/>
  <c r="D101" i="27" s="1"/>
  <c r="K101" i="27" s="1"/>
  <c r="D101" i="15"/>
  <c r="F101" i="15"/>
  <c r="G101" i="27" s="1"/>
  <c r="G101" i="15"/>
  <c r="H101" i="27" s="1"/>
  <c r="O93" i="67"/>
  <c r="P93" i="67"/>
  <c r="AC93" i="67"/>
  <c r="AD93" i="67"/>
  <c r="AE93" i="67"/>
  <c r="AI93" i="67"/>
  <c r="AJ93" i="67"/>
  <c r="AM93" i="67"/>
  <c r="AY93" i="67"/>
  <c r="AZ93" i="67"/>
  <c r="AY92" i="67"/>
  <c r="O92" i="67"/>
  <c r="P92" i="67"/>
  <c r="AC92" i="67"/>
  <c r="AD92" i="67"/>
  <c r="AE92" i="67"/>
  <c r="AI92" i="67"/>
  <c r="AJ92" i="67"/>
  <c r="AM92" i="67"/>
  <c r="AZ92" i="67"/>
  <c r="O91" i="67"/>
  <c r="P91" i="67"/>
  <c r="AC91" i="67"/>
  <c r="AD91" i="67"/>
  <c r="AE91" i="67"/>
  <c r="AI91" i="67"/>
  <c r="AJ91" i="67"/>
  <c r="AM91" i="67"/>
  <c r="AY91" i="67"/>
  <c r="AZ91" i="67"/>
  <c r="O90" i="67"/>
  <c r="P90" i="67"/>
  <c r="AC90" i="67"/>
  <c r="AD90" i="67"/>
  <c r="AE90" i="67"/>
  <c r="AI90" i="67"/>
  <c r="AJ90" i="67"/>
  <c r="AM90" i="67"/>
  <c r="AY90" i="67"/>
  <c r="AZ90" i="67"/>
  <c r="O89" i="67"/>
  <c r="P89" i="67"/>
  <c r="AC89" i="67"/>
  <c r="AD89" i="67"/>
  <c r="AE89" i="67"/>
  <c r="AI89" i="67"/>
  <c r="AJ89" i="67"/>
  <c r="AM89" i="67"/>
  <c r="AY89" i="67"/>
  <c r="AZ89" i="67"/>
  <c r="O88" i="67"/>
  <c r="P88" i="67"/>
  <c r="AC88" i="67"/>
  <c r="AD88" i="67"/>
  <c r="AE88" i="67"/>
  <c r="AI88" i="67"/>
  <c r="AJ88" i="67"/>
  <c r="AM88" i="67"/>
  <c r="AY88" i="67"/>
  <c r="AZ88" i="67"/>
  <c r="O87" i="67"/>
  <c r="P87" i="67"/>
  <c r="AC87" i="67"/>
  <c r="AD87" i="67"/>
  <c r="AE87" i="67"/>
  <c r="AI87" i="67"/>
  <c r="AJ87" i="67"/>
  <c r="AM87" i="67"/>
  <c r="AY87" i="67"/>
  <c r="AZ87" i="67"/>
  <c r="O86" i="67"/>
  <c r="P86" i="67"/>
  <c r="AC86" i="67"/>
  <c r="AD86" i="67"/>
  <c r="AE86" i="67"/>
  <c r="AI86" i="67"/>
  <c r="AJ86" i="67"/>
  <c r="AM86" i="67"/>
  <c r="AY86" i="67"/>
  <c r="AZ86" i="67"/>
  <c r="O85" i="67"/>
  <c r="P85" i="67"/>
  <c r="AC85" i="67"/>
  <c r="AD85" i="67"/>
  <c r="AE85" i="67"/>
  <c r="AI85" i="67"/>
  <c r="AJ85" i="67"/>
  <c r="AM85" i="67"/>
  <c r="AY85" i="67"/>
  <c r="AZ85" i="67"/>
  <c r="O84" i="67"/>
  <c r="P84" i="67"/>
  <c r="AC84" i="67"/>
  <c r="AD84" i="67"/>
  <c r="AE84" i="67"/>
  <c r="AI84" i="67"/>
  <c r="AJ84" i="67"/>
  <c r="AM84" i="67"/>
  <c r="AY84" i="67"/>
  <c r="AZ84" i="67"/>
  <c r="O83" i="67"/>
  <c r="P83" i="67"/>
  <c r="AC83" i="67"/>
  <c r="AD83" i="67"/>
  <c r="AE83" i="67"/>
  <c r="AI83" i="67"/>
  <c r="AJ83" i="67"/>
  <c r="AM83" i="67"/>
  <c r="AY83" i="67"/>
  <c r="AZ83" i="67"/>
  <c r="G100" i="15"/>
  <c r="Q100" i="15" s="1"/>
  <c r="R93" i="67" s="1"/>
  <c r="F100" i="15"/>
  <c r="G100" i="27" s="1"/>
  <c r="D100" i="15"/>
  <c r="C100" i="15"/>
  <c r="D100" i="27" s="1"/>
  <c r="K100" i="27" s="1"/>
  <c r="G99" i="15"/>
  <c r="Q99" i="15" s="1"/>
  <c r="R92" i="67" s="1"/>
  <c r="F99" i="15"/>
  <c r="P99" i="15" s="1"/>
  <c r="Q92" i="67" s="1"/>
  <c r="D99" i="15"/>
  <c r="C99" i="15"/>
  <c r="J99" i="15" s="1"/>
  <c r="G98" i="15"/>
  <c r="Q98" i="15" s="1"/>
  <c r="R91" i="67" s="1"/>
  <c r="F98" i="15"/>
  <c r="G98" i="27" s="1"/>
  <c r="D98" i="15"/>
  <c r="K98" i="15" s="1"/>
  <c r="C98" i="15"/>
  <c r="G97" i="15"/>
  <c r="Q97" i="15" s="1"/>
  <c r="R90" i="67" s="1"/>
  <c r="F97" i="15"/>
  <c r="P97" i="15" s="1"/>
  <c r="Q90" i="67" s="1"/>
  <c r="D97" i="15"/>
  <c r="C97" i="15"/>
  <c r="D97" i="27" s="1"/>
  <c r="K97" i="27" s="1"/>
  <c r="G96" i="15"/>
  <c r="H96" i="27" s="1"/>
  <c r="F96" i="15"/>
  <c r="G96" i="27" s="1"/>
  <c r="D96" i="15"/>
  <c r="C96" i="15"/>
  <c r="J96" i="15" s="1"/>
  <c r="K89" i="67" s="1"/>
  <c r="G95" i="15"/>
  <c r="Q95" i="15" s="1"/>
  <c r="R88" i="67" s="1"/>
  <c r="F95" i="15"/>
  <c r="P95" i="15" s="1"/>
  <c r="Q88" i="67" s="1"/>
  <c r="D95" i="15"/>
  <c r="K95" i="15" s="1"/>
  <c r="C95" i="15"/>
  <c r="G94" i="15"/>
  <c r="Q94" i="15" s="1"/>
  <c r="R87" i="67" s="1"/>
  <c r="F94" i="15"/>
  <c r="D94" i="15"/>
  <c r="C94" i="15"/>
  <c r="G93" i="15"/>
  <c r="H93" i="27" s="1"/>
  <c r="F93" i="15"/>
  <c r="P93" i="15" s="1"/>
  <c r="D93" i="15"/>
  <c r="K93" i="15" s="1"/>
  <c r="C93" i="15"/>
  <c r="G92" i="15"/>
  <c r="F92" i="15"/>
  <c r="P92" i="15" s="1"/>
  <c r="D92" i="15"/>
  <c r="C92" i="15"/>
  <c r="D92" i="27" s="1"/>
  <c r="K92" i="27" s="1"/>
  <c r="G91" i="15"/>
  <c r="H91" i="27" s="1"/>
  <c r="F91" i="15"/>
  <c r="G91" i="27" s="1"/>
  <c r="D91" i="15"/>
  <c r="K91" i="15" s="1"/>
  <c r="C91" i="15"/>
  <c r="J91" i="15" s="1"/>
  <c r="G90" i="15"/>
  <c r="F90" i="15"/>
  <c r="D90" i="15"/>
  <c r="C90" i="15"/>
  <c r="D90" i="27" s="1"/>
  <c r="K90" i="27" s="1"/>
  <c r="AG100" i="15"/>
  <c r="AH93" i="67" s="1"/>
  <c r="AE100" i="15"/>
  <c r="AG99" i="15"/>
  <c r="AH92" i="67" s="1"/>
  <c r="AE99" i="15"/>
  <c r="AF92" i="67" s="1"/>
  <c r="AG98" i="15"/>
  <c r="AE98" i="15"/>
  <c r="AF91" i="67" s="1"/>
  <c r="AG97" i="15"/>
  <c r="AH90" i="67" s="1"/>
  <c r="AE97" i="15"/>
  <c r="AF90" i="67" s="1"/>
  <c r="AG96" i="15"/>
  <c r="AH89" i="67" s="1"/>
  <c r="AE96" i="15"/>
  <c r="AF89" i="67" s="1"/>
  <c r="AG95" i="15"/>
  <c r="AH88" i="67" s="1"/>
  <c r="AE95" i="15"/>
  <c r="AG94" i="15"/>
  <c r="AH87" i="67" s="1"/>
  <c r="AE94" i="15"/>
  <c r="AF87" i="67" s="1"/>
  <c r="AG93" i="15"/>
  <c r="AH86" i="67" s="1"/>
  <c r="AE93" i="15"/>
  <c r="AF86" i="67" s="1"/>
  <c r="AG92" i="15"/>
  <c r="AH85" i="67" s="1"/>
  <c r="AE92" i="15"/>
  <c r="AF85" i="67" s="1"/>
  <c r="AG91" i="15"/>
  <c r="AH84" i="67" s="1"/>
  <c r="AE91" i="15"/>
  <c r="AF84" i="67" s="1"/>
  <c r="AG90" i="15"/>
  <c r="AE90" i="15"/>
  <c r="AF83" i="67" s="1"/>
  <c r="C89" i="15"/>
  <c r="D89" i="15"/>
  <c r="F89" i="15"/>
  <c r="P89" i="15" s="1"/>
  <c r="G89" i="15"/>
  <c r="AE89" i="15"/>
  <c r="AF82" i="67" s="1"/>
  <c r="AG89" i="15"/>
  <c r="AH82" i="67" s="1"/>
  <c r="O82" i="67"/>
  <c r="P82" i="67"/>
  <c r="AC82" i="67"/>
  <c r="AD82" i="67"/>
  <c r="AE82" i="67"/>
  <c r="AI82" i="67"/>
  <c r="AJ82" i="67"/>
  <c r="AM82" i="67"/>
  <c r="AY82" i="67"/>
  <c r="AZ82" i="67"/>
  <c r="O81" i="67"/>
  <c r="P81" i="67"/>
  <c r="AC81" i="67"/>
  <c r="AD81" i="67"/>
  <c r="AE81" i="67"/>
  <c r="AI81" i="67"/>
  <c r="AJ81" i="67"/>
  <c r="AM81" i="67"/>
  <c r="AY81" i="67"/>
  <c r="AZ81" i="67"/>
  <c r="O80" i="67"/>
  <c r="P80" i="67"/>
  <c r="AC80" i="67"/>
  <c r="AD80" i="67"/>
  <c r="AE80" i="67"/>
  <c r="AI80" i="67"/>
  <c r="AJ80" i="67"/>
  <c r="AM80" i="67"/>
  <c r="AY80" i="67"/>
  <c r="AZ80" i="67"/>
  <c r="O79" i="67"/>
  <c r="P79" i="67"/>
  <c r="AC79" i="67"/>
  <c r="AD79" i="67"/>
  <c r="AE79" i="67"/>
  <c r="AI79" i="67"/>
  <c r="AJ79" i="67"/>
  <c r="AM79" i="67"/>
  <c r="AY79" i="67"/>
  <c r="AZ79" i="67"/>
  <c r="O78" i="67"/>
  <c r="P78" i="67"/>
  <c r="AC78" i="67"/>
  <c r="AD78" i="67"/>
  <c r="AE78" i="67"/>
  <c r="AI78" i="67"/>
  <c r="AJ78" i="67"/>
  <c r="AM78" i="67"/>
  <c r="AY78" i="67"/>
  <c r="AZ78" i="67"/>
  <c r="O77" i="67"/>
  <c r="P77" i="67"/>
  <c r="AC77" i="67"/>
  <c r="AD77" i="67"/>
  <c r="AE77" i="67"/>
  <c r="AI77" i="67"/>
  <c r="AJ77" i="67"/>
  <c r="AM77" i="67"/>
  <c r="AY77" i="67"/>
  <c r="AZ77" i="67"/>
  <c r="O76" i="67"/>
  <c r="P76" i="67"/>
  <c r="AC76" i="67"/>
  <c r="AD76" i="67"/>
  <c r="AE76" i="67"/>
  <c r="AI76" i="67"/>
  <c r="AJ76" i="67"/>
  <c r="AM76" i="67"/>
  <c r="AY76" i="67"/>
  <c r="AZ76" i="67"/>
  <c r="O75" i="67"/>
  <c r="P75" i="67"/>
  <c r="AC75" i="67"/>
  <c r="AD75" i="67"/>
  <c r="AE75" i="67"/>
  <c r="AI75" i="67"/>
  <c r="AJ75" i="67"/>
  <c r="AM75" i="67"/>
  <c r="AY75" i="67"/>
  <c r="BA75" i="67" s="1"/>
  <c r="AZ75" i="67"/>
  <c r="C81" i="15"/>
  <c r="D81" i="15"/>
  <c r="K81" i="15" s="1"/>
  <c r="F81" i="15"/>
  <c r="G81" i="27" s="1"/>
  <c r="G81" i="15"/>
  <c r="AE81" i="15"/>
  <c r="AF74" i="67" s="1"/>
  <c r="AG81" i="15"/>
  <c r="AH74" i="67" s="1"/>
  <c r="C82" i="15"/>
  <c r="D82" i="27" s="1"/>
  <c r="K82" i="27" s="1"/>
  <c r="D82" i="15"/>
  <c r="F82" i="15"/>
  <c r="P82" i="15" s="1"/>
  <c r="Q75" i="67" s="1"/>
  <c r="G82" i="15"/>
  <c r="H82" i="27" s="1"/>
  <c r="AE82" i="15"/>
  <c r="AF75" i="67" s="1"/>
  <c r="AG82" i="15"/>
  <c r="C83" i="15"/>
  <c r="J83" i="15" s="1"/>
  <c r="K76" i="67" s="1"/>
  <c r="D83" i="15"/>
  <c r="F83" i="15"/>
  <c r="G83" i="15"/>
  <c r="H83" i="27" s="1"/>
  <c r="AE83" i="15"/>
  <c r="AF76" i="67" s="1"/>
  <c r="AG83" i="15"/>
  <c r="AH76" i="67" s="1"/>
  <c r="C84" i="15"/>
  <c r="J84" i="15" s="1"/>
  <c r="D84" i="15"/>
  <c r="F84" i="15"/>
  <c r="G84" i="27" s="1"/>
  <c r="G84" i="15"/>
  <c r="H84" i="27" s="1"/>
  <c r="AE84" i="15"/>
  <c r="AF77" i="67" s="1"/>
  <c r="AG84" i="15"/>
  <c r="C85" i="15"/>
  <c r="J85" i="15" s="1"/>
  <c r="D85" i="15"/>
  <c r="F85" i="15"/>
  <c r="G85" i="27" s="1"/>
  <c r="G85" i="15"/>
  <c r="Q85" i="15" s="1"/>
  <c r="R78" i="67" s="1"/>
  <c r="AE85" i="15"/>
  <c r="AF78" i="67" s="1"/>
  <c r="AG85" i="15"/>
  <c r="C86" i="15"/>
  <c r="D86" i="27" s="1"/>
  <c r="K86" i="27" s="1"/>
  <c r="D86" i="15"/>
  <c r="F86" i="15"/>
  <c r="G86" i="15"/>
  <c r="Q86" i="15" s="1"/>
  <c r="R79" i="67" s="1"/>
  <c r="AE86" i="15"/>
  <c r="AF79" i="67" s="1"/>
  <c r="AG86" i="15"/>
  <c r="C87" i="15"/>
  <c r="D87" i="15"/>
  <c r="F87" i="15"/>
  <c r="G87" i="15"/>
  <c r="AE87" i="15"/>
  <c r="AF80" i="67" s="1"/>
  <c r="AG87" i="15"/>
  <c r="AH80" i="67" s="1"/>
  <c r="C88" i="15"/>
  <c r="J88" i="15" s="1"/>
  <c r="K81" i="67" s="1"/>
  <c r="D88" i="15"/>
  <c r="F88" i="15"/>
  <c r="G88" i="15"/>
  <c r="H88" i="27" s="1"/>
  <c r="AE88" i="15"/>
  <c r="AF81" i="67" s="1"/>
  <c r="AG88" i="15"/>
  <c r="O74" i="67"/>
  <c r="P74" i="67"/>
  <c r="AC74" i="67"/>
  <c r="AD74" i="67"/>
  <c r="AE74" i="67"/>
  <c r="AI74" i="67"/>
  <c r="AJ74" i="67"/>
  <c r="AM74" i="67"/>
  <c r="AY74" i="67"/>
  <c r="AZ74" i="67"/>
  <c r="I73" i="67"/>
  <c r="AC73" i="67"/>
  <c r="AD73" i="67"/>
  <c r="AE73" i="67"/>
  <c r="AI73" i="67"/>
  <c r="AJ73" i="67"/>
  <c r="AM73" i="67"/>
  <c r="AY73" i="67"/>
  <c r="AZ73" i="67"/>
  <c r="F80" i="15"/>
  <c r="P80" i="15" s="1"/>
  <c r="Q73" i="67" s="1"/>
  <c r="AG80" i="15"/>
  <c r="AH73" i="67" s="1"/>
  <c r="C80" i="15"/>
  <c r="J80" i="15" s="1"/>
  <c r="D80" i="15"/>
  <c r="K80" i="15" s="1"/>
  <c r="G80" i="15"/>
  <c r="Q80" i="15" s="1"/>
  <c r="R73" i="67" s="1"/>
  <c r="AE80" i="15"/>
  <c r="AF73" i="67" s="1"/>
  <c r="F79" i="15"/>
  <c r="P79" i="15" s="1"/>
  <c r="Q72" i="67" s="1"/>
  <c r="AG79" i="15"/>
  <c r="C79" i="15"/>
  <c r="J79" i="15" s="1"/>
  <c r="K72" i="67" s="1"/>
  <c r="D79" i="15"/>
  <c r="K79" i="15" s="1"/>
  <c r="G79" i="15"/>
  <c r="H79" i="27" s="1"/>
  <c r="AE79" i="15"/>
  <c r="AF72" i="67" s="1"/>
  <c r="I72" i="67"/>
  <c r="AC72" i="67"/>
  <c r="AD72" i="67"/>
  <c r="AE72" i="67"/>
  <c r="AI72" i="67"/>
  <c r="AJ72" i="67"/>
  <c r="AM72" i="67"/>
  <c r="AY72" i="67"/>
  <c r="AZ72" i="67"/>
  <c r="C78" i="15"/>
  <c r="J78" i="15" s="1"/>
  <c r="D78" i="15"/>
  <c r="F78" i="15"/>
  <c r="G78" i="27" s="1"/>
  <c r="G78" i="15"/>
  <c r="AC71" i="67"/>
  <c r="AD71" i="67"/>
  <c r="AE71" i="67"/>
  <c r="AI71" i="67"/>
  <c r="AJ71" i="67"/>
  <c r="AM71" i="67"/>
  <c r="AE78" i="15"/>
  <c r="AF71" i="67" s="1"/>
  <c r="AG78" i="15"/>
  <c r="AH71" i="67" s="1"/>
  <c r="I71" i="67"/>
  <c r="AY71" i="67"/>
  <c r="AZ71" i="67"/>
  <c r="AY70" i="67"/>
  <c r="AZ70" i="67"/>
  <c r="C77" i="15"/>
  <c r="D77" i="15"/>
  <c r="F77" i="15"/>
  <c r="G77" i="15"/>
  <c r="H77" i="27" s="1"/>
  <c r="AE77" i="15"/>
  <c r="AF70" i="67" s="1"/>
  <c r="AG77" i="15"/>
  <c r="AH70" i="67" s="1"/>
  <c r="AC70" i="67"/>
  <c r="AD70" i="67"/>
  <c r="AE70" i="67"/>
  <c r="AI70" i="67"/>
  <c r="AJ70" i="67"/>
  <c r="AM70" i="67"/>
  <c r="I70" i="67"/>
  <c r="AY68" i="67"/>
  <c r="AZ68" i="67"/>
  <c r="AY69" i="67"/>
  <c r="AZ69" i="67"/>
  <c r="F76" i="15"/>
  <c r="P76" i="15" s="1"/>
  <c r="Q69" i="67" s="1"/>
  <c r="C75" i="15"/>
  <c r="J75" i="15" s="1"/>
  <c r="K68" i="67" s="1"/>
  <c r="D75" i="15"/>
  <c r="F75" i="15"/>
  <c r="G75" i="15"/>
  <c r="Q75" i="15" s="1"/>
  <c r="R68" i="67" s="1"/>
  <c r="C76" i="15"/>
  <c r="J76" i="15" s="1"/>
  <c r="K69" i="67" s="1"/>
  <c r="D76" i="15"/>
  <c r="K76" i="15" s="1"/>
  <c r="G76" i="15"/>
  <c r="Q76" i="15" s="1"/>
  <c r="R69" i="67" s="1"/>
  <c r="AM68" i="67"/>
  <c r="AM69" i="67"/>
  <c r="C74" i="15"/>
  <c r="J74" i="15" s="1"/>
  <c r="K67" i="67" s="1"/>
  <c r="D74" i="15"/>
  <c r="K74" i="15" s="1"/>
  <c r="F74" i="15"/>
  <c r="G74" i="27" s="1"/>
  <c r="G74" i="15"/>
  <c r="AY67" i="67"/>
  <c r="BA67" i="67" s="1"/>
  <c r="AZ67" i="67"/>
  <c r="AM67" i="67"/>
  <c r="G73" i="15"/>
  <c r="Q73" i="15" s="1"/>
  <c r="R66" i="67" s="1"/>
  <c r="AM66" i="67"/>
  <c r="AY66" i="67"/>
  <c r="BA66" i="67" s="1"/>
  <c r="AZ66" i="67"/>
  <c r="C73" i="15"/>
  <c r="D73" i="27" s="1"/>
  <c r="K73" i="27" s="1"/>
  <c r="D73" i="15"/>
  <c r="F73" i="15"/>
  <c r="G73" i="27" s="1"/>
  <c r="C72" i="15"/>
  <c r="D72" i="15"/>
  <c r="F72" i="15"/>
  <c r="G72" i="15"/>
  <c r="C71" i="15"/>
  <c r="J71" i="15" s="1"/>
  <c r="D71" i="15"/>
  <c r="K71" i="15" s="1"/>
  <c r="F71" i="15"/>
  <c r="G71" i="15"/>
  <c r="Q71" i="15" s="1"/>
  <c r="R64" i="67" s="1"/>
  <c r="C70" i="15"/>
  <c r="D70" i="27" s="1"/>
  <c r="K70" i="27" s="1"/>
  <c r="D70" i="15"/>
  <c r="F70" i="15"/>
  <c r="G70" i="15"/>
  <c r="Q70" i="15" s="1"/>
  <c r="R63" i="67" s="1"/>
  <c r="C69" i="15"/>
  <c r="J69" i="15" s="1"/>
  <c r="K62" i="67" s="1"/>
  <c r="D69" i="15"/>
  <c r="F69" i="15"/>
  <c r="P69" i="15" s="1"/>
  <c r="Q62" i="67" s="1"/>
  <c r="G69" i="15"/>
  <c r="H69" i="27" s="1"/>
  <c r="C68" i="15"/>
  <c r="J68" i="15" s="1"/>
  <c r="K61" i="67" s="1"/>
  <c r="D68" i="15"/>
  <c r="F68" i="15"/>
  <c r="G68" i="15"/>
  <c r="H68" i="27" s="1"/>
  <c r="C67" i="15"/>
  <c r="D67" i="27" s="1"/>
  <c r="K67" i="27" s="1"/>
  <c r="D67" i="15"/>
  <c r="K67" i="15" s="1"/>
  <c r="F67" i="15"/>
  <c r="G67" i="27" s="1"/>
  <c r="G67" i="15"/>
  <c r="C66" i="15"/>
  <c r="D66" i="27" s="1"/>
  <c r="K66" i="27" s="1"/>
  <c r="D66" i="15"/>
  <c r="K66" i="15" s="1"/>
  <c r="F66" i="15"/>
  <c r="P66" i="15" s="1"/>
  <c r="Q59" i="67" s="1"/>
  <c r="G66" i="15"/>
  <c r="Q66" i="15" s="1"/>
  <c r="R59" i="67" s="1"/>
  <c r="C65" i="15"/>
  <c r="D65" i="27" s="1"/>
  <c r="K65" i="27" s="1"/>
  <c r="D65" i="15"/>
  <c r="F65" i="15"/>
  <c r="P65" i="15" s="1"/>
  <c r="G65" i="15"/>
  <c r="Q65" i="15" s="1"/>
  <c r="R58" i="67" s="1"/>
  <c r="C64" i="15"/>
  <c r="D64" i="15"/>
  <c r="K64" i="15" s="1"/>
  <c r="F64" i="15"/>
  <c r="G64" i="27" s="1"/>
  <c r="G64" i="15"/>
  <c r="Q64" i="15" s="1"/>
  <c r="R57" i="67" s="1"/>
  <c r="C63" i="15"/>
  <c r="D63" i="27" s="1"/>
  <c r="K63" i="27" s="1"/>
  <c r="D63" i="15"/>
  <c r="K63" i="15" s="1"/>
  <c r="F63" i="15"/>
  <c r="P63" i="15" s="1"/>
  <c r="G63" i="15"/>
  <c r="Q63" i="15" s="1"/>
  <c r="R56" i="67" s="1"/>
  <c r="C62" i="15"/>
  <c r="D62" i="15"/>
  <c r="K62" i="15" s="1"/>
  <c r="F62" i="15"/>
  <c r="G62" i="27" s="1"/>
  <c r="G62" i="15"/>
  <c r="Q62" i="15" s="1"/>
  <c r="R55" i="67" s="1"/>
  <c r="C61" i="15"/>
  <c r="D61" i="15"/>
  <c r="F61" i="15"/>
  <c r="P61" i="15" s="1"/>
  <c r="G61" i="15"/>
  <c r="Q61" i="15" s="1"/>
  <c r="C60" i="15"/>
  <c r="D60" i="27" s="1"/>
  <c r="K60" i="27" s="1"/>
  <c r="D60" i="15"/>
  <c r="F60" i="15"/>
  <c r="P60" i="15" s="1"/>
  <c r="Q53" i="67" s="1"/>
  <c r="G60" i="15"/>
  <c r="H60" i="27" s="1"/>
  <c r="C59" i="15"/>
  <c r="D59" i="15"/>
  <c r="F59" i="15"/>
  <c r="P59" i="15" s="1"/>
  <c r="G59" i="15"/>
  <c r="Q59" i="15" s="1"/>
  <c r="C58" i="15"/>
  <c r="J58" i="15" s="1"/>
  <c r="K51" i="67" s="1"/>
  <c r="D58" i="15"/>
  <c r="K58" i="15" s="1"/>
  <c r="F58" i="15"/>
  <c r="G58" i="15"/>
  <c r="H58" i="27" s="1"/>
  <c r="C57" i="15"/>
  <c r="D57" i="15"/>
  <c r="K57" i="15" s="1"/>
  <c r="F57" i="15"/>
  <c r="P57" i="15" s="1"/>
  <c r="G57" i="15"/>
  <c r="Q57" i="15" s="1"/>
  <c r="R50" i="67" s="1"/>
  <c r="C56" i="15"/>
  <c r="D56" i="15"/>
  <c r="K56" i="15" s="1"/>
  <c r="F56" i="15"/>
  <c r="P56" i="15" s="1"/>
  <c r="Q49" i="67" s="1"/>
  <c r="G56" i="15"/>
  <c r="C55" i="15"/>
  <c r="J55" i="15" s="1"/>
  <c r="K48" i="67" s="1"/>
  <c r="D55" i="15"/>
  <c r="F55" i="15"/>
  <c r="G55" i="27" s="1"/>
  <c r="G55" i="15"/>
  <c r="Q55" i="15" s="1"/>
  <c r="R48" i="67" s="1"/>
  <c r="C54" i="15"/>
  <c r="J54" i="15" s="1"/>
  <c r="K47" i="67" s="1"/>
  <c r="D54" i="15"/>
  <c r="K54" i="15" s="1"/>
  <c r="F54" i="15"/>
  <c r="G54" i="27" s="1"/>
  <c r="G54" i="15"/>
  <c r="Q54" i="15" s="1"/>
  <c r="R47" i="67" s="1"/>
  <c r="C53" i="15"/>
  <c r="D53" i="15"/>
  <c r="F53" i="15"/>
  <c r="P53" i="15" s="1"/>
  <c r="G53" i="15"/>
  <c r="C52" i="15"/>
  <c r="D52" i="27" s="1"/>
  <c r="K52" i="27" s="1"/>
  <c r="D52" i="15"/>
  <c r="K52" i="15" s="1"/>
  <c r="F52" i="15"/>
  <c r="G52" i="27" s="1"/>
  <c r="G52" i="15"/>
  <c r="Q52" i="15" s="1"/>
  <c r="R45" i="67" s="1"/>
  <c r="C51" i="15"/>
  <c r="D51" i="27" s="1"/>
  <c r="K51" i="27" s="1"/>
  <c r="D51" i="15"/>
  <c r="F51" i="15"/>
  <c r="G51" i="15"/>
  <c r="Q51" i="15" s="1"/>
  <c r="R44" i="67" s="1"/>
  <c r="C50" i="15"/>
  <c r="D50" i="15"/>
  <c r="F50" i="15"/>
  <c r="G50" i="27" s="1"/>
  <c r="G50" i="15"/>
  <c r="H50" i="27" s="1"/>
  <c r="C49" i="15"/>
  <c r="D49" i="15"/>
  <c r="F49" i="15"/>
  <c r="G49" i="27" s="1"/>
  <c r="G49" i="15"/>
  <c r="Q49" i="15" s="1"/>
  <c r="R42" i="67" s="1"/>
  <c r="C48" i="15"/>
  <c r="D48" i="27" s="1"/>
  <c r="K48" i="27" s="1"/>
  <c r="D48" i="15"/>
  <c r="F48" i="15"/>
  <c r="P48" i="15" s="1"/>
  <c r="Q41" i="67" s="1"/>
  <c r="G48" i="15"/>
  <c r="C47" i="15"/>
  <c r="D47" i="15"/>
  <c r="K47" i="15" s="1"/>
  <c r="F47" i="15"/>
  <c r="P47" i="15" s="1"/>
  <c r="Q40" i="67" s="1"/>
  <c r="G47" i="15"/>
  <c r="H47" i="27" s="1"/>
  <c r="C46" i="15"/>
  <c r="D46" i="27" s="1"/>
  <c r="K46" i="27" s="1"/>
  <c r="D46" i="15"/>
  <c r="F46" i="15"/>
  <c r="P46" i="15" s="1"/>
  <c r="Q39" i="67" s="1"/>
  <c r="G46" i="15"/>
  <c r="Q46" i="15" s="1"/>
  <c r="R39" i="67" s="1"/>
  <c r="C45" i="15"/>
  <c r="J45" i="15" s="1"/>
  <c r="K38" i="67" s="1"/>
  <c r="D45" i="15"/>
  <c r="F45" i="15"/>
  <c r="P45" i="15" s="1"/>
  <c r="Q38" i="67" s="1"/>
  <c r="G45" i="15"/>
  <c r="C44" i="15"/>
  <c r="D44" i="15"/>
  <c r="K44" i="15" s="1"/>
  <c r="F44" i="15"/>
  <c r="P44" i="15" s="1"/>
  <c r="G44" i="15"/>
  <c r="C43" i="15"/>
  <c r="D43" i="27" s="1"/>
  <c r="K43" i="27" s="1"/>
  <c r="D43" i="15"/>
  <c r="F43" i="15"/>
  <c r="G43" i="27" s="1"/>
  <c r="G43" i="15"/>
  <c r="Q43" i="15" s="1"/>
  <c r="C42" i="15"/>
  <c r="D42" i="15"/>
  <c r="K42" i="15" s="1"/>
  <c r="F42" i="15"/>
  <c r="G42" i="27" s="1"/>
  <c r="G42" i="15"/>
  <c r="C41" i="15"/>
  <c r="D41" i="15"/>
  <c r="K41" i="15" s="1"/>
  <c r="F41" i="15"/>
  <c r="G41" i="15"/>
  <c r="C40" i="15"/>
  <c r="D40" i="27" s="1"/>
  <c r="K40" i="27" s="1"/>
  <c r="D40" i="15"/>
  <c r="F40" i="15"/>
  <c r="G40" i="27" s="1"/>
  <c r="G40" i="15"/>
  <c r="C39" i="15"/>
  <c r="J39" i="15" s="1"/>
  <c r="D39" i="15"/>
  <c r="F39" i="15"/>
  <c r="G39" i="27" s="1"/>
  <c r="G39" i="15"/>
  <c r="H39" i="27" s="1"/>
  <c r="C38" i="15"/>
  <c r="D38" i="15"/>
  <c r="F38" i="15"/>
  <c r="G38" i="27" s="1"/>
  <c r="G38" i="15"/>
  <c r="C37" i="15"/>
  <c r="D37" i="15"/>
  <c r="F37" i="15"/>
  <c r="G37" i="15"/>
  <c r="C36" i="15"/>
  <c r="J36" i="15" s="1"/>
  <c r="K29" i="67" s="1"/>
  <c r="D36" i="15"/>
  <c r="F36" i="15"/>
  <c r="P36" i="15" s="1"/>
  <c r="Q29" i="67" s="1"/>
  <c r="G36" i="15"/>
  <c r="C35" i="15"/>
  <c r="J35" i="15" s="1"/>
  <c r="K28" i="67" s="1"/>
  <c r="D35" i="15"/>
  <c r="F35" i="15"/>
  <c r="G35" i="27" s="1"/>
  <c r="G35" i="15"/>
  <c r="C34" i="15"/>
  <c r="D34" i="27" s="1"/>
  <c r="K34" i="27" s="1"/>
  <c r="D34" i="15"/>
  <c r="F34" i="15"/>
  <c r="P34" i="15" s="1"/>
  <c r="Q27" i="67" s="1"/>
  <c r="G34" i="15"/>
  <c r="C33" i="15"/>
  <c r="D33" i="27" s="1"/>
  <c r="K33" i="27" s="1"/>
  <c r="D33" i="15"/>
  <c r="F33" i="15"/>
  <c r="G33" i="15"/>
  <c r="C32" i="15"/>
  <c r="D32" i="15"/>
  <c r="E32" i="27" s="1"/>
  <c r="L32" i="27" s="1"/>
  <c r="F32" i="15"/>
  <c r="G32" i="27" s="1"/>
  <c r="G32" i="15"/>
  <c r="C31" i="15"/>
  <c r="J31" i="15" s="1"/>
  <c r="K24" i="67" s="1"/>
  <c r="D31" i="15"/>
  <c r="F31" i="15"/>
  <c r="P31" i="15" s="1"/>
  <c r="G31" i="15"/>
  <c r="C30" i="15"/>
  <c r="D30" i="15"/>
  <c r="K30" i="15" s="1"/>
  <c r="F30" i="15"/>
  <c r="G30" i="15"/>
  <c r="Q30" i="15" s="1"/>
  <c r="R23" i="67" s="1"/>
  <c r="C29" i="15"/>
  <c r="D29" i="15"/>
  <c r="K29" i="15" s="1"/>
  <c r="F29" i="15"/>
  <c r="P29" i="15" s="1"/>
  <c r="Q22" i="67" s="1"/>
  <c r="G29" i="15"/>
  <c r="C28" i="15"/>
  <c r="J28" i="15" s="1"/>
  <c r="K21" i="67" s="1"/>
  <c r="D28" i="15"/>
  <c r="F28" i="15"/>
  <c r="G28" i="27" s="1"/>
  <c r="G28" i="15"/>
  <c r="C27" i="15"/>
  <c r="J27" i="15" s="1"/>
  <c r="K20" i="67" s="1"/>
  <c r="D27" i="15"/>
  <c r="F27" i="15"/>
  <c r="G27" i="27" s="1"/>
  <c r="G27" i="15"/>
  <c r="C26" i="15"/>
  <c r="D26" i="15"/>
  <c r="F26" i="15"/>
  <c r="G26" i="27" s="1"/>
  <c r="G26" i="15"/>
  <c r="Q26" i="15" s="1"/>
  <c r="R19" i="67" s="1"/>
  <c r="C25" i="15"/>
  <c r="J25" i="15" s="1"/>
  <c r="K18" i="67" s="1"/>
  <c r="D25" i="15"/>
  <c r="K25" i="15" s="1"/>
  <c r="F25" i="15"/>
  <c r="G25" i="15"/>
  <c r="C24" i="15"/>
  <c r="D24" i="27" s="1"/>
  <c r="K24" i="27" s="1"/>
  <c r="D24" i="15"/>
  <c r="K24" i="15" s="1"/>
  <c r="F24" i="15"/>
  <c r="P24" i="15" s="1"/>
  <c r="G24" i="15"/>
  <c r="C23" i="15"/>
  <c r="J23" i="15" s="1"/>
  <c r="D23" i="15"/>
  <c r="K23" i="15" s="1"/>
  <c r="F23" i="15"/>
  <c r="G23" i="15"/>
  <c r="C22" i="15"/>
  <c r="J22" i="15" s="1"/>
  <c r="K15" i="67" s="1"/>
  <c r="D22" i="15"/>
  <c r="F22" i="15"/>
  <c r="P22" i="15" s="1"/>
  <c r="G22" i="15"/>
  <c r="C21" i="15"/>
  <c r="J21" i="15" s="1"/>
  <c r="K14" i="67" s="1"/>
  <c r="D21" i="15"/>
  <c r="K21" i="15" s="1"/>
  <c r="F21" i="15"/>
  <c r="G21" i="15"/>
  <c r="Q21" i="15" s="1"/>
  <c r="R14" i="67" s="1"/>
  <c r="C20" i="15"/>
  <c r="D20" i="27" s="1"/>
  <c r="K20" i="27" s="1"/>
  <c r="D20" i="15"/>
  <c r="K20" i="15" s="1"/>
  <c r="F20" i="15"/>
  <c r="P20" i="15" s="1"/>
  <c r="Q13" i="67" s="1"/>
  <c r="G20" i="15"/>
  <c r="Q20" i="15" s="1"/>
  <c r="R13" i="67" s="1"/>
  <c r="C19" i="15"/>
  <c r="D19" i="15"/>
  <c r="F19" i="15"/>
  <c r="P19" i="15" s="1"/>
  <c r="Q12" i="67" s="1"/>
  <c r="G19" i="15"/>
  <c r="H19" i="27" s="1"/>
  <c r="C18" i="15"/>
  <c r="J18" i="15" s="1"/>
  <c r="K11" i="67" s="1"/>
  <c r="D18" i="15"/>
  <c r="K18" i="15" s="1"/>
  <c r="F18" i="15"/>
  <c r="P18" i="15" s="1"/>
  <c r="G18" i="15"/>
  <c r="C17" i="15"/>
  <c r="J17" i="15" s="1"/>
  <c r="K10" i="67" s="1"/>
  <c r="D17" i="15"/>
  <c r="F17" i="15"/>
  <c r="G17" i="15"/>
  <c r="H17" i="27" s="1"/>
  <c r="C16" i="15"/>
  <c r="J16" i="15" s="1"/>
  <c r="K9" i="67" s="1"/>
  <c r="D16" i="15"/>
  <c r="K16" i="15" s="1"/>
  <c r="F16" i="15"/>
  <c r="G16" i="15"/>
  <c r="C15" i="15"/>
  <c r="D15" i="15"/>
  <c r="F15" i="15"/>
  <c r="G15" i="15"/>
  <c r="H15" i="27" s="1"/>
  <c r="C14" i="15"/>
  <c r="D14" i="15"/>
  <c r="K14" i="15" s="1"/>
  <c r="F14" i="15"/>
  <c r="P14" i="15" s="1"/>
  <c r="G14" i="15"/>
  <c r="H14" i="27" s="1"/>
  <c r="C13" i="15"/>
  <c r="J13" i="15" s="1"/>
  <c r="D13" i="15"/>
  <c r="F13" i="15"/>
  <c r="P13" i="15" s="1"/>
  <c r="Q6" i="67" s="1"/>
  <c r="G13" i="15"/>
  <c r="Q13" i="15" s="1"/>
  <c r="R6" i="67" s="1"/>
  <c r="C12" i="15"/>
  <c r="D12" i="27" s="1"/>
  <c r="K12" i="27" s="1"/>
  <c r="D12" i="15"/>
  <c r="F12" i="15"/>
  <c r="G12" i="15"/>
  <c r="H12" i="27" s="1"/>
  <c r="C11" i="15"/>
  <c r="J11" i="15" s="1"/>
  <c r="K4" i="67" s="1"/>
  <c r="D11" i="15"/>
  <c r="F11" i="15"/>
  <c r="P11" i="15" s="1"/>
  <c r="Q4" i="67" s="1"/>
  <c r="G11" i="15"/>
  <c r="H11" i="27" s="1"/>
  <c r="C10" i="15"/>
  <c r="D10" i="27" s="1"/>
  <c r="K10" i="27" s="1"/>
  <c r="D10" i="15"/>
  <c r="K10" i="15" s="1"/>
  <c r="F10" i="15"/>
  <c r="P10" i="15" s="1"/>
  <c r="Q3" i="67" s="1"/>
  <c r="G10" i="15"/>
  <c r="C9" i="15"/>
  <c r="J9" i="15" s="1"/>
  <c r="K2" i="67" s="1"/>
  <c r="D9" i="15"/>
  <c r="K9" i="15" s="1"/>
  <c r="F9" i="15"/>
  <c r="G9" i="15"/>
  <c r="Q9" i="15" s="1"/>
  <c r="R2" i="67" s="1"/>
  <c r="AY65" i="67"/>
  <c r="AZ65" i="67"/>
  <c r="AM65" i="67"/>
  <c r="O65" i="67"/>
  <c r="P65" i="67"/>
  <c r="AG71" i="15"/>
  <c r="AH64" i="67" s="1"/>
  <c r="AE71" i="15"/>
  <c r="AF64" i="67" s="1"/>
  <c r="AY64" i="67"/>
  <c r="AZ64" i="67"/>
  <c r="AM64" i="67"/>
  <c r="O64" i="67"/>
  <c r="P64" i="67"/>
  <c r="AE70" i="15"/>
  <c r="AY62" i="67"/>
  <c r="AZ62" i="67"/>
  <c r="AY63" i="67"/>
  <c r="AZ63" i="67"/>
  <c r="O62" i="67"/>
  <c r="P62" i="67"/>
  <c r="AC62" i="67"/>
  <c r="AD62" i="67"/>
  <c r="AE62" i="67"/>
  <c r="AE69" i="15"/>
  <c r="AF62" i="67" s="1"/>
  <c r="AI62" i="67"/>
  <c r="AJ62" i="67"/>
  <c r="AM62" i="67"/>
  <c r="O63" i="67"/>
  <c r="P63" i="67"/>
  <c r="AC63" i="67"/>
  <c r="AD63" i="67"/>
  <c r="AE63" i="67"/>
  <c r="AI63" i="67"/>
  <c r="AJ63" i="67"/>
  <c r="AM63" i="67"/>
  <c r="AG68" i="15"/>
  <c r="AE68" i="15"/>
  <c r="AF61" i="67" s="1"/>
  <c r="AY61" i="67"/>
  <c r="AZ61" i="67"/>
  <c r="AM61" i="67"/>
  <c r="O61" i="67"/>
  <c r="P61" i="67"/>
  <c r="AE10" i="15"/>
  <c r="AF3" i="67" s="1"/>
  <c r="AG10" i="15"/>
  <c r="AE11" i="15"/>
  <c r="AF4" i="67" s="1"/>
  <c r="AG11" i="15"/>
  <c r="AH4" i="67" s="1"/>
  <c r="AE12" i="15"/>
  <c r="AF5" i="67" s="1"/>
  <c r="AG12" i="15"/>
  <c r="AH5" i="67" s="1"/>
  <c r="AE13" i="15"/>
  <c r="AF6" i="67" s="1"/>
  <c r="AG13" i="15"/>
  <c r="AH6" i="67" s="1"/>
  <c r="AE14" i="15"/>
  <c r="AF7" i="67" s="1"/>
  <c r="AG14" i="15"/>
  <c r="AE15" i="15"/>
  <c r="AF8" i="67" s="1"/>
  <c r="AG15" i="15"/>
  <c r="AH8" i="67" s="1"/>
  <c r="AE16" i="15"/>
  <c r="AF9" i="67" s="1"/>
  <c r="AG16" i="15"/>
  <c r="AH9" i="67" s="1"/>
  <c r="AE17" i="15"/>
  <c r="AF10" i="67" s="1"/>
  <c r="AG17" i="15"/>
  <c r="AH10" i="67" s="1"/>
  <c r="AE18" i="15"/>
  <c r="AF11" i="67" s="1"/>
  <c r="AG18" i="15"/>
  <c r="AH11" i="67" s="1"/>
  <c r="AE19" i="15"/>
  <c r="AF12" i="67" s="1"/>
  <c r="AG19" i="15"/>
  <c r="AE20" i="15"/>
  <c r="AF13" i="67" s="1"/>
  <c r="AG20" i="15"/>
  <c r="AE21" i="15"/>
  <c r="AF14" i="67" s="1"/>
  <c r="AG21" i="15"/>
  <c r="AH14" i="67" s="1"/>
  <c r="AE22" i="15"/>
  <c r="AF15" i="67" s="1"/>
  <c r="AG22" i="15"/>
  <c r="AH15" i="67" s="1"/>
  <c r="AE23" i="15"/>
  <c r="AF16" i="67" s="1"/>
  <c r="AG23" i="15"/>
  <c r="AH16" i="67" s="1"/>
  <c r="AE24" i="15"/>
  <c r="AF17" i="67" s="1"/>
  <c r="AG24" i="15"/>
  <c r="AH17" i="67" s="1"/>
  <c r="AE25" i="15"/>
  <c r="AF18" i="67" s="1"/>
  <c r="AG25" i="15"/>
  <c r="AH18" i="67" s="1"/>
  <c r="AE26" i="15"/>
  <c r="AF19" i="67" s="1"/>
  <c r="AG26" i="15"/>
  <c r="AH19" i="67" s="1"/>
  <c r="AE27" i="15"/>
  <c r="AF20" i="67" s="1"/>
  <c r="AG27" i="15"/>
  <c r="AE28" i="15"/>
  <c r="AF21" i="67" s="1"/>
  <c r="AG28" i="15"/>
  <c r="AH21" i="67" s="1"/>
  <c r="AE29" i="15"/>
  <c r="AF22" i="67" s="1"/>
  <c r="AG29" i="15"/>
  <c r="AE30" i="15"/>
  <c r="AF23" i="67" s="1"/>
  <c r="AG30" i="15"/>
  <c r="AH23" i="67" s="1"/>
  <c r="AE31" i="15"/>
  <c r="AF24" i="67" s="1"/>
  <c r="AG31" i="15"/>
  <c r="AH24" i="67" s="1"/>
  <c r="AE32" i="15"/>
  <c r="AF25" i="67" s="1"/>
  <c r="AG32" i="15"/>
  <c r="AH25" i="67" s="1"/>
  <c r="AE33" i="15"/>
  <c r="AF26" i="67" s="1"/>
  <c r="AG33" i="15"/>
  <c r="AH26" i="67" s="1"/>
  <c r="AE34" i="15"/>
  <c r="AF27" i="67" s="1"/>
  <c r="AG34" i="15"/>
  <c r="AH27" i="67" s="1"/>
  <c r="AE35" i="15"/>
  <c r="AF28" i="67" s="1"/>
  <c r="AG35" i="15"/>
  <c r="AH28" i="67" s="1"/>
  <c r="AE36" i="15"/>
  <c r="AF29" i="67" s="1"/>
  <c r="AG36" i="15"/>
  <c r="AE37" i="15"/>
  <c r="AF30" i="67" s="1"/>
  <c r="AG37" i="15"/>
  <c r="AH30" i="67" s="1"/>
  <c r="AE38" i="15"/>
  <c r="AF31" i="67" s="1"/>
  <c r="AG38" i="15"/>
  <c r="AH31" i="67" s="1"/>
  <c r="AE39" i="15"/>
  <c r="AF32" i="67" s="1"/>
  <c r="AG39" i="15"/>
  <c r="AH32" i="67" s="1"/>
  <c r="AE40" i="15"/>
  <c r="AF33" i="67" s="1"/>
  <c r="AG40" i="15"/>
  <c r="AH33" i="67" s="1"/>
  <c r="AE41" i="15"/>
  <c r="AF34" i="67" s="1"/>
  <c r="AG41" i="15"/>
  <c r="AE42" i="15"/>
  <c r="AF35" i="67" s="1"/>
  <c r="AG42" i="15"/>
  <c r="AE43" i="15"/>
  <c r="AF36" i="67" s="1"/>
  <c r="AG43" i="15"/>
  <c r="AH36" i="67" s="1"/>
  <c r="AE44" i="15"/>
  <c r="AF37" i="67" s="1"/>
  <c r="AG44" i="15"/>
  <c r="AH37" i="67" s="1"/>
  <c r="AE45" i="15"/>
  <c r="AF38" i="67" s="1"/>
  <c r="AG45" i="15"/>
  <c r="AH38" i="67" s="1"/>
  <c r="AE46" i="15"/>
  <c r="AG46" i="15"/>
  <c r="AH39" i="67" s="1"/>
  <c r="AE47" i="15"/>
  <c r="AG47" i="15"/>
  <c r="AH40" i="67" s="1"/>
  <c r="AE48" i="15"/>
  <c r="AF41" i="67" s="1"/>
  <c r="AG48" i="15"/>
  <c r="AH41" i="67" s="1"/>
  <c r="AE49" i="15"/>
  <c r="AG49" i="15"/>
  <c r="AE50" i="15"/>
  <c r="AF43" i="67" s="1"/>
  <c r="AG50" i="15"/>
  <c r="AE51" i="15"/>
  <c r="AF44" i="67" s="1"/>
  <c r="AG51" i="15"/>
  <c r="AE52" i="15"/>
  <c r="AF45" i="67" s="1"/>
  <c r="AG52" i="15"/>
  <c r="AH45" i="67" s="1"/>
  <c r="AE53" i="15"/>
  <c r="AF46" i="67" s="1"/>
  <c r="AG53" i="15"/>
  <c r="AH46" i="67" s="1"/>
  <c r="AE54" i="15"/>
  <c r="AG54" i="15"/>
  <c r="AH47" i="67" s="1"/>
  <c r="AE55" i="15"/>
  <c r="AF48" i="67" s="1"/>
  <c r="AG55" i="15"/>
  <c r="AE56" i="15"/>
  <c r="AF49" i="67" s="1"/>
  <c r="AG56" i="15"/>
  <c r="AH49" i="67" s="1"/>
  <c r="AE57" i="15"/>
  <c r="AF50" i="67" s="1"/>
  <c r="AG57" i="15"/>
  <c r="AE58" i="15"/>
  <c r="AF51" i="67" s="1"/>
  <c r="AG58" i="15"/>
  <c r="AH51" i="67" s="1"/>
  <c r="AE59" i="15"/>
  <c r="AF52" i="67" s="1"/>
  <c r="AG59" i="15"/>
  <c r="AE60" i="15"/>
  <c r="AF53" i="67" s="1"/>
  <c r="AG60" i="15"/>
  <c r="AH53" i="67" s="1"/>
  <c r="AE61" i="15"/>
  <c r="AF54" i="67" s="1"/>
  <c r="AG61" i="15"/>
  <c r="AH54" i="67" s="1"/>
  <c r="AE62" i="15"/>
  <c r="AF55" i="67" s="1"/>
  <c r="AG62" i="15"/>
  <c r="AH55" i="67" s="1"/>
  <c r="AE63" i="15"/>
  <c r="AF56" i="67" s="1"/>
  <c r="AG63" i="15"/>
  <c r="AH56" i="67" s="1"/>
  <c r="AE64" i="15"/>
  <c r="AF57" i="67" s="1"/>
  <c r="AG64" i="15"/>
  <c r="AE65" i="15"/>
  <c r="AF58" i="67" s="1"/>
  <c r="AG65" i="15"/>
  <c r="AE66" i="15"/>
  <c r="AG66" i="15"/>
  <c r="AE67" i="15"/>
  <c r="AG67" i="15"/>
  <c r="AH60" i="67" s="1"/>
  <c r="AG9" i="15"/>
  <c r="AH2" i="67" s="1"/>
  <c r="AE9" i="15"/>
  <c r="AF2" i="67" s="1"/>
  <c r="BB2" i="67" s="1"/>
  <c r="AJ69" i="67"/>
  <c r="AI69" i="67"/>
  <c r="AG76" i="15"/>
  <c r="AH69" i="67" s="1"/>
  <c r="AE76" i="15"/>
  <c r="AF69" i="67" s="1"/>
  <c r="AE69" i="67"/>
  <c r="AD69" i="67"/>
  <c r="AC69" i="67"/>
  <c r="AJ68" i="67"/>
  <c r="AI68" i="67"/>
  <c r="AG75" i="15"/>
  <c r="AE75" i="15"/>
  <c r="AF68" i="67" s="1"/>
  <c r="AE68" i="67"/>
  <c r="AD68" i="67"/>
  <c r="AC68" i="67"/>
  <c r="AJ67" i="67"/>
  <c r="AI67" i="67"/>
  <c r="AG74" i="15"/>
  <c r="AH67" i="67" s="1"/>
  <c r="AE74" i="15"/>
  <c r="AF67" i="67" s="1"/>
  <c r="AE67" i="67"/>
  <c r="AD67" i="67"/>
  <c r="AC67" i="67"/>
  <c r="AJ66" i="67"/>
  <c r="AI66" i="67"/>
  <c r="AG73" i="15"/>
  <c r="AE73" i="15"/>
  <c r="AF66" i="67" s="1"/>
  <c r="AE66" i="67"/>
  <c r="AD66" i="67"/>
  <c r="AC66" i="67"/>
  <c r="AJ65" i="67"/>
  <c r="AI65" i="67"/>
  <c r="AG72" i="15"/>
  <c r="AH65" i="67" s="1"/>
  <c r="AE72" i="15"/>
  <c r="AE65" i="67"/>
  <c r="AD65" i="67"/>
  <c r="AC65" i="67"/>
  <c r="AJ64" i="67"/>
  <c r="AI64" i="67"/>
  <c r="AE64" i="67"/>
  <c r="AD64" i="67"/>
  <c r="AC64" i="67"/>
  <c r="AJ61" i="67"/>
  <c r="AI61" i="67"/>
  <c r="AE61" i="67"/>
  <c r="AD61" i="67"/>
  <c r="AC61" i="67"/>
  <c r="AM60" i="67"/>
  <c r="AJ60" i="67"/>
  <c r="AI60" i="67"/>
  <c r="AE60" i="67"/>
  <c r="AD60" i="67"/>
  <c r="AC60" i="67"/>
  <c r="P60" i="67"/>
  <c r="O60" i="67"/>
  <c r="I60" i="67"/>
  <c r="AM59" i="67"/>
  <c r="AJ59" i="67"/>
  <c r="AI59" i="67"/>
  <c r="AE59" i="67"/>
  <c r="AD59" i="67"/>
  <c r="AC59" i="67"/>
  <c r="P59" i="67"/>
  <c r="O59" i="67"/>
  <c r="I59" i="67"/>
  <c r="AM58" i="67"/>
  <c r="AJ58" i="67"/>
  <c r="AI58" i="67"/>
  <c r="AE58" i="67"/>
  <c r="AD58" i="67"/>
  <c r="AC58" i="67"/>
  <c r="P58" i="67"/>
  <c r="O58" i="67"/>
  <c r="I58" i="67"/>
  <c r="AM57" i="67"/>
  <c r="AJ57" i="67"/>
  <c r="AI57" i="67"/>
  <c r="AE57" i="67"/>
  <c r="AD57" i="67"/>
  <c r="AC57" i="67"/>
  <c r="P57" i="67"/>
  <c r="O57" i="67"/>
  <c r="I57" i="67"/>
  <c r="AM56" i="67"/>
  <c r="AJ56" i="67"/>
  <c r="AI56" i="67"/>
  <c r="AE56" i="67"/>
  <c r="AD56" i="67"/>
  <c r="AC56" i="67"/>
  <c r="P56" i="67"/>
  <c r="O56" i="67"/>
  <c r="I56" i="67"/>
  <c r="AM55" i="67"/>
  <c r="AJ55" i="67"/>
  <c r="AI55" i="67"/>
  <c r="AE55" i="67"/>
  <c r="AD55" i="67"/>
  <c r="AC55" i="67"/>
  <c r="P55" i="67"/>
  <c r="O55" i="67"/>
  <c r="I55" i="67"/>
  <c r="AM54" i="67"/>
  <c r="AJ54" i="67"/>
  <c r="AI54" i="67"/>
  <c r="AE54" i="67"/>
  <c r="AD54" i="67"/>
  <c r="AC54" i="67"/>
  <c r="P54" i="67"/>
  <c r="O54" i="67"/>
  <c r="I54" i="67"/>
  <c r="AM53" i="67"/>
  <c r="AJ53" i="67"/>
  <c r="AI53" i="67"/>
  <c r="AE53" i="67"/>
  <c r="AD53" i="67"/>
  <c r="AC53" i="67"/>
  <c r="P53" i="67"/>
  <c r="O53" i="67"/>
  <c r="I53" i="67"/>
  <c r="AM52" i="67"/>
  <c r="AJ52" i="67"/>
  <c r="AI52" i="67"/>
  <c r="AE52" i="67"/>
  <c r="AD52" i="67"/>
  <c r="AC52" i="67"/>
  <c r="P52" i="67"/>
  <c r="O52" i="67"/>
  <c r="I52" i="67"/>
  <c r="AM51" i="67"/>
  <c r="AJ51" i="67"/>
  <c r="AI51" i="67"/>
  <c r="AE51" i="67"/>
  <c r="AD51" i="67"/>
  <c r="AC51" i="67"/>
  <c r="P51" i="67"/>
  <c r="O51" i="67"/>
  <c r="I51" i="67"/>
  <c r="AM50" i="67"/>
  <c r="AJ50" i="67"/>
  <c r="AI50" i="67"/>
  <c r="AE50" i="67"/>
  <c r="AD50" i="67"/>
  <c r="AC50" i="67"/>
  <c r="P50" i="67"/>
  <c r="O50" i="67"/>
  <c r="I50" i="67"/>
  <c r="AM49" i="67"/>
  <c r="AJ49" i="67"/>
  <c r="AI49" i="67"/>
  <c r="AE49" i="67"/>
  <c r="AD49" i="67"/>
  <c r="AC49" i="67"/>
  <c r="P49" i="67"/>
  <c r="O49" i="67"/>
  <c r="I49" i="67"/>
  <c r="AM48" i="67"/>
  <c r="AJ48" i="67"/>
  <c r="AI48" i="67"/>
  <c r="AE48" i="67"/>
  <c r="AD48" i="67"/>
  <c r="AC48" i="67"/>
  <c r="P48" i="67"/>
  <c r="O48" i="67"/>
  <c r="I48" i="67"/>
  <c r="AM47" i="67"/>
  <c r="AJ47" i="67"/>
  <c r="AI47" i="67"/>
  <c r="AE47" i="67"/>
  <c r="AD47" i="67"/>
  <c r="AC47" i="67"/>
  <c r="P47" i="67"/>
  <c r="O47" i="67"/>
  <c r="I47" i="67"/>
  <c r="AM46" i="67"/>
  <c r="AJ46" i="67"/>
  <c r="AI46" i="67"/>
  <c r="AE46" i="67"/>
  <c r="AD46" i="67"/>
  <c r="AC46" i="67"/>
  <c r="P46" i="67"/>
  <c r="O46" i="67"/>
  <c r="I46" i="67"/>
  <c r="AM45" i="67"/>
  <c r="AJ45" i="67"/>
  <c r="AI45" i="67"/>
  <c r="AE45" i="67"/>
  <c r="AD45" i="67"/>
  <c r="AC45" i="67"/>
  <c r="P45" i="67"/>
  <c r="O45" i="67"/>
  <c r="I45" i="67"/>
  <c r="AM44" i="67"/>
  <c r="AJ44" i="67"/>
  <c r="AI44" i="67"/>
  <c r="AE44" i="67"/>
  <c r="AD44" i="67"/>
  <c r="AC44" i="67"/>
  <c r="P44" i="67"/>
  <c r="O44" i="67"/>
  <c r="I44" i="67"/>
  <c r="AM43" i="67"/>
  <c r="AJ43" i="67"/>
  <c r="AI43" i="67"/>
  <c r="AE43" i="67"/>
  <c r="AD43" i="67"/>
  <c r="AC43" i="67"/>
  <c r="P43" i="67"/>
  <c r="O43" i="67"/>
  <c r="I43" i="67"/>
  <c r="AM42" i="67"/>
  <c r="AJ42" i="67"/>
  <c r="AI42" i="67"/>
  <c r="AE42" i="67"/>
  <c r="AD42" i="67"/>
  <c r="AC42" i="67"/>
  <c r="P42" i="67"/>
  <c r="O42" i="67"/>
  <c r="I42" i="67"/>
  <c r="AM41" i="67"/>
  <c r="AJ41" i="67"/>
  <c r="AI41" i="67"/>
  <c r="AE41" i="67"/>
  <c r="AD41" i="67"/>
  <c r="AC41" i="67"/>
  <c r="P41" i="67"/>
  <c r="O41" i="67"/>
  <c r="I41" i="67"/>
  <c r="AM40" i="67"/>
  <c r="AJ40" i="67"/>
  <c r="AI40" i="67"/>
  <c r="AE40" i="67"/>
  <c r="AD40" i="67"/>
  <c r="AC40" i="67"/>
  <c r="P40" i="67"/>
  <c r="O40" i="67"/>
  <c r="I40" i="67"/>
  <c r="AM39" i="67"/>
  <c r="AJ39" i="67"/>
  <c r="AI39" i="67"/>
  <c r="AE39" i="67"/>
  <c r="AD39" i="67"/>
  <c r="AC39" i="67"/>
  <c r="P39" i="67"/>
  <c r="O39" i="67"/>
  <c r="I39" i="67"/>
  <c r="AM38" i="67"/>
  <c r="AJ38" i="67"/>
  <c r="AI38" i="67"/>
  <c r="AE38" i="67"/>
  <c r="AD38" i="67"/>
  <c r="AC38" i="67"/>
  <c r="P38" i="67"/>
  <c r="O38" i="67"/>
  <c r="I38" i="67"/>
  <c r="AM37" i="67"/>
  <c r="AJ37" i="67"/>
  <c r="AI37" i="67"/>
  <c r="AE37" i="67"/>
  <c r="AD37" i="67"/>
  <c r="AC37" i="67"/>
  <c r="P37" i="67"/>
  <c r="O37" i="67"/>
  <c r="I37" i="67"/>
  <c r="AM36" i="67"/>
  <c r="AJ36" i="67"/>
  <c r="AI36" i="67"/>
  <c r="AE36" i="67"/>
  <c r="AD36" i="67"/>
  <c r="AC36" i="67"/>
  <c r="P36" i="67"/>
  <c r="O36" i="67"/>
  <c r="I36" i="67"/>
  <c r="AM35" i="67"/>
  <c r="AJ35" i="67"/>
  <c r="AI35" i="67"/>
  <c r="AE35" i="67"/>
  <c r="AD35" i="67"/>
  <c r="AC35" i="67"/>
  <c r="P35" i="67"/>
  <c r="O35" i="67"/>
  <c r="I35" i="67"/>
  <c r="AM34" i="67"/>
  <c r="AJ34" i="67"/>
  <c r="AI34" i="67"/>
  <c r="AE34" i="67"/>
  <c r="AD34" i="67"/>
  <c r="AC34" i="67"/>
  <c r="P34" i="67"/>
  <c r="O34" i="67"/>
  <c r="I34" i="67"/>
  <c r="AM33" i="67"/>
  <c r="AJ33" i="67"/>
  <c r="AI33" i="67"/>
  <c r="AE33" i="67"/>
  <c r="AD33" i="67"/>
  <c r="AC33" i="67"/>
  <c r="P33" i="67"/>
  <c r="O33" i="67"/>
  <c r="I33" i="67"/>
  <c r="AM32" i="67"/>
  <c r="AJ32" i="67"/>
  <c r="AI32" i="67"/>
  <c r="AE32" i="67"/>
  <c r="AD32" i="67"/>
  <c r="AC32" i="67"/>
  <c r="P32" i="67"/>
  <c r="O32" i="67"/>
  <c r="I32" i="67"/>
  <c r="AM31" i="67"/>
  <c r="AJ31" i="67"/>
  <c r="AI31" i="67"/>
  <c r="AE31" i="67"/>
  <c r="AD31" i="67"/>
  <c r="AC31" i="67"/>
  <c r="P31" i="67"/>
  <c r="O31" i="67"/>
  <c r="I31" i="67"/>
  <c r="AM30" i="67"/>
  <c r="AJ30" i="67"/>
  <c r="AI30" i="67"/>
  <c r="AE30" i="67"/>
  <c r="AD30" i="67"/>
  <c r="AC30" i="67"/>
  <c r="P30" i="67"/>
  <c r="O30" i="67"/>
  <c r="I30" i="67"/>
  <c r="AM29" i="67"/>
  <c r="AJ29" i="67"/>
  <c r="AI29" i="67"/>
  <c r="AE29" i="67"/>
  <c r="AD29" i="67"/>
  <c r="AC29" i="67"/>
  <c r="P29" i="67"/>
  <c r="O29" i="67"/>
  <c r="I29" i="67"/>
  <c r="AM28" i="67"/>
  <c r="AJ28" i="67"/>
  <c r="AI28" i="67"/>
  <c r="AE28" i="67"/>
  <c r="AD28" i="67"/>
  <c r="AC28" i="67"/>
  <c r="P28" i="67"/>
  <c r="O28" i="67"/>
  <c r="I28" i="67"/>
  <c r="AM27" i="67"/>
  <c r="AJ27" i="67"/>
  <c r="AI27" i="67"/>
  <c r="AE27" i="67"/>
  <c r="AD27" i="67"/>
  <c r="AC27" i="67"/>
  <c r="P27" i="67"/>
  <c r="O27" i="67"/>
  <c r="I27" i="67"/>
  <c r="AM26" i="67"/>
  <c r="AJ26" i="67"/>
  <c r="AI26" i="67"/>
  <c r="AE26" i="67"/>
  <c r="AD26" i="67"/>
  <c r="AC26" i="67"/>
  <c r="P26" i="67"/>
  <c r="O26" i="67"/>
  <c r="I26" i="67"/>
  <c r="AM25" i="67"/>
  <c r="AJ25" i="67"/>
  <c r="AI25" i="67"/>
  <c r="AE25" i="67"/>
  <c r="AD25" i="67"/>
  <c r="AC25" i="67"/>
  <c r="P25" i="67"/>
  <c r="O25" i="67"/>
  <c r="I25" i="67"/>
  <c r="AM24" i="67"/>
  <c r="AJ24" i="67"/>
  <c r="AI24" i="67"/>
  <c r="AE24" i="67"/>
  <c r="AD24" i="67"/>
  <c r="AC24" i="67"/>
  <c r="P24" i="67"/>
  <c r="O24" i="67"/>
  <c r="I24" i="67"/>
  <c r="AM23" i="67"/>
  <c r="AJ23" i="67"/>
  <c r="AI23" i="67"/>
  <c r="AE23" i="67"/>
  <c r="AD23" i="67"/>
  <c r="AC23" i="67"/>
  <c r="P23" i="67"/>
  <c r="O23" i="67"/>
  <c r="I23" i="67"/>
  <c r="AM22" i="67"/>
  <c r="AJ22" i="67"/>
  <c r="AI22" i="67"/>
  <c r="AE22" i="67"/>
  <c r="AD22" i="67"/>
  <c r="AC22" i="67"/>
  <c r="P22" i="67"/>
  <c r="O22" i="67"/>
  <c r="I22" i="67"/>
  <c r="AM21" i="67"/>
  <c r="AJ21" i="67"/>
  <c r="AI21" i="67"/>
  <c r="AE21" i="67"/>
  <c r="AD21" i="67"/>
  <c r="AC21" i="67"/>
  <c r="P21" i="67"/>
  <c r="O21" i="67"/>
  <c r="I21" i="67"/>
  <c r="AM20" i="67"/>
  <c r="AJ20" i="67"/>
  <c r="AI20" i="67"/>
  <c r="AE20" i="67"/>
  <c r="AD20" i="67"/>
  <c r="AC20" i="67"/>
  <c r="P20" i="67"/>
  <c r="O20" i="67"/>
  <c r="I20" i="67"/>
  <c r="AM19" i="67"/>
  <c r="AJ19" i="67"/>
  <c r="AI19" i="67"/>
  <c r="AE19" i="67"/>
  <c r="AD19" i="67"/>
  <c r="AC19" i="67"/>
  <c r="P19" i="67"/>
  <c r="O19" i="67"/>
  <c r="I19" i="67"/>
  <c r="AM18" i="67"/>
  <c r="AJ18" i="67"/>
  <c r="AI18" i="67"/>
  <c r="AE18" i="67"/>
  <c r="AD18" i="67"/>
  <c r="AC18" i="67"/>
  <c r="P18" i="67"/>
  <c r="O18" i="67"/>
  <c r="I18" i="67"/>
  <c r="AM17" i="67"/>
  <c r="AJ17" i="67"/>
  <c r="AI17" i="67"/>
  <c r="AE17" i="67"/>
  <c r="AD17" i="67"/>
  <c r="AC17" i="67"/>
  <c r="P17" i="67"/>
  <c r="O17" i="67"/>
  <c r="I17" i="67"/>
  <c r="AM16" i="67"/>
  <c r="AJ16" i="67"/>
  <c r="AI16" i="67"/>
  <c r="AE16" i="67"/>
  <c r="AD16" i="67"/>
  <c r="AC16" i="67"/>
  <c r="P16" i="67"/>
  <c r="O16" i="67"/>
  <c r="I16" i="67"/>
  <c r="AM15" i="67"/>
  <c r="AJ15" i="67"/>
  <c r="AI15" i="67"/>
  <c r="AE15" i="67"/>
  <c r="AD15" i="67"/>
  <c r="AC15" i="67"/>
  <c r="P15" i="67"/>
  <c r="O15" i="67"/>
  <c r="I15" i="67"/>
  <c r="AM14" i="67"/>
  <c r="AJ14" i="67"/>
  <c r="AI14" i="67"/>
  <c r="AE14" i="67"/>
  <c r="AD14" i="67"/>
  <c r="AC14" i="67"/>
  <c r="P14" i="67"/>
  <c r="O14" i="67"/>
  <c r="I14" i="67"/>
  <c r="AM13" i="67"/>
  <c r="AJ13" i="67"/>
  <c r="AI13" i="67"/>
  <c r="AE13" i="67"/>
  <c r="AD13" i="67"/>
  <c r="AC13" i="67"/>
  <c r="P13" i="67"/>
  <c r="O13" i="67"/>
  <c r="I13" i="67"/>
  <c r="AM12" i="67"/>
  <c r="AJ12" i="67"/>
  <c r="AI12" i="67"/>
  <c r="AE12" i="67"/>
  <c r="AD12" i="67"/>
  <c r="AC12" i="67"/>
  <c r="P12" i="67"/>
  <c r="O12" i="67"/>
  <c r="I12" i="67"/>
  <c r="AM11" i="67"/>
  <c r="AJ11" i="67"/>
  <c r="AI11" i="67"/>
  <c r="AE11" i="67"/>
  <c r="AD11" i="67"/>
  <c r="AC11" i="67"/>
  <c r="P11" i="67"/>
  <c r="O11" i="67"/>
  <c r="I11" i="67"/>
  <c r="AM10" i="67"/>
  <c r="AJ10" i="67"/>
  <c r="AI10" i="67"/>
  <c r="AE10" i="67"/>
  <c r="AD10" i="67"/>
  <c r="AC10" i="67"/>
  <c r="P10" i="67"/>
  <c r="O10" i="67"/>
  <c r="I10" i="67"/>
  <c r="AM9" i="67"/>
  <c r="AJ9" i="67"/>
  <c r="AI9" i="67"/>
  <c r="AE9" i="67"/>
  <c r="AD9" i="67"/>
  <c r="AC9" i="67"/>
  <c r="P9" i="67"/>
  <c r="O9" i="67"/>
  <c r="I9" i="67"/>
  <c r="AM8" i="67"/>
  <c r="AJ8" i="67"/>
  <c r="AI8" i="67"/>
  <c r="AE8" i="67"/>
  <c r="AD8" i="67"/>
  <c r="AC8" i="67"/>
  <c r="P8" i="67"/>
  <c r="O8" i="67"/>
  <c r="I8" i="67"/>
  <c r="AM7" i="67"/>
  <c r="AJ7" i="67"/>
  <c r="AI7" i="67"/>
  <c r="AE7" i="67"/>
  <c r="AD7" i="67"/>
  <c r="AC7" i="67"/>
  <c r="P7" i="67"/>
  <c r="O7" i="67"/>
  <c r="I7" i="67"/>
  <c r="AM6" i="67"/>
  <c r="AJ6" i="67"/>
  <c r="AI6" i="67"/>
  <c r="AE6" i="67"/>
  <c r="AD6" i="67"/>
  <c r="AC6" i="67"/>
  <c r="P6" i="67"/>
  <c r="O6" i="67"/>
  <c r="I6" i="67"/>
  <c r="AM5" i="67"/>
  <c r="AJ5" i="67"/>
  <c r="AI5" i="67"/>
  <c r="AE5" i="67"/>
  <c r="AD5" i="67"/>
  <c r="AC5" i="67"/>
  <c r="P5" i="67"/>
  <c r="O5" i="67"/>
  <c r="I5" i="67"/>
  <c r="AM4" i="67"/>
  <c r="AJ4" i="67"/>
  <c r="AI4" i="67"/>
  <c r="AE4" i="67"/>
  <c r="AD4" i="67"/>
  <c r="AC4" i="67"/>
  <c r="P4" i="67"/>
  <c r="O4" i="67"/>
  <c r="I4" i="67"/>
  <c r="AM3" i="67"/>
  <c r="AJ3" i="67"/>
  <c r="AI3" i="67"/>
  <c r="AE3" i="67"/>
  <c r="AD3" i="67"/>
  <c r="AC3" i="67"/>
  <c r="P3" i="67"/>
  <c r="O3" i="67"/>
  <c r="I3" i="67"/>
  <c r="AM2" i="67"/>
  <c r="AJ2" i="67"/>
  <c r="AI2" i="67"/>
  <c r="AE2" i="67"/>
  <c r="AD2" i="67"/>
  <c r="AC2" i="67"/>
  <c r="P2" i="67"/>
  <c r="O2" i="67"/>
  <c r="I2" i="67"/>
  <c r="AY2" i="67"/>
  <c r="AZ2" i="67"/>
  <c r="AY3" i="67"/>
  <c r="AZ3" i="67"/>
  <c r="AY4" i="67"/>
  <c r="AZ4" i="67"/>
  <c r="AY5" i="67"/>
  <c r="AZ5" i="67"/>
  <c r="AY6" i="67"/>
  <c r="AZ6" i="67"/>
  <c r="AY7" i="67"/>
  <c r="AZ7" i="67"/>
  <c r="AY8" i="67"/>
  <c r="AZ8" i="67"/>
  <c r="AY9" i="67"/>
  <c r="AZ9" i="67"/>
  <c r="AY10" i="67"/>
  <c r="AZ10" i="67"/>
  <c r="AY11" i="67"/>
  <c r="AZ11" i="67"/>
  <c r="AY12" i="67"/>
  <c r="AZ12" i="67"/>
  <c r="AY13" i="67"/>
  <c r="AZ13" i="67"/>
  <c r="AY14" i="67"/>
  <c r="AZ14" i="67"/>
  <c r="AY15" i="67"/>
  <c r="AZ15" i="67"/>
  <c r="AY16" i="67"/>
  <c r="AZ16" i="67"/>
  <c r="AY17" i="67"/>
  <c r="AZ17" i="67"/>
  <c r="AY18" i="67"/>
  <c r="AZ18" i="67"/>
  <c r="AY19" i="67"/>
  <c r="AZ19" i="67"/>
  <c r="AY20" i="67"/>
  <c r="AZ20" i="67"/>
  <c r="AY21" i="67"/>
  <c r="AZ21" i="67"/>
  <c r="AY22" i="67"/>
  <c r="AZ22" i="67"/>
  <c r="AY23" i="67"/>
  <c r="AZ23" i="67"/>
  <c r="AY24" i="67"/>
  <c r="AZ24" i="67"/>
  <c r="AY25" i="67"/>
  <c r="AZ25" i="67"/>
  <c r="AY26" i="67"/>
  <c r="AZ26" i="67"/>
  <c r="AY27" i="67"/>
  <c r="AZ27" i="67"/>
  <c r="AY28" i="67"/>
  <c r="AZ28" i="67"/>
  <c r="AY29" i="67"/>
  <c r="AZ29" i="67"/>
  <c r="AY30" i="67"/>
  <c r="AZ30" i="67"/>
  <c r="AY31" i="67"/>
  <c r="AZ31" i="67"/>
  <c r="AY32" i="67"/>
  <c r="AZ32" i="67"/>
  <c r="AY33" i="67"/>
  <c r="AZ33" i="67"/>
  <c r="AY34" i="67"/>
  <c r="AZ34" i="67"/>
  <c r="AY35" i="67"/>
  <c r="AZ35" i="67"/>
  <c r="AY36" i="67"/>
  <c r="AZ36" i="67"/>
  <c r="AY37" i="67"/>
  <c r="AZ37" i="67"/>
  <c r="AY38" i="67"/>
  <c r="AZ38" i="67"/>
  <c r="AY39" i="67"/>
  <c r="AZ39" i="67"/>
  <c r="AY40" i="67"/>
  <c r="AZ40" i="67"/>
  <c r="AY41" i="67"/>
  <c r="AZ41" i="67"/>
  <c r="AY42" i="67"/>
  <c r="AZ42" i="67"/>
  <c r="AY43" i="67"/>
  <c r="AZ43" i="67"/>
  <c r="AY44" i="67"/>
  <c r="AZ44" i="67"/>
  <c r="AY45" i="67"/>
  <c r="AZ45" i="67"/>
  <c r="AY46" i="67"/>
  <c r="AZ46" i="67"/>
  <c r="AY47" i="67"/>
  <c r="AZ47" i="67"/>
  <c r="AY48" i="67"/>
  <c r="AZ48" i="67"/>
  <c r="AY49" i="67"/>
  <c r="AZ49" i="67"/>
  <c r="AY50" i="67"/>
  <c r="AZ50" i="67"/>
  <c r="AY51" i="67"/>
  <c r="AZ51" i="67"/>
  <c r="AY52" i="67"/>
  <c r="AZ52" i="67"/>
  <c r="AY53" i="67"/>
  <c r="AZ53" i="67"/>
  <c r="AY54" i="67"/>
  <c r="AZ54" i="67"/>
  <c r="AY55" i="67"/>
  <c r="AZ55" i="67"/>
  <c r="AY56" i="67"/>
  <c r="AZ56" i="67"/>
  <c r="AY57" i="67"/>
  <c r="AZ57" i="67"/>
  <c r="AY58" i="67"/>
  <c r="AZ58" i="67"/>
  <c r="AY59" i="67"/>
  <c r="AZ59" i="67"/>
  <c r="AY60" i="67"/>
  <c r="AZ60" i="67"/>
  <c r="H17" i="1"/>
  <c r="H27" i="1"/>
  <c r="H34" i="1"/>
  <c r="E153" i="27"/>
  <c r="L153" i="27" s="1"/>
  <c r="L146" i="67"/>
  <c r="Q148" i="67"/>
  <c r="L150" i="67"/>
  <c r="L152" i="67"/>
  <c r="L149" i="67"/>
  <c r="G135" i="27"/>
  <c r="R148" i="67"/>
  <c r="AG148" i="67"/>
  <c r="BC148" i="67" s="1"/>
  <c r="L151" i="67"/>
  <c r="G158" i="27"/>
  <c r="Q147" i="67"/>
  <c r="G157" i="27"/>
  <c r="AR148" i="67"/>
  <c r="G152" i="27"/>
  <c r="N146" i="67"/>
  <c r="K149" i="67"/>
  <c r="AG146" i="67"/>
  <c r="BC146" i="67" s="1"/>
  <c r="AH146" i="67"/>
  <c r="E155" i="27"/>
  <c r="L155" i="27" s="1"/>
  <c r="L148" i="67"/>
  <c r="D157" i="27"/>
  <c r="K157" i="27" s="1"/>
  <c r="AF151" i="67"/>
  <c r="AG151" i="67"/>
  <c r="BC151" i="67" s="1"/>
  <c r="AG147" i="67"/>
  <c r="BC147" i="67" s="1"/>
  <c r="AH147" i="67"/>
  <c r="AR147" i="67"/>
  <c r="AR151" i="67"/>
  <c r="Q151" i="67"/>
  <c r="AG152" i="67"/>
  <c r="BC152" i="67" s="1"/>
  <c r="AF152" i="67"/>
  <c r="G159" i="27"/>
  <c r="G153" i="27"/>
  <c r="E154" i="27"/>
  <c r="L154" i="27" s="1"/>
  <c r="H156" i="27"/>
  <c r="R149" i="67"/>
  <c r="AG150" i="67"/>
  <c r="BC150" i="67" s="1"/>
  <c r="AF150" i="67"/>
  <c r="AR146" i="67"/>
  <c r="AG149" i="67"/>
  <c r="BC149" i="67" s="1"/>
  <c r="H157" i="27"/>
  <c r="D158" i="27"/>
  <c r="K158" i="27" s="1"/>
  <c r="AR150" i="67"/>
  <c r="N152" i="67"/>
  <c r="R147" i="67"/>
  <c r="K152" i="67"/>
  <c r="N151" i="67"/>
  <c r="K151" i="67"/>
  <c r="R150" i="67"/>
  <c r="AR152" i="67"/>
  <c r="Q152" i="67"/>
  <c r="R146" i="67"/>
  <c r="AR149" i="67"/>
  <c r="Q149" i="67"/>
  <c r="K150" i="67"/>
  <c r="N149" i="67"/>
  <c r="K148" i="67"/>
  <c r="L147" i="67"/>
  <c r="R152" i="67"/>
  <c r="R151" i="67"/>
  <c r="N148" i="67"/>
  <c r="N150" i="67"/>
  <c r="N147" i="67"/>
  <c r="H22" i="1" l="1"/>
  <c r="H31" i="1"/>
  <c r="H30" i="1"/>
  <c r="H32" i="1"/>
  <c r="H33" i="1"/>
  <c r="H25" i="1"/>
  <c r="H26" i="1" s="1"/>
  <c r="H23" i="1"/>
  <c r="H24" i="1" s="1"/>
  <c r="BA58" i="67"/>
  <c r="BA50" i="67"/>
  <c r="BA42" i="67"/>
  <c r="BA26" i="67"/>
  <c r="BA18" i="67"/>
  <c r="BA10" i="67"/>
  <c r="BA34" i="67"/>
  <c r="BA74" i="67"/>
  <c r="BA82" i="67"/>
  <c r="BA90" i="67"/>
  <c r="BA98" i="67"/>
  <c r="D55" i="27"/>
  <c r="K55" i="27" s="1"/>
  <c r="P129" i="15"/>
  <c r="Q122" i="67" s="1"/>
  <c r="P131" i="15"/>
  <c r="Q124" i="67" s="1"/>
  <c r="D45" i="27"/>
  <c r="K45" i="27" s="1"/>
  <c r="D25" i="27"/>
  <c r="K25" i="27" s="1"/>
  <c r="J43" i="15"/>
  <c r="K36" i="67" s="1"/>
  <c r="J67" i="15"/>
  <c r="K60" i="67" s="1"/>
  <c r="E111" i="27"/>
  <c r="L111" i="27" s="1"/>
  <c r="D27" i="27"/>
  <c r="K27" i="27" s="1"/>
  <c r="D69" i="27"/>
  <c r="K69" i="27" s="1"/>
  <c r="G79" i="27"/>
  <c r="AN79" i="27" s="1"/>
  <c r="Q115" i="15"/>
  <c r="R108" i="67" s="1"/>
  <c r="J65" i="15"/>
  <c r="K58" i="67" s="1"/>
  <c r="BA131" i="67"/>
  <c r="BA110" i="67"/>
  <c r="Q69" i="15"/>
  <c r="R62" i="67" s="1"/>
  <c r="AF131" i="15"/>
  <c r="AG124" i="67" s="1"/>
  <c r="BC124" i="67" s="1"/>
  <c r="AF104" i="15"/>
  <c r="AG97" i="67" s="1"/>
  <c r="BC97" i="67" s="1"/>
  <c r="P118" i="15"/>
  <c r="Q111" i="67" s="1"/>
  <c r="H109" i="27"/>
  <c r="BA126" i="67"/>
  <c r="E116" i="27"/>
  <c r="L116" i="27" s="1"/>
  <c r="D150" i="27"/>
  <c r="K150" i="27" s="1"/>
  <c r="D121" i="27"/>
  <c r="K121" i="27" s="1"/>
  <c r="D123" i="27"/>
  <c r="K123" i="27" s="1"/>
  <c r="J119" i="15"/>
  <c r="K112" i="67" s="1"/>
  <c r="D126" i="27"/>
  <c r="K126" i="27" s="1"/>
  <c r="D137" i="27"/>
  <c r="K137" i="27" s="1"/>
  <c r="E143" i="27"/>
  <c r="L143" i="27" s="1"/>
  <c r="N143" i="27" s="1"/>
  <c r="AV136" i="67" s="1"/>
  <c r="H145" i="27"/>
  <c r="G45" i="27"/>
  <c r="AU38" i="67" s="1"/>
  <c r="J100" i="15"/>
  <c r="K93" i="67" s="1"/>
  <c r="Q137" i="15"/>
  <c r="R130" i="67" s="1"/>
  <c r="J149" i="15"/>
  <c r="M149" i="15" s="1"/>
  <c r="J90" i="15"/>
  <c r="K83" i="67" s="1"/>
  <c r="Q82" i="15"/>
  <c r="R75" i="67" s="1"/>
  <c r="H112" i="27"/>
  <c r="G76" i="27"/>
  <c r="AU69" i="67" s="1"/>
  <c r="P113" i="15"/>
  <c r="Q106" i="67" s="1"/>
  <c r="BA106" i="67"/>
  <c r="BA114" i="67"/>
  <c r="BA124" i="67"/>
  <c r="BA47" i="67"/>
  <c r="BA7" i="67"/>
  <c r="N158" i="27"/>
  <c r="P134" i="15"/>
  <c r="AQ134" i="15" s="1"/>
  <c r="AR127" i="67" s="1"/>
  <c r="AF134" i="15"/>
  <c r="AG127" i="67" s="1"/>
  <c r="BC127" i="67" s="1"/>
  <c r="P114" i="15"/>
  <c r="Q107" i="67" s="1"/>
  <c r="N162" i="27"/>
  <c r="AV155" i="67" s="1"/>
  <c r="H121" i="27"/>
  <c r="H123" i="27"/>
  <c r="N157" i="27"/>
  <c r="AV150" i="67" s="1"/>
  <c r="N163" i="27"/>
  <c r="AV156" i="67" s="1"/>
  <c r="J103" i="15"/>
  <c r="K96" i="67" s="1"/>
  <c r="N159" i="27"/>
  <c r="AV152" i="67" s="1"/>
  <c r="G108" i="27"/>
  <c r="AU101" i="67" s="1"/>
  <c r="D83" i="27"/>
  <c r="K83" i="27" s="1"/>
  <c r="H57" i="27"/>
  <c r="Q77" i="15"/>
  <c r="R70" i="67" s="1"/>
  <c r="K47" i="1"/>
  <c r="H53" i="1"/>
  <c r="H9" i="27"/>
  <c r="P73" i="15"/>
  <c r="Q66" i="67" s="1"/>
  <c r="H36" i="1"/>
  <c r="H21" i="1"/>
  <c r="H71" i="27"/>
  <c r="H61" i="27"/>
  <c r="H51" i="27"/>
  <c r="H55" i="27"/>
  <c r="N160" i="27"/>
  <c r="AF26" i="15"/>
  <c r="AG19" i="67" s="1"/>
  <c r="BC19" i="67" s="1"/>
  <c r="Q19" i="15"/>
  <c r="R12" i="67" s="1"/>
  <c r="Q11" i="15"/>
  <c r="R4" i="67" s="1"/>
  <c r="E11" i="27"/>
  <c r="L11" i="27" s="1"/>
  <c r="K11" i="15"/>
  <c r="L4" i="67" s="1"/>
  <c r="K13" i="15"/>
  <c r="L6" i="67" s="1"/>
  <c r="E15" i="27"/>
  <c r="L15" i="27" s="1"/>
  <c r="K15" i="15"/>
  <c r="L8" i="67" s="1"/>
  <c r="K17" i="15"/>
  <c r="L10" i="67" s="1"/>
  <c r="E19" i="27"/>
  <c r="L19" i="27" s="1"/>
  <c r="K19" i="15"/>
  <c r="L12" i="67" s="1"/>
  <c r="E27" i="27"/>
  <c r="L27" i="27" s="1"/>
  <c r="K27" i="15"/>
  <c r="L20" i="67" s="1"/>
  <c r="K31" i="15"/>
  <c r="L24" i="67" s="1"/>
  <c r="K33" i="15"/>
  <c r="L26" i="67" s="1"/>
  <c r="K35" i="15"/>
  <c r="L28" i="67" s="1"/>
  <c r="K37" i="15"/>
  <c r="L30" i="67" s="1"/>
  <c r="K39" i="15"/>
  <c r="L32" i="67" s="1"/>
  <c r="E43" i="27"/>
  <c r="L43" i="27" s="1"/>
  <c r="N43" i="27" s="1"/>
  <c r="AV36" i="67" s="1"/>
  <c r="K43" i="15"/>
  <c r="L36" i="67" s="1"/>
  <c r="E45" i="27"/>
  <c r="L45" i="27" s="1"/>
  <c r="K45" i="15"/>
  <c r="K49" i="15"/>
  <c r="L42" i="67" s="1"/>
  <c r="K51" i="15"/>
  <c r="L44" i="67" s="1"/>
  <c r="E53" i="27"/>
  <c r="L53" i="27" s="1"/>
  <c r="K53" i="15"/>
  <c r="L46" i="67" s="1"/>
  <c r="E55" i="27"/>
  <c r="L55" i="27" s="1"/>
  <c r="N55" i="27" s="1"/>
  <c r="AV48" i="67" s="1"/>
  <c r="K55" i="15"/>
  <c r="K59" i="15"/>
  <c r="L52" i="67" s="1"/>
  <c r="E61" i="27"/>
  <c r="L61" i="27" s="1"/>
  <c r="K61" i="15"/>
  <c r="L54" i="67" s="1"/>
  <c r="E65" i="27"/>
  <c r="L65" i="27" s="1"/>
  <c r="N65" i="27" s="1"/>
  <c r="AV58" i="67" s="1"/>
  <c r="K65" i="15"/>
  <c r="L58" i="67" s="1"/>
  <c r="K69" i="15"/>
  <c r="L62" i="67" s="1"/>
  <c r="E77" i="27"/>
  <c r="L77" i="27" s="1"/>
  <c r="K77" i="15"/>
  <c r="L70" i="67" s="1"/>
  <c r="K107" i="15"/>
  <c r="L100" i="67" s="1"/>
  <c r="E110" i="27"/>
  <c r="L110" i="27" s="1"/>
  <c r="N110" i="27" s="1"/>
  <c r="AV103" i="67" s="1"/>
  <c r="K110" i="15"/>
  <c r="L136" i="67"/>
  <c r="K143" i="67"/>
  <c r="M150" i="15"/>
  <c r="N155" i="27"/>
  <c r="E85" i="27"/>
  <c r="L85" i="27" s="1"/>
  <c r="K85" i="15"/>
  <c r="L78" i="67" s="1"/>
  <c r="E90" i="27"/>
  <c r="L90" i="27" s="1"/>
  <c r="N90" i="27" s="1"/>
  <c r="AV83" i="67" s="1"/>
  <c r="K90" i="15"/>
  <c r="L83" i="67" s="1"/>
  <c r="E92" i="27"/>
  <c r="L92" i="27" s="1"/>
  <c r="N92" i="27" s="1"/>
  <c r="AV85" i="67" s="1"/>
  <c r="K92" i="15"/>
  <c r="L85" i="67" s="1"/>
  <c r="K94" i="15"/>
  <c r="L87" i="67" s="1"/>
  <c r="K96" i="15"/>
  <c r="L89" i="67" s="1"/>
  <c r="K100" i="15"/>
  <c r="L93" i="67" s="1"/>
  <c r="E113" i="27"/>
  <c r="L113" i="27" s="1"/>
  <c r="K113" i="15"/>
  <c r="L106" i="67" s="1"/>
  <c r="E118" i="27"/>
  <c r="L118" i="27" s="1"/>
  <c r="N118" i="27" s="1"/>
  <c r="AV111" i="67" s="1"/>
  <c r="K118" i="15"/>
  <c r="L111" i="67" s="1"/>
  <c r="K133" i="15"/>
  <c r="L126" i="67" s="1"/>
  <c r="E131" i="27"/>
  <c r="L131" i="27" s="1"/>
  <c r="N131" i="27" s="1"/>
  <c r="AV124" i="67" s="1"/>
  <c r="K131" i="15"/>
  <c r="L124" i="67" s="1"/>
  <c r="K129" i="15"/>
  <c r="L122" i="67" s="1"/>
  <c r="E127" i="27"/>
  <c r="L127" i="27" s="1"/>
  <c r="N127" i="27" s="1"/>
  <c r="K127" i="15"/>
  <c r="L120" i="67" s="1"/>
  <c r="E140" i="27"/>
  <c r="L140" i="27" s="1"/>
  <c r="K140" i="15"/>
  <c r="L133" i="67" s="1"/>
  <c r="L145" i="67"/>
  <c r="K78" i="15"/>
  <c r="L71" i="67" s="1"/>
  <c r="K101" i="15"/>
  <c r="L94" i="67" s="1"/>
  <c r="K109" i="15"/>
  <c r="M109" i="15" s="1"/>
  <c r="K112" i="15"/>
  <c r="L105" i="67" s="1"/>
  <c r="E124" i="27"/>
  <c r="L124" i="27" s="1"/>
  <c r="K124" i="15"/>
  <c r="M124" i="15" s="1"/>
  <c r="N117" i="67" s="1"/>
  <c r="K122" i="15"/>
  <c r="L115" i="67" s="1"/>
  <c r="E135" i="27"/>
  <c r="L135" i="27" s="1"/>
  <c r="K135" i="15"/>
  <c r="L141" i="67"/>
  <c r="L138" i="67"/>
  <c r="N161" i="27"/>
  <c r="K86" i="15"/>
  <c r="L79" i="67" s="1"/>
  <c r="E82" i="27"/>
  <c r="L82" i="27" s="1"/>
  <c r="N82" i="27" s="1"/>
  <c r="K82" i="15"/>
  <c r="L75" i="67" s="1"/>
  <c r="K104" i="15"/>
  <c r="L97" i="67" s="1"/>
  <c r="N156" i="27"/>
  <c r="E12" i="27"/>
  <c r="L12" i="27" s="1"/>
  <c r="N12" i="27" s="1"/>
  <c r="AV5" i="67" s="1"/>
  <c r="K12" i="15"/>
  <c r="L5" i="67" s="1"/>
  <c r="E22" i="27"/>
  <c r="L22" i="27" s="1"/>
  <c r="K22" i="15"/>
  <c r="L15" i="67" s="1"/>
  <c r="K26" i="15"/>
  <c r="L19" i="67" s="1"/>
  <c r="E28" i="27"/>
  <c r="L28" i="27" s="1"/>
  <c r="K28" i="15"/>
  <c r="L21" i="67" s="1"/>
  <c r="K32" i="15"/>
  <c r="L25" i="67" s="1"/>
  <c r="E34" i="27"/>
  <c r="L34" i="27" s="1"/>
  <c r="N34" i="27" s="1"/>
  <c r="K34" i="15"/>
  <c r="L27" i="67" s="1"/>
  <c r="K36" i="15"/>
  <c r="L29" i="67" s="1"/>
  <c r="K38" i="15"/>
  <c r="L31" i="67" s="1"/>
  <c r="E40" i="27"/>
  <c r="L40" i="27" s="1"/>
  <c r="N40" i="27" s="1"/>
  <c r="K40" i="15"/>
  <c r="L33" i="67" s="1"/>
  <c r="E46" i="27"/>
  <c r="L46" i="27" s="1"/>
  <c r="N46" i="27" s="1"/>
  <c r="AV39" i="67" s="1"/>
  <c r="K46" i="15"/>
  <c r="L39" i="67" s="1"/>
  <c r="E48" i="27"/>
  <c r="L48" i="27" s="1"/>
  <c r="N48" i="27" s="1"/>
  <c r="K48" i="15"/>
  <c r="L41" i="67" s="1"/>
  <c r="E50" i="27"/>
  <c r="L50" i="27" s="1"/>
  <c r="K50" i="15"/>
  <c r="K60" i="15"/>
  <c r="L53" i="67" s="1"/>
  <c r="E68" i="27"/>
  <c r="L68" i="27" s="1"/>
  <c r="K68" i="15"/>
  <c r="M68" i="15" s="1"/>
  <c r="E70" i="27"/>
  <c r="L70" i="27" s="1"/>
  <c r="N70" i="27" s="1"/>
  <c r="AV63" i="67" s="1"/>
  <c r="K70" i="15"/>
  <c r="E72" i="27"/>
  <c r="L72" i="27" s="1"/>
  <c r="K72" i="15"/>
  <c r="L65" i="67" s="1"/>
  <c r="E103" i="27"/>
  <c r="L103" i="27" s="1"/>
  <c r="N103" i="27" s="1"/>
  <c r="AV96" i="67" s="1"/>
  <c r="K103" i="15"/>
  <c r="K106" i="15"/>
  <c r="L99" i="67" s="1"/>
  <c r="E147" i="27"/>
  <c r="L140" i="67"/>
  <c r="E139" i="27"/>
  <c r="L139" i="27" s="1"/>
  <c r="N139" i="27" s="1"/>
  <c r="AV132" i="67" s="1"/>
  <c r="K139" i="15"/>
  <c r="L132" i="67" s="1"/>
  <c r="K87" i="15"/>
  <c r="L80" i="67" s="1"/>
  <c r="K83" i="15"/>
  <c r="L76" i="67" s="1"/>
  <c r="E97" i="27"/>
  <c r="L97" i="27" s="1"/>
  <c r="N97" i="27" s="1"/>
  <c r="K97" i="15"/>
  <c r="L90" i="67" s="1"/>
  <c r="E99" i="27"/>
  <c r="L99" i="27" s="1"/>
  <c r="K99" i="15"/>
  <c r="L92" i="67" s="1"/>
  <c r="E114" i="27"/>
  <c r="L114" i="27" s="1"/>
  <c r="N114" i="27" s="1"/>
  <c r="AV107" i="67" s="1"/>
  <c r="K114" i="15"/>
  <c r="L107" i="67" s="1"/>
  <c r="K117" i="15"/>
  <c r="L110" i="67" s="1"/>
  <c r="E134" i="27"/>
  <c r="L134" i="27" s="1"/>
  <c r="N134" i="27" s="1"/>
  <c r="AV127" i="67" s="1"/>
  <c r="K134" i="15"/>
  <c r="E132" i="27"/>
  <c r="L132" i="27" s="1"/>
  <c r="N132" i="27" s="1"/>
  <c r="AV125" i="67" s="1"/>
  <c r="K132" i="15"/>
  <c r="K130" i="15"/>
  <c r="L123" i="67" s="1"/>
  <c r="E128" i="27"/>
  <c r="L128" i="27" s="1"/>
  <c r="N128" i="27" s="1"/>
  <c r="K128" i="15"/>
  <c r="L121" i="67" s="1"/>
  <c r="E144" i="27"/>
  <c r="L144" i="27" s="1"/>
  <c r="N154" i="27"/>
  <c r="K108" i="15"/>
  <c r="L101" i="67" s="1"/>
  <c r="K123" i="15"/>
  <c r="L116" i="67" s="1"/>
  <c r="E121" i="27"/>
  <c r="L121" i="27" s="1"/>
  <c r="K121" i="15"/>
  <c r="E119" i="27"/>
  <c r="L119" i="27" s="1"/>
  <c r="N119" i="27" s="1"/>
  <c r="AV112" i="67" s="1"/>
  <c r="K119" i="15"/>
  <c r="E126" i="27"/>
  <c r="L126" i="27" s="1"/>
  <c r="K126" i="15"/>
  <c r="M126" i="15" s="1"/>
  <c r="E141" i="27"/>
  <c r="L141" i="27" s="1"/>
  <c r="N141" i="27" s="1"/>
  <c r="L134" i="67"/>
  <c r="N153" i="27"/>
  <c r="AV146" i="67" s="1"/>
  <c r="E73" i="27"/>
  <c r="L73" i="27" s="1"/>
  <c r="N73" i="27" s="1"/>
  <c r="K73" i="15"/>
  <c r="L66" i="67" s="1"/>
  <c r="E75" i="27"/>
  <c r="L75" i="27" s="1"/>
  <c r="K75" i="15"/>
  <c r="E88" i="27"/>
  <c r="L88" i="27" s="1"/>
  <c r="K88" i="15"/>
  <c r="L81" i="67" s="1"/>
  <c r="E84" i="27"/>
  <c r="L84" i="27" s="1"/>
  <c r="K84" i="15"/>
  <c r="L77" i="67" s="1"/>
  <c r="E89" i="27"/>
  <c r="L89" i="27" s="1"/>
  <c r="K89" i="15"/>
  <c r="L82" i="67" s="1"/>
  <c r="J70" i="15"/>
  <c r="K63" i="67" s="1"/>
  <c r="J46" i="15"/>
  <c r="K39" i="67" s="1"/>
  <c r="D22" i="27"/>
  <c r="K22" i="27" s="1"/>
  <c r="D74" i="27"/>
  <c r="K74" i="27" s="1"/>
  <c r="D16" i="27"/>
  <c r="K16" i="27" s="1"/>
  <c r="D106" i="27"/>
  <c r="K106" i="27" s="1"/>
  <c r="BA104" i="67"/>
  <c r="BA102" i="67"/>
  <c r="AF42" i="15"/>
  <c r="AG35" i="67" s="1"/>
  <c r="BC35" i="67" s="1"/>
  <c r="AU145" i="67"/>
  <c r="AN158" i="27"/>
  <c r="AU25" i="67"/>
  <c r="AU31" i="67"/>
  <c r="AN50" i="27"/>
  <c r="AU57" i="67"/>
  <c r="AU96" i="67"/>
  <c r="AU156" i="67"/>
  <c r="AN159" i="27"/>
  <c r="AH35" i="67"/>
  <c r="AF59" i="15"/>
  <c r="AG52" i="67" s="1"/>
  <c r="BC52" i="67" s="1"/>
  <c r="AF55" i="15"/>
  <c r="AG48" i="67" s="1"/>
  <c r="BC48" i="67" s="1"/>
  <c r="AF19" i="15"/>
  <c r="AG12" i="67" s="1"/>
  <c r="BC12" i="67" s="1"/>
  <c r="AU107" i="67"/>
  <c r="AU118" i="67"/>
  <c r="AN132" i="27"/>
  <c r="AN130" i="27"/>
  <c r="AN154" i="27"/>
  <c r="AN134" i="27"/>
  <c r="AN76" i="27"/>
  <c r="AU146" i="67"/>
  <c r="AN129" i="27"/>
  <c r="AN39" i="27"/>
  <c r="AU48" i="67"/>
  <c r="AU60" i="67"/>
  <c r="AN111" i="27"/>
  <c r="AU148" i="67"/>
  <c r="BA152" i="67"/>
  <c r="AU78" i="67"/>
  <c r="AU106" i="67"/>
  <c r="AU111" i="67"/>
  <c r="AN131" i="27"/>
  <c r="AN161" i="27"/>
  <c r="AF81" i="15"/>
  <c r="AG74" i="67" s="1"/>
  <c r="BC74" i="67" s="1"/>
  <c r="AN148" i="27"/>
  <c r="AN156" i="27"/>
  <c r="AN149" i="27"/>
  <c r="AN100" i="27"/>
  <c r="AU144" i="67"/>
  <c r="E152" i="27"/>
  <c r="L152" i="27" s="1"/>
  <c r="H151" i="27"/>
  <c r="G56" i="27"/>
  <c r="AF77" i="15"/>
  <c r="AG70" i="67" s="1"/>
  <c r="BC70" i="67" s="1"/>
  <c r="E133" i="27"/>
  <c r="L133" i="27" s="1"/>
  <c r="N133" i="27" s="1"/>
  <c r="AV126" i="67" s="1"/>
  <c r="G115" i="27"/>
  <c r="AU108" i="67" s="1"/>
  <c r="AF91" i="15"/>
  <c r="AG84" i="67" s="1"/>
  <c r="BC84" i="67" s="1"/>
  <c r="AF130" i="15"/>
  <c r="AG123" i="67" s="1"/>
  <c r="BC123" i="67" s="1"/>
  <c r="AF147" i="15"/>
  <c r="AG140" i="67" s="1"/>
  <c r="BC140" i="67" s="1"/>
  <c r="D116" i="27"/>
  <c r="K116" i="27" s="1"/>
  <c r="AQ106" i="15"/>
  <c r="AR99" i="67" s="1"/>
  <c r="H59" i="1"/>
  <c r="K59" i="1" s="1"/>
  <c r="H58" i="1"/>
  <c r="K58" i="1" s="1"/>
  <c r="AQ112" i="15"/>
  <c r="AR105" i="67" s="1"/>
  <c r="H56" i="1"/>
  <c r="Q99" i="67"/>
  <c r="G112" i="27"/>
  <c r="AN112" i="27" s="1"/>
  <c r="E129" i="27"/>
  <c r="L129" i="27" s="1"/>
  <c r="N129" i="27" s="1"/>
  <c r="AV122" i="67" s="1"/>
  <c r="P147" i="15"/>
  <c r="Q140" i="67" s="1"/>
  <c r="E94" i="27"/>
  <c r="L94" i="27" s="1"/>
  <c r="G142" i="27"/>
  <c r="P26" i="15"/>
  <c r="Q19" i="67" s="1"/>
  <c r="AF18" i="15"/>
  <c r="AG11" i="67" s="1"/>
  <c r="BC11" i="67" s="1"/>
  <c r="D120" i="27"/>
  <c r="K120" i="27" s="1"/>
  <c r="J122" i="15"/>
  <c r="K115" i="67" s="1"/>
  <c r="J110" i="15"/>
  <c r="K103" i="67" s="1"/>
  <c r="AF93" i="15"/>
  <c r="AG86" i="67" s="1"/>
  <c r="BC86" i="67" s="1"/>
  <c r="H138" i="27"/>
  <c r="D76" i="27"/>
  <c r="K76" i="27" s="1"/>
  <c r="M111" i="15"/>
  <c r="N104" i="67" s="1"/>
  <c r="P64" i="15"/>
  <c r="Q57" i="67" s="1"/>
  <c r="D85" i="27"/>
  <c r="K85" i="27" s="1"/>
  <c r="AF61" i="15"/>
  <c r="AG54" i="67" s="1"/>
  <c r="BC54" i="67" s="1"/>
  <c r="AF57" i="15"/>
  <c r="AG50" i="67" s="1"/>
  <c r="BC50" i="67" s="1"/>
  <c r="P54" i="15"/>
  <c r="Q47" i="67" s="1"/>
  <c r="D111" i="27"/>
  <c r="K111" i="27" s="1"/>
  <c r="P50" i="15"/>
  <c r="Q43" i="67" s="1"/>
  <c r="P103" i="15"/>
  <c r="Q96" i="67" s="1"/>
  <c r="AF127" i="15"/>
  <c r="AG120" i="67" s="1"/>
  <c r="BC120" i="67" s="1"/>
  <c r="E17" i="27"/>
  <c r="L17" i="27" s="1"/>
  <c r="H94" i="27"/>
  <c r="BA60" i="67"/>
  <c r="H131" i="27"/>
  <c r="AF113" i="15"/>
  <c r="AG106" i="67" s="1"/>
  <c r="BC106" i="67" s="1"/>
  <c r="H114" i="27"/>
  <c r="AF11" i="15"/>
  <c r="AG4" i="67" s="1"/>
  <c r="BC4" i="67" s="1"/>
  <c r="AF53" i="15"/>
  <c r="AG46" i="67" s="1"/>
  <c r="BC46" i="67" s="1"/>
  <c r="Q96" i="15"/>
  <c r="R89" i="67" s="1"/>
  <c r="E38" i="27"/>
  <c r="L38" i="27" s="1"/>
  <c r="AQ10" i="15"/>
  <c r="AR3" i="67" s="1"/>
  <c r="AF115" i="15"/>
  <c r="AG108" i="67" s="1"/>
  <c r="BC108" i="67" s="1"/>
  <c r="AF132" i="15"/>
  <c r="AG125" i="67" s="1"/>
  <c r="BC125" i="67" s="1"/>
  <c r="BA125" i="67"/>
  <c r="BA132" i="67"/>
  <c r="BA139" i="67"/>
  <c r="BA141" i="67"/>
  <c r="AF135" i="15"/>
  <c r="AG128" i="67" s="1"/>
  <c r="BC128" i="67" s="1"/>
  <c r="D109" i="27"/>
  <c r="K109" i="27" s="1"/>
  <c r="E104" i="27"/>
  <c r="H125" i="27"/>
  <c r="AF25" i="15"/>
  <c r="AG18" i="67" s="1"/>
  <c r="BC18" i="67" s="1"/>
  <c r="E51" i="27"/>
  <c r="E64" i="27"/>
  <c r="L64" i="27" s="1"/>
  <c r="AF143" i="15"/>
  <c r="AG136" i="67" s="1"/>
  <c r="BC136" i="67" s="1"/>
  <c r="AH128" i="67"/>
  <c r="J101" i="15"/>
  <c r="K94" i="67" s="1"/>
  <c r="AF119" i="15"/>
  <c r="AG112" i="67" s="1"/>
  <c r="BC112" i="67" s="1"/>
  <c r="AH48" i="67"/>
  <c r="BA56" i="67"/>
  <c r="BA48" i="67"/>
  <c r="BA44" i="67"/>
  <c r="BA40" i="67"/>
  <c r="BA36" i="67"/>
  <c r="BA32" i="67"/>
  <c r="BA28" i="67"/>
  <c r="BA24" i="67"/>
  <c r="BA20" i="67"/>
  <c r="BA16" i="67"/>
  <c r="BA8" i="67"/>
  <c r="D113" i="27"/>
  <c r="K113" i="27" s="1"/>
  <c r="AF138" i="15"/>
  <c r="AG131" i="67" s="1"/>
  <c r="BC131" i="67" s="1"/>
  <c r="E101" i="27"/>
  <c r="E109" i="27"/>
  <c r="L109" i="27" s="1"/>
  <c r="G44" i="27"/>
  <c r="AU37" i="67" s="1"/>
  <c r="Y176" i="15"/>
  <c r="Z169" i="67" s="1"/>
  <c r="AQ135" i="15"/>
  <c r="AR128" i="67" s="1"/>
  <c r="D124" i="27"/>
  <c r="K124" i="27" s="1"/>
  <c r="G106" i="27"/>
  <c r="H106" i="27"/>
  <c r="AF33" i="15"/>
  <c r="AG26" i="67" s="1"/>
  <c r="BC26" i="67" s="1"/>
  <c r="J143" i="15"/>
  <c r="E148" i="27"/>
  <c r="L148" i="27" s="1"/>
  <c r="AF30" i="15"/>
  <c r="AG23" i="67" s="1"/>
  <c r="BC23" i="67" s="1"/>
  <c r="AF21" i="15"/>
  <c r="AG14" i="67" s="1"/>
  <c r="BC14" i="67" s="1"/>
  <c r="AF37" i="15"/>
  <c r="AG30" i="67" s="1"/>
  <c r="BC30" i="67" s="1"/>
  <c r="G69" i="27"/>
  <c r="G13" i="27"/>
  <c r="AU6" i="67" s="1"/>
  <c r="E86" i="27"/>
  <c r="J86" i="15"/>
  <c r="K79" i="67" s="1"/>
  <c r="G14" i="27"/>
  <c r="H21" i="27"/>
  <c r="Q39" i="15"/>
  <c r="R32" i="67" s="1"/>
  <c r="G34" i="27"/>
  <c r="AN34" i="27" s="1"/>
  <c r="P96" i="15"/>
  <c r="AQ96" i="15" s="1"/>
  <c r="AR89" i="67" s="1"/>
  <c r="H98" i="27"/>
  <c r="H59" i="27"/>
  <c r="E26" i="27"/>
  <c r="L26" i="27" s="1"/>
  <c r="G18" i="27"/>
  <c r="H63" i="27"/>
  <c r="G10" i="27"/>
  <c r="H100" i="27"/>
  <c r="BA64" i="67"/>
  <c r="BA65" i="67"/>
  <c r="AF111" i="15"/>
  <c r="AG104" i="67" s="1"/>
  <c r="BC104" i="67" s="1"/>
  <c r="BA113" i="67"/>
  <c r="BA136" i="67"/>
  <c r="BA138" i="67"/>
  <c r="BA140" i="67"/>
  <c r="BA142" i="67"/>
  <c r="AF150" i="15"/>
  <c r="AG143" i="67" s="1"/>
  <c r="BC143" i="67" s="1"/>
  <c r="D152" i="27"/>
  <c r="K152" i="27" s="1"/>
  <c r="P151" i="15"/>
  <c r="Q144" i="67" s="1"/>
  <c r="G19" i="27"/>
  <c r="G48" i="27"/>
  <c r="P98" i="15"/>
  <c r="Q91" i="67" s="1"/>
  <c r="G104" i="27"/>
  <c r="AF146" i="15"/>
  <c r="AG139" i="67" s="1"/>
  <c r="BC139" i="67" s="1"/>
  <c r="H139" i="27"/>
  <c r="AF108" i="15"/>
  <c r="AG101" i="67" s="1"/>
  <c r="BC101" i="67" s="1"/>
  <c r="H111" i="27"/>
  <c r="AF142" i="15"/>
  <c r="AG135" i="67" s="1"/>
  <c r="BC135" i="67" s="1"/>
  <c r="E112" i="27"/>
  <c r="L112" i="27" s="1"/>
  <c r="D78" i="27"/>
  <c r="K78" i="27" s="1"/>
  <c r="G47" i="27"/>
  <c r="G11" i="27"/>
  <c r="AU4" i="67" s="1"/>
  <c r="E13" i="27"/>
  <c r="L13" i="27" s="1"/>
  <c r="AF13" i="15"/>
  <c r="AG6" i="67" s="1"/>
  <c r="BC6" i="67" s="1"/>
  <c r="G20" i="27"/>
  <c r="P100" i="15"/>
  <c r="Q93" i="67" s="1"/>
  <c r="AQ20" i="15"/>
  <c r="AR13" i="67" s="1"/>
  <c r="BA116" i="67"/>
  <c r="BA144" i="67"/>
  <c r="H66" i="27"/>
  <c r="Q58" i="15"/>
  <c r="R51" i="67" s="1"/>
  <c r="Q14" i="15"/>
  <c r="R7" i="67" s="1"/>
  <c r="J102" i="15"/>
  <c r="K95" i="67" s="1"/>
  <c r="H20" i="27"/>
  <c r="Y175" i="15"/>
  <c r="Z168" i="67" s="1"/>
  <c r="Y174" i="15"/>
  <c r="Z167" i="67" s="1"/>
  <c r="Y173" i="15"/>
  <c r="Z166" i="67" s="1"/>
  <c r="Y172" i="15"/>
  <c r="Z165" i="67" s="1"/>
  <c r="P101" i="15"/>
  <c r="Q94" i="67" s="1"/>
  <c r="Q60" i="15"/>
  <c r="R53" i="67" s="1"/>
  <c r="E96" i="27"/>
  <c r="L96" i="27" s="1"/>
  <c r="H76" i="27"/>
  <c r="H46" i="27"/>
  <c r="AQ108" i="15"/>
  <c r="AR101" i="67" s="1"/>
  <c r="H52" i="27"/>
  <c r="E78" i="27"/>
  <c r="L78" i="27" s="1"/>
  <c r="H54" i="27"/>
  <c r="AQ53" i="15"/>
  <c r="AR46" i="67" s="1"/>
  <c r="BA127" i="67"/>
  <c r="E100" i="27"/>
  <c r="AF80" i="15"/>
  <c r="AG73" i="67" s="1"/>
  <c r="BC73" i="67" s="1"/>
  <c r="AF48" i="15"/>
  <c r="AG41" i="67" s="1"/>
  <c r="BC41" i="67" s="1"/>
  <c r="H64" i="27"/>
  <c r="BA129" i="67"/>
  <c r="D54" i="27"/>
  <c r="K54" i="27" s="1"/>
  <c r="Q79" i="15"/>
  <c r="R72" i="67" s="1"/>
  <c r="J40" i="15"/>
  <c r="K33" i="67" s="1"/>
  <c r="D68" i="27"/>
  <c r="K68" i="27" s="1"/>
  <c r="J24" i="15"/>
  <c r="K17" i="67" s="1"/>
  <c r="H75" i="27"/>
  <c r="J66" i="15"/>
  <c r="K59" i="67" s="1"/>
  <c r="D36" i="27"/>
  <c r="K36" i="27" s="1"/>
  <c r="H73" i="27"/>
  <c r="AQ79" i="15"/>
  <c r="AR72" i="67" s="1"/>
  <c r="D28" i="27"/>
  <c r="K28" i="27" s="1"/>
  <c r="J52" i="15"/>
  <c r="K45" i="67" s="1"/>
  <c r="E83" i="27"/>
  <c r="Q88" i="15"/>
  <c r="R81" i="67" s="1"/>
  <c r="D58" i="27"/>
  <c r="K58" i="27" s="1"/>
  <c r="J60" i="15"/>
  <c r="K53" i="67" s="1"/>
  <c r="D91" i="27"/>
  <c r="K91" i="27" s="1"/>
  <c r="Q84" i="15"/>
  <c r="R77" i="67" s="1"/>
  <c r="J12" i="15"/>
  <c r="E87" i="27"/>
  <c r="L87" i="27" s="1"/>
  <c r="AF125" i="15"/>
  <c r="AG118" i="67" s="1"/>
  <c r="BC118" i="67" s="1"/>
  <c r="BA123" i="67"/>
  <c r="Y164" i="15"/>
  <c r="Z157" i="67" s="1"/>
  <c r="Y171" i="15"/>
  <c r="Z164" i="67" s="1"/>
  <c r="J114" i="15"/>
  <c r="K107" i="67" s="1"/>
  <c r="D140" i="27"/>
  <c r="K140" i="27" s="1"/>
  <c r="H85" i="27"/>
  <c r="H99" i="27"/>
  <c r="P39" i="15"/>
  <c r="Q32" i="67" s="1"/>
  <c r="AH52" i="67"/>
  <c r="J108" i="15"/>
  <c r="K101" i="67" s="1"/>
  <c r="P67" i="15"/>
  <c r="G29" i="27"/>
  <c r="BA117" i="67"/>
  <c r="AQ115" i="15"/>
  <c r="AR108" i="67" s="1"/>
  <c r="D117" i="27"/>
  <c r="K117" i="27" s="1"/>
  <c r="AF118" i="15"/>
  <c r="AG111" i="67" s="1"/>
  <c r="BC111" i="67" s="1"/>
  <c r="G110" i="27"/>
  <c r="AF124" i="15"/>
  <c r="AG117" i="67" s="1"/>
  <c r="BC117" i="67" s="1"/>
  <c r="AF9" i="15"/>
  <c r="AG2" i="67" s="1"/>
  <c r="BC2" i="67" s="1"/>
  <c r="H97" i="27"/>
  <c r="Q91" i="15"/>
  <c r="R84" i="67" s="1"/>
  <c r="D9" i="27"/>
  <c r="K9" i="27" s="1"/>
  <c r="BA69" i="67"/>
  <c r="AH108" i="67"/>
  <c r="E31" i="27"/>
  <c r="L31" i="27" s="1"/>
  <c r="G63" i="27"/>
  <c r="D11" i="27"/>
  <c r="K11" i="27" s="1"/>
  <c r="AQ19" i="15"/>
  <c r="AR12" i="67" s="1"/>
  <c r="H105" i="27"/>
  <c r="H95" i="27"/>
  <c r="G59" i="27"/>
  <c r="P49" i="15"/>
  <c r="Q42" i="67" s="1"/>
  <c r="AF52" i="15"/>
  <c r="AG45" i="67" s="1"/>
  <c r="BC45" i="67" s="1"/>
  <c r="AH12" i="67"/>
  <c r="G80" i="27"/>
  <c r="Q116" i="15"/>
  <c r="R109" i="67" s="1"/>
  <c r="P107" i="15"/>
  <c r="Q100" i="67" s="1"/>
  <c r="AF44" i="15"/>
  <c r="AG37" i="67" s="1"/>
  <c r="BC37" i="67" s="1"/>
  <c r="G53" i="27"/>
  <c r="K53" i="1"/>
  <c r="K63" i="1" s="1"/>
  <c r="Q11" i="67"/>
  <c r="AQ18" i="15"/>
  <c r="AR11" i="67" s="1"/>
  <c r="AQ99" i="15"/>
  <c r="AR92" i="67" s="1"/>
  <c r="G93" i="27"/>
  <c r="P78" i="15"/>
  <c r="Q71" i="67" s="1"/>
  <c r="D21" i="27"/>
  <c r="K21" i="27" s="1"/>
  <c r="H13" i="1"/>
  <c r="BA118" i="67"/>
  <c r="Y161" i="15"/>
  <c r="Z154" i="67" s="1"/>
  <c r="H141" i="27"/>
  <c r="E108" i="27"/>
  <c r="AH96" i="67"/>
  <c r="AH118" i="67"/>
  <c r="AF35" i="15"/>
  <c r="AG28" i="67" s="1"/>
  <c r="BC28" i="67" s="1"/>
  <c r="P91" i="15"/>
  <c r="AQ91" i="15" s="1"/>
  <c r="AR84" i="67" s="1"/>
  <c r="AH72" i="67"/>
  <c r="BA94" i="67"/>
  <c r="BA92" i="67"/>
  <c r="J141" i="15"/>
  <c r="H12" i="1"/>
  <c r="E29" i="27"/>
  <c r="L29" i="27" s="1"/>
  <c r="D88" i="27"/>
  <c r="K88" i="27" s="1"/>
  <c r="AF15" i="15"/>
  <c r="AG8" i="67" s="1"/>
  <c r="BC8" i="67" s="1"/>
  <c r="BA70" i="67"/>
  <c r="BA78" i="67"/>
  <c r="AF109" i="15"/>
  <c r="AG102" i="67" s="1"/>
  <c r="BC102" i="67" s="1"/>
  <c r="H107" i="27"/>
  <c r="E117" i="27"/>
  <c r="L117" i="27" s="1"/>
  <c r="AF96" i="15"/>
  <c r="AG89" i="67" s="1"/>
  <c r="BC89" i="67" s="1"/>
  <c r="H11" i="1"/>
  <c r="H10" i="1" s="1"/>
  <c r="E39" i="27"/>
  <c r="L39" i="27" s="1"/>
  <c r="AF79" i="15"/>
  <c r="AG72" i="67" s="1"/>
  <c r="BC72" i="67" s="1"/>
  <c r="BA86" i="67"/>
  <c r="G144" i="27"/>
  <c r="Y170" i="15"/>
  <c r="Z163" i="67" s="1"/>
  <c r="Y169" i="15"/>
  <c r="Z162" i="67" s="1"/>
  <c r="Y168" i="15"/>
  <c r="Z161" i="67" s="1"/>
  <c r="E35" i="27"/>
  <c r="L35" i="27" s="1"/>
  <c r="P126" i="15"/>
  <c r="Q119" i="67" s="1"/>
  <c r="E69" i="27"/>
  <c r="D75" i="27"/>
  <c r="K75" i="27" s="1"/>
  <c r="E49" i="27"/>
  <c r="L49" i="27" s="1"/>
  <c r="H29" i="1"/>
  <c r="H57" i="1" s="1"/>
  <c r="K57" i="1" s="1"/>
  <c r="E33" i="27"/>
  <c r="G97" i="27"/>
  <c r="Q12" i="15"/>
  <c r="R5" i="67" s="1"/>
  <c r="D84" i="27"/>
  <c r="K84" i="27" s="1"/>
  <c r="E37" i="27"/>
  <c r="L37" i="27" s="1"/>
  <c r="BA54" i="67"/>
  <c r="BA46" i="67"/>
  <c r="BA38" i="67"/>
  <c r="BA30" i="67"/>
  <c r="BA22" i="67"/>
  <c r="BA14" i="67"/>
  <c r="BA6" i="67"/>
  <c r="AF101" i="15"/>
  <c r="AG94" i="67" s="1"/>
  <c r="BC94" i="67" s="1"/>
  <c r="AF105" i="15"/>
  <c r="AG98" i="67" s="1"/>
  <c r="BC98" i="67" s="1"/>
  <c r="E59" i="27"/>
  <c r="L59" i="27" s="1"/>
  <c r="G99" i="27"/>
  <c r="BA62" i="67"/>
  <c r="Y159" i="15"/>
  <c r="Z152" i="67" s="1"/>
  <c r="AU71" i="67"/>
  <c r="AN78" i="27"/>
  <c r="K71" i="67"/>
  <c r="K145" i="67"/>
  <c r="AQ44" i="15"/>
  <c r="AR37" i="67" s="1"/>
  <c r="Q37" i="67"/>
  <c r="Q56" i="67"/>
  <c r="AQ63" i="15"/>
  <c r="AR56" i="67" s="1"/>
  <c r="L7" i="67"/>
  <c r="E14" i="27"/>
  <c r="L14" i="27" s="1"/>
  <c r="H44" i="27"/>
  <c r="Q44" i="15"/>
  <c r="R37" i="67" s="1"/>
  <c r="D93" i="27"/>
  <c r="K93" i="27" s="1"/>
  <c r="J93" i="15"/>
  <c r="K86" i="67" s="1"/>
  <c r="J94" i="15"/>
  <c r="D94" i="27"/>
  <c r="K94" i="27" s="1"/>
  <c r="BA88" i="67"/>
  <c r="BA101" i="67"/>
  <c r="BA105" i="67"/>
  <c r="BA153" i="67"/>
  <c r="P33" i="15"/>
  <c r="Q26" i="67" s="1"/>
  <c r="G33" i="27"/>
  <c r="P37" i="15"/>
  <c r="G37" i="27"/>
  <c r="G51" i="27"/>
  <c r="P51" i="15"/>
  <c r="Q44" i="67" s="1"/>
  <c r="AN54" i="27"/>
  <c r="AU47" i="67"/>
  <c r="Q119" i="15"/>
  <c r="R112" i="67" s="1"/>
  <c r="H119" i="27"/>
  <c r="D144" i="27"/>
  <c r="K144" i="27" s="1"/>
  <c r="J144" i="15"/>
  <c r="AQ118" i="15"/>
  <c r="AR111" i="67" s="1"/>
  <c r="AU32" i="67"/>
  <c r="AU149" i="67"/>
  <c r="AN125" i="27"/>
  <c r="Q126" i="15"/>
  <c r="R119" i="67" s="1"/>
  <c r="AQ13" i="15"/>
  <c r="AR6" i="67" s="1"/>
  <c r="J130" i="15"/>
  <c r="Q149" i="15"/>
  <c r="R142" i="67" s="1"/>
  <c r="J128" i="15"/>
  <c r="K121" i="67" s="1"/>
  <c r="Q146" i="15"/>
  <c r="R139" i="67" s="1"/>
  <c r="H142" i="27"/>
  <c r="AH142" i="27" s="1"/>
  <c r="J134" i="15"/>
  <c r="K127" i="67" s="1"/>
  <c r="P125" i="15"/>
  <c r="Q118" i="67" s="1"/>
  <c r="G65" i="27"/>
  <c r="AQ46" i="15"/>
  <c r="AR39" i="67" s="1"/>
  <c r="G61" i="27"/>
  <c r="G60" i="27"/>
  <c r="D79" i="27"/>
  <c r="K79" i="27" s="1"/>
  <c r="G46" i="27"/>
  <c r="P32" i="15"/>
  <c r="Q25" i="67" s="1"/>
  <c r="P42" i="15"/>
  <c r="Q35" i="67" s="1"/>
  <c r="E21" i="27"/>
  <c r="L21" i="27" s="1"/>
  <c r="G36" i="27"/>
  <c r="L60" i="67"/>
  <c r="E67" i="27"/>
  <c r="L73" i="67"/>
  <c r="E80" i="27"/>
  <c r="L80" i="27" s="1"/>
  <c r="G87" i="27"/>
  <c r="P87" i="15"/>
  <c r="G94" i="27"/>
  <c r="P94" i="15"/>
  <c r="Q87" i="67" s="1"/>
  <c r="BA97" i="67"/>
  <c r="H134" i="27"/>
  <c r="BA143" i="67"/>
  <c r="BA151" i="67"/>
  <c r="G124" i="27"/>
  <c r="AQ124" i="15"/>
  <c r="AR117" i="67" s="1"/>
  <c r="Q110" i="15"/>
  <c r="R103" i="67" s="1"/>
  <c r="J105" i="15"/>
  <c r="K98" i="67" s="1"/>
  <c r="J132" i="15"/>
  <c r="K125" i="67" s="1"/>
  <c r="E145" i="27"/>
  <c r="L145" i="27" s="1"/>
  <c r="P35" i="15"/>
  <c r="G95" i="27"/>
  <c r="J10" i="15"/>
  <c r="K3" i="67" s="1"/>
  <c r="P40" i="15"/>
  <c r="P52" i="15"/>
  <c r="AQ52" i="15" s="1"/>
  <c r="G66" i="27"/>
  <c r="P15" i="15"/>
  <c r="G15" i="27"/>
  <c r="H22" i="27"/>
  <c r="Q22" i="15"/>
  <c r="R15" i="67" s="1"/>
  <c r="D26" i="27"/>
  <c r="K26" i="27" s="1"/>
  <c r="J26" i="15"/>
  <c r="K19" i="67" s="1"/>
  <c r="J29" i="15"/>
  <c r="K22" i="67" s="1"/>
  <c r="D29" i="27"/>
  <c r="K29" i="27" s="1"/>
  <c r="J47" i="15"/>
  <c r="K40" i="67" s="1"/>
  <c r="D47" i="27"/>
  <c r="K47" i="27" s="1"/>
  <c r="D49" i="27"/>
  <c r="K49" i="27" s="1"/>
  <c r="J49" i="15"/>
  <c r="K42" i="67" s="1"/>
  <c r="J77" i="15"/>
  <c r="D77" i="27"/>
  <c r="K77" i="27" s="1"/>
  <c r="BA73" i="67"/>
  <c r="BA76" i="67"/>
  <c r="BA80" i="67"/>
  <c r="Q90" i="15"/>
  <c r="R83" i="67" s="1"/>
  <c r="H90" i="27"/>
  <c r="BA85" i="67"/>
  <c r="BA89" i="67"/>
  <c r="BA93" i="67"/>
  <c r="BA100" i="67"/>
  <c r="BA109" i="67"/>
  <c r="BA59" i="67"/>
  <c r="BA57" i="67"/>
  <c r="BA53" i="67"/>
  <c r="BA51" i="67"/>
  <c r="BA49" i="67"/>
  <c r="BA45" i="67"/>
  <c r="BA41" i="67"/>
  <c r="BA37" i="67"/>
  <c r="BA35" i="67"/>
  <c r="BA33" i="67"/>
  <c r="BA29" i="67"/>
  <c r="BA27" i="67"/>
  <c r="BA25" i="67"/>
  <c r="BA21" i="67"/>
  <c r="BA19" i="67"/>
  <c r="BA17" i="67"/>
  <c r="BA13" i="67"/>
  <c r="BA11" i="67"/>
  <c r="BA9" i="67"/>
  <c r="BA5" i="67"/>
  <c r="BA3" i="67"/>
  <c r="BA61" i="67"/>
  <c r="BA77" i="67"/>
  <c r="BA81" i="67"/>
  <c r="BA83" i="67"/>
  <c r="BA91" i="67"/>
  <c r="K102" i="67"/>
  <c r="Q52" i="67"/>
  <c r="AQ59" i="15"/>
  <c r="AR52" i="67" s="1"/>
  <c r="Q145" i="67"/>
  <c r="D142" i="27"/>
  <c r="K142" i="27" s="1"/>
  <c r="J142" i="15"/>
  <c r="D138" i="27"/>
  <c r="K138" i="27" s="1"/>
  <c r="J138" i="15"/>
  <c r="K131" i="67" s="1"/>
  <c r="E146" i="27"/>
  <c r="L146" i="27" s="1"/>
  <c r="L139" i="67"/>
  <c r="H144" i="27"/>
  <c r="Q144" i="15"/>
  <c r="R137" i="67" s="1"/>
  <c r="E142" i="27"/>
  <c r="L142" i="27" s="1"/>
  <c r="L135" i="67"/>
  <c r="Q140" i="15"/>
  <c r="R133" i="67" s="1"/>
  <c r="H140" i="27"/>
  <c r="P139" i="15"/>
  <c r="Q132" i="67" s="1"/>
  <c r="G139" i="27"/>
  <c r="E149" i="27"/>
  <c r="L149" i="27" s="1"/>
  <c r="N149" i="27" s="1"/>
  <c r="H152" i="27"/>
  <c r="Q152" i="15"/>
  <c r="Q25" i="15"/>
  <c r="R18" i="67" s="1"/>
  <c r="H25" i="27"/>
  <c r="Q27" i="15"/>
  <c r="R20" i="67" s="1"/>
  <c r="H27" i="27"/>
  <c r="Q31" i="15"/>
  <c r="R24" i="67" s="1"/>
  <c r="H31" i="27"/>
  <c r="H32" i="27"/>
  <c r="Q32" i="15"/>
  <c r="R25" i="67" s="1"/>
  <c r="Q34" i="15"/>
  <c r="R27" i="67" s="1"/>
  <c r="H34" i="27"/>
  <c r="H35" i="27"/>
  <c r="Q35" i="15"/>
  <c r="R28" i="67" s="1"/>
  <c r="Q36" i="15"/>
  <c r="R29" i="67" s="1"/>
  <c r="H36" i="27"/>
  <c r="H37" i="27"/>
  <c r="Q37" i="15"/>
  <c r="R30" i="67" s="1"/>
  <c r="Q38" i="15"/>
  <c r="R31" i="67" s="1"/>
  <c r="H38" i="27"/>
  <c r="H41" i="27"/>
  <c r="Q41" i="15"/>
  <c r="R34" i="67" s="1"/>
  <c r="P123" i="15"/>
  <c r="Q116" i="67" s="1"/>
  <c r="G123" i="27"/>
  <c r="P122" i="15"/>
  <c r="G122" i="27"/>
  <c r="AU115" i="67" s="1"/>
  <c r="P121" i="15"/>
  <c r="Q114" i="67" s="1"/>
  <c r="G121" i="27"/>
  <c r="P120" i="15"/>
  <c r="Q113" i="67" s="1"/>
  <c r="G120" i="27"/>
  <c r="P119" i="15"/>
  <c r="G119" i="27"/>
  <c r="L118" i="67"/>
  <c r="E125" i="27"/>
  <c r="AU119" i="67"/>
  <c r="AN126" i="27"/>
  <c r="L129" i="67"/>
  <c r="E136" i="27"/>
  <c r="D135" i="27"/>
  <c r="K135" i="27" s="1"/>
  <c r="J135" i="15"/>
  <c r="K128" i="67" s="1"/>
  <c r="H133" i="27"/>
  <c r="Q133" i="15"/>
  <c r="R126" i="67" s="1"/>
  <c r="Q129" i="15"/>
  <c r="R122" i="67" s="1"/>
  <c r="H129" i="27"/>
  <c r="H128" i="27"/>
  <c r="Q128" i="15"/>
  <c r="R121" i="67" s="1"/>
  <c r="Q127" i="15"/>
  <c r="R120" i="67" s="1"/>
  <c r="H127" i="27"/>
  <c r="G143" i="27"/>
  <c r="AN143" i="27" s="1"/>
  <c r="J146" i="15"/>
  <c r="D146" i="27"/>
  <c r="K146" i="27" s="1"/>
  <c r="AN147" i="27"/>
  <c r="AU140" i="67"/>
  <c r="H147" i="27"/>
  <c r="Q147" i="15"/>
  <c r="R140" i="67" s="1"/>
  <c r="E150" i="27"/>
  <c r="L150" i="27" s="1"/>
  <c r="E151" i="27"/>
  <c r="L151" i="27" s="1"/>
  <c r="N151" i="27" s="1"/>
  <c r="L144" i="67"/>
  <c r="J14" i="15"/>
  <c r="D14" i="27"/>
  <c r="K14" i="27" s="1"/>
  <c r="J15" i="15"/>
  <c r="D15" i="27"/>
  <c r="K15" i="27" s="1"/>
  <c r="P25" i="15"/>
  <c r="G25" i="27"/>
  <c r="P30" i="15"/>
  <c r="G30" i="27"/>
  <c r="AU23" i="67" s="1"/>
  <c r="J81" i="15"/>
  <c r="K74" i="67" s="1"/>
  <c r="D81" i="27"/>
  <c r="K81" i="27" s="1"/>
  <c r="H89" i="27"/>
  <c r="Q89" i="15"/>
  <c r="R82" i="67" s="1"/>
  <c r="L84" i="67"/>
  <c r="E91" i="27"/>
  <c r="L91" i="27" s="1"/>
  <c r="L86" i="67"/>
  <c r="E93" i="27"/>
  <c r="L93" i="27" s="1"/>
  <c r="E120" i="27"/>
  <c r="L113" i="67"/>
  <c r="AU127" i="67"/>
  <c r="D115" i="27"/>
  <c r="K115" i="27" s="1"/>
  <c r="E107" i="27"/>
  <c r="P132" i="15"/>
  <c r="Q125" i="67" s="1"/>
  <c r="Q46" i="67"/>
  <c r="H86" i="27"/>
  <c r="D96" i="27"/>
  <c r="K96" i="27" s="1"/>
  <c r="P27" i="15"/>
  <c r="Q20" i="67" s="1"/>
  <c r="P28" i="15"/>
  <c r="AU66" i="67"/>
  <c r="AN73" i="27"/>
  <c r="Q83" i="15"/>
  <c r="R76" i="67" s="1"/>
  <c r="Q16" i="15"/>
  <c r="R9" i="67" s="1"/>
  <c r="H16" i="27"/>
  <c r="E23" i="27"/>
  <c r="L23" i="27" s="1"/>
  <c r="L16" i="67"/>
  <c r="E41" i="27"/>
  <c r="L41" i="27" s="1"/>
  <c r="L34" i="67"/>
  <c r="L35" i="67"/>
  <c r="E42" i="27"/>
  <c r="L42" i="27" s="1"/>
  <c r="E44" i="27"/>
  <c r="L44" i="27" s="1"/>
  <c r="L37" i="67"/>
  <c r="E47" i="27"/>
  <c r="L47" i="27" s="1"/>
  <c r="L45" i="67"/>
  <c r="E52" i="27"/>
  <c r="E56" i="27"/>
  <c r="L56" i="27" s="1"/>
  <c r="L49" i="67"/>
  <c r="L50" i="67"/>
  <c r="E57" i="27"/>
  <c r="L57" i="27" s="1"/>
  <c r="E63" i="27"/>
  <c r="L56" i="67"/>
  <c r="E66" i="27"/>
  <c r="L59" i="67"/>
  <c r="G68" i="27"/>
  <c r="P68" i="15"/>
  <c r="Q61" i="67" s="1"/>
  <c r="P71" i="15"/>
  <c r="Q64" i="67" s="1"/>
  <c r="G71" i="27"/>
  <c r="G72" i="27"/>
  <c r="AU65" i="67" s="1"/>
  <c r="P72" i="15"/>
  <c r="Q65" i="67" s="1"/>
  <c r="G75" i="27"/>
  <c r="P75" i="15"/>
  <c r="Q68" i="67" s="1"/>
  <c r="H78" i="27"/>
  <c r="Q78" i="15"/>
  <c r="R71" i="67" s="1"/>
  <c r="G88" i="27"/>
  <c r="P88" i="15"/>
  <c r="AQ88" i="15" s="1"/>
  <c r="J87" i="15"/>
  <c r="D87" i="27"/>
  <c r="K87" i="27" s="1"/>
  <c r="K78" i="67"/>
  <c r="K77" i="67"/>
  <c r="L91" i="67"/>
  <c r="E98" i="27"/>
  <c r="L98" i="27" s="1"/>
  <c r="P109" i="15"/>
  <c r="Q102" i="67" s="1"/>
  <c r="G109" i="27"/>
  <c r="G23" i="27"/>
  <c r="P23" i="15"/>
  <c r="J95" i="15"/>
  <c r="K88" i="67" s="1"/>
  <c r="D95" i="27"/>
  <c r="K95" i="27" s="1"/>
  <c r="D98" i="27"/>
  <c r="K98" i="27" s="1"/>
  <c r="J98" i="15"/>
  <c r="K91" i="67" s="1"/>
  <c r="L95" i="67"/>
  <c r="E102" i="27"/>
  <c r="H118" i="27"/>
  <c r="Q118" i="15"/>
  <c r="R111" i="67" s="1"/>
  <c r="P133" i="15"/>
  <c r="Q126" i="67" s="1"/>
  <c r="G133" i="27"/>
  <c r="AN133" i="27" s="1"/>
  <c r="H113" i="27"/>
  <c r="P105" i="15"/>
  <c r="Q98" i="67" s="1"/>
  <c r="E106" i="27"/>
  <c r="P127" i="15"/>
  <c r="G116" i="27"/>
  <c r="AU123" i="67"/>
  <c r="E122" i="27"/>
  <c r="P130" i="15"/>
  <c r="AQ130" i="15" s="1"/>
  <c r="AR123" i="67" s="1"/>
  <c r="Q101" i="15"/>
  <c r="R94" i="67" s="1"/>
  <c r="J136" i="15"/>
  <c r="D13" i="27"/>
  <c r="K13" i="27" s="1"/>
  <c r="D17" i="27"/>
  <c r="K17" i="27" s="1"/>
  <c r="G12" i="27"/>
  <c r="P12" i="15"/>
  <c r="Q5" i="67" s="1"/>
  <c r="J30" i="15"/>
  <c r="K23" i="67" s="1"/>
  <c r="D30" i="27"/>
  <c r="K30" i="27" s="1"/>
  <c r="D32" i="27"/>
  <c r="K32" i="27" s="1"/>
  <c r="N32" i="27" s="1"/>
  <c r="AV25" i="67" s="1"/>
  <c r="J32" i="15"/>
  <c r="K25" i="67" s="1"/>
  <c r="J37" i="15"/>
  <c r="K30" i="67" s="1"/>
  <c r="D37" i="27"/>
  <c r="K37" i="27" s="1"/>
  <c r="D38" i="27"/>
  <c r="K38" i="27" s="1"/>
  <c r="J38" i="15"/>
  <c r="K31" i="67" s="1"/>
  <c r="J41" i="15"/>
  <c r="K34" i="67" s="1"/>
  <c r="D41" i="27"/>
  <c r="K41" i="27" s="1"/>
  <c r="J42" i="15"/>
  <c r="K35" i="67" s="1"/>
  <c r="D42" i="27"/>
  <c r="K42" i="27" s="1"/>
  <c r="J44" i="15"/>
  <c r="K37" i="67" s="1"/>
  <c r="D44" i="27"/>
  <c r="K44" i="27" s="1"/>
  <c r="J50" i="15"/>
  <c r="K43" i="67" s="1"/>
  <c r="D50" i="27"/>
  <c r="K50" i="27" s="1"/>
  <c r="J53" i="15"/>
  <c r="K46" i="67" s="1"/>
  <c r="D53" i="27"/>
  <c r="K53" i="27" s="1"/>
  <c r="J56" i="15"/>
  <c r="D56" i="27"/>
  <c r="K56" i="27" s="1"/>
  <c r="D57" i="27"/>
  <c r="K57" i="27" s="1"/>
  <c r="J57" i="15"/>
  <c r="J59" i="15"/>
  <c r="D59" i="27"/>
  <c r="K59" i="27" s="1"/>
  <c r="J61" i="15"/>
  <c r="D61" i="27"/>
  <c r="K61" i="27" s="1"/>
  <c r="D62" i="27"/>
  <c r="K62" i="27" s="1"/>
  <c r="J62" i="15"/>
  <c r="K55" i="67" s="1"/>
  <c r="D64" i="27"/>
  <c r="K64" i="27" s="1"/>
  <c r="J64" i="15"/>
  <c r="K57" i="67" s="1"/>
  <c r="E71" i="27"/>
  <c r="L71" i="27" s="1"/>
  <c r="L64" i="67"/>
  <c r="H143" i="27"/>
  <c r="Q143" i="15"/>
  <c r="R136" i="67" s="1"/>
  <c r="Q135" i="67"/>
  <c r="AQ142" i="15"/>
  <c r="AR135" i="67" s="1"/>
  <c r="L131" i="67"/>
  <c r="E138" i="27"/>
  <c r="L138" i="27" s="1"/>
  <c r="G150" i="27"/>
  <c r="P150" i="15"/>
  <c r="Q54" i="67"/>
  <c r="AQ61" i="15"/>
  <c r="AR54" i="67" s="1"/>
  <c r="Q58" i="67"/>
  <c r="AQ24" i="15"/>
  <c r="AR17" i="67" s="1"/>
  <c r="Q17" i="67"/>
  <c r="K32" i="67"/>
  <c r="AN84" i="27"/>
  <c r="AU77" i="67"/>
  <c r="L108" i="67"/>
  <c r="M115" i="15"/>
  <c r="N108" i="67" s="1"/>
  <c r="AQ136" i="15"/>
  <c r="AR129" i="67" s="1"/>
  <c r="Q129" i="67"/>
  <c r="L57" i="67"/>
  <c r="Q86" i="67"/>
  <c r="AQ93" i="15"/>
  <c r="AR86" i="67" s="1"/>
  <c r="D112" i="27"/>
  <c r="K112" i="27" s="1"/>
  <c r="AF143" i="67"/>
  <c r="AQ116" i="15"/>
  <c r="AR109" i="67" s="1"/>
  <c r="AF78" i="15"/>
  <c r="AG71" i="67" s="1"/>
  <c r="BC71" i="67" s="1"/>
  <c r="AF40" i="15"/>
  <c r="AG33" i="67" s="1"/>
  <c r="BC33" i="67" s="1"/>
  <c r="AF98" i="15"/>
  <c r="AG91" i="67" s="1"/>
  <c r="BC91" i="67" s="1"/>
  <c r="P62" i="15"/>
  <c r="H30" i="27"/>
  <c r="D31" i="27"/>
  <c r="K31" i="27" s="1"/>
  <c r="G136" i="27"/>
  <c r="AF102" i="15"/>
  <c r="AG95" i="67" s="1"/>
  <c r="BC95" i="67" s="1"/>
  <c r="J139" i="15"/>
  <c r="G138" i="27"/>
  <c r="AF76" i="15"/>
  <c r="AG69" i="67" s="1"/>
  <c r="BC69" i="67" s="1"/>
  <c r="J92" i="15"/>
  <c r="D35" i="27"/>
  <c r="K35" i="27" s="1"/>
  <c r="P85" i="15"/>
  <c r="J82" i="15"/>
  <c r="K75" i="67" s="1"/>
  <c r="AQ66" i="15"/>
  <c r="AR59" i="67" s="1"/>
  <c r="AQ47" i="15"/>
  <c r="AR40" i="67" s="1"/>
  <c r="J147" i="15"/>
  <c r="J118" i="15"/>
  <c r="P146" i="15"/>
  <c r="AF116" i="15"/>
  <c r="AG109" i="67" s="1"/>
  <c r="BC109" i="67" s="1"/>
  <c r="AF121" i="15"/>
  <c r="AG114" i="67" s="1"/>
  <c r="BC114" i="67" s="1"/>
  <c r="AQ80" i="15"/>
  <c r="AR73" i="67" s="1"/>
  <c r="Q117" i="15"/>
  <c r="R110" i="67" s="1"/>
  <c r="AF128" i="15"/>
  <c r="AG121" i="67" s="1"/>
  <c r="BC121" i="67" s="1"/>
  <c r="P84" i="15"/>
  <c r="AQ84" i="15" s="1"/>
  <c r="AR77" i="67" s="1"/>
  <c r="H80" i="27"/>
  <c r="P74" i="15"/>
  <c r="Q135" i="15"/>
  <c r="R128" i="67" s="1"/>
  <c r="AQ145" i="15"/>
  <c r="AR138" i="67" s="1"/>
  <c r="AN153" i="27"/>
  <c r="J104" i="15"/>
  <c r="AF117" i="15"/>
  <c r="AG110" i="67" s="1"/>
  <c r="BC110" i="67" s="1"/>
  <c r="D39" i="27"/>
  <c r="K39" i="27" s="1"/>
  <c r="E58" i="27"/>
  <c r="L58" i="27" s="1"/>
  <c r="P141" i="15"/>
  <c r="AQ138" i="15"/>
  <c r="AR131" i="67" s="1"/>
  <c r="AF107" i="15"/>
  <c r="AG100" i="67" s="1"/>
  <c r="BC100" i="67" s="1"/>
  <c r="AF136" i="15"/>
  <c r="AG129" i="67" s="1"/>
  <c r="BC129" i="67" s="1"/>
  <c r="E115" i="27"/>
  <c r="L115" i="27" s="1"/>
  <c r="AF145" i="15"/>
  <c r="AG138" i="67" s="1"/>
  <c r="BC138" i="67" s="1"/>
  <c r="E130" i="27"/>
  <c r="Q47" i="15"/>
  <c r="R40" i="67" s="1"/>
  <c r="AF94" i="15"/>
  <c r="AG87" i="67" s="1"/>
  <c r="BC87" i="67" s="1"/>
  <c r="J63" i="15"/>
  <c r="H13" i="27"/>
  <c r="H43" i="27"/>
  <c r="G24" i="27"/>
  <c r="AF141" i="15"/>
  <c r="AG134" i="67" s="1"/>
  <c r="BC134" i="67" s="1"/>
  <c r="AF87" i="15"/>
  <c r="AG80" i="67" s="1"/>
  <c r="BC80" i="67" s="1"/>
  <c r="J33" i="15"/>
  <c r="K26" i="67" s="1"/>
  <c r="Q105" i="67"/>
  <c r="AH94" i="67"/>
  <c r="H108" i="27"/>
  <c r="AF28" i="15"/>
  <c r="AG21" i="67" s="1"/>
  <c r="BC21" i="67" s="1"/>
  <c r="H49" i="27"/>
  <c r="H26" i="27"/>
  <c r="AH26" i="27" s="1"/>
  <c r="AF36" i="15"/>
  <c r="AG29" i="67" s="1"/>
  <c r="BC29" i="67" s="1"/>
  <c r="AF20" i="15"/>
  <c r="AG13" i="67" s="1"/>
  <c r="BC13" i="67" s="1"/>
  <c r="AF129" i="15"/>
  <c r="AG122" i="67" s="1"/>
  <c r="BC122" i="67" s="1"/>
  <c r="AN43" i="27"/>
  <c r="AU36" i="67"/>
  <c r="L88" i="67"/>
  <c r="R54" i="67"/>
  <c r="Q85" i="67"/>
  <c r="AQ92" i="15"/>
  <c r="AR85" i="67" s="1"/>
  <c r="L72" i="67"/>
  <c r="M79" i="15"/>
  <c r="AQ89" i="15"/>
  <c r="AR82" i="67" s="1"/>
  <c r="Q82" i="67"/>
  <c r="AN101" i="27"/>
  <c r="AU94" i="67"/>
  <c r="K64" i="67"/>
  <c r="L98" i="67"/>
  <c r="K16" i="67"/>
  <c r="L18" i="67"/>
  <c r="M25" i="15"/>
  <c r="L22" i="67"/>
  <c r="AQ31" i="15"/>
  <c r="AR24" i="67" s="1"/>
  <c r="Q24" i="67"/>
  <c r="L2" i="67"/>
  <c r="M9" i="15"/>
  <c r="N2" i="67" s="1"/>
  <c r="L51" i="67"/>
  <c r="M58" i="15"/>
  <c r="N51" i="67" s="1"/>
  <c r="K92" i="67"/>
  <c r="AN152" i="27"/>
  <c r="M116" i="15"/>
  <c r="AF148" i="15"/>
  <c r="AG141" i="67" s="1"/>
  <c r="BC141" i="67" s="1"/>
  <c r="J133" i="15"/>
  <c r="Q138" i="67"/>
  <c r="AF120" i="15"/>
  <c r="AG113" i="67" s="1"/>
  <c r="BC113" i="67" s="1"/>
  <c r="E25" i="27"/>
  <c r="AQ60" i="15"/>
  <c r="AR53" i="67" s="1"/>
  <c r="J73" i="15"/>
  <c r="D71" i="27"/>
  <c r="K71" i="27" s="1"/>
  <c r="E60" i="27"/>
  <c r="AQ45" i="15"/>
  <c r="AR38" i="67" s="1"/>
  <c r="J151" i="15"/>
  <c r="M151" i="15" s="1"/>
  <c r="AU147" i="67"/>
  <c r="AF106" i="15"/>
  <c r="AG99" i="67" s="1"/>
  <c r="BC99" i="67" s="1"/>
  <c r="G117" i="27"/>
  <c r="AQ95" i="15"/>
  <c r="AR88" i="67" s="1"/>
  <c r="AQ34" i="15"/>
  <c r="AR27" i="67" s="1"/>
  <c r="J131" i="15"/>
  <c r="J107" i="15"/>
  <c r="E105" i="27"/>
  <c r="G31" i="27"/>
  <c r="AF34" i="15"/>
  <c r="AG27" i="67" s="1"/>
  <c r="BC27" i="67" s="1"/>
  <c r="G22" i="27"/>
  <c r="J20" i="15"/>
  <c r="K13" i="67" s="1"/>
  <c r="D99" i="27"/>
  <c r="K99" i="27" s="1"/>
  <c r="J97" i="15"/>
  <c r="P43" i="15"/>
  <c r="AQ43" i="15" s="1"/>
  <c r="AR36" i="67" s="1"/>
  <c r="AU141" i="67"/>
  <c r="P111" i="15"/>
  <c r="G89" i="27"/>
  <c r="J34" i="15"/>
  <c r="AF99" i="15"/>
  <c r="AG92" i="67" s="1"/>
  <c r="BC92" i="67" s="1"/>
  <c r="Q93" i="15"/>
  <c r="R86" i="67" s="1"/>
  <c r="H70" i="27"/>
  <c r="AF45" i="15"/>
  <c r="AG38" i="67" s="1"/>
  <c r="BC38" i="67" s="1"/>
  <c r="Q50" i="15"/>
  <c r="Q17" i="15"/>
  <c r="R10" i="67" s="1"/>
  <c r="E79" i="27"/>
  <c r="L79" i="27" s="1"/>
  <c r="AQ29" i="15"/>
  <c r="AR22" i="67" s="1"/>
  <c r="G137" i="27"/>
  <c r="J125" i="15"/>
  <c r="H103" i="27"/>
  <c r="AQ48" i="15"/>
  <c r="AR41" i="67" s="1"/>
  <c r="AF74" i="15"/>
  <c r="AG67" i="67" s="1"/>
  <c r="BC67" i="67" s="1"/>
  <c r="AF56" i="15"/>
  <c r="AG49" i="67" s="1"/>
  <c r="BC49" i="67" s="1"/>
  <c r="D18" i="27"/>
  <c r="K18" i="27" s="1"/>
  <c r="AQ56" i="15"/>
  <c r="AR49" i="67" s="1"/>
  <c r="H62" i="27"/>
  <c r="D23" i="27"/>
  <c r="K23" i="27" s="1"/>
  <c r="Q15" i="67"/>
  <c r="Q68" i="15"/>
  <c r="R61" i="67" s="1"/>
  <c r="G82" i="27"/>
  <c r="P81" i="15"/>
  <c r="AQ104" i="15"/>
  <c r="AR97" i="67" s="1"/>
  <c r="AQ117" i="15"/>
  <c r="AR110" i="67" s="1"/>
  <c r="P38" i="15"/>
  <c r="G145" i="27"/>
  <c r="AN64" i="27"/>
  <c r="P149" i="15"/>
  <c r="E95" i="27"/>
  <c r="L95" i="27" s="1"/>
  <c r="E9" i="27"/>
  <c r="L9" i="27" s="1"/>
  <c r="Q50" i="67"/>
  <c r="Q15" i="15"/>
  <c r="D80" i="27"/>
  <c r="K80" i="27" s="1"/>
  <c r="AQ137" i="15"/>
  <c r="AR130" i="67" s="1"/>
  <c r="J129" i="15"/>
  <c r="J127" i="15"/>
  <c r="K120" i="67" s="1"/>
  <c r="G92" i="27"/>
  <c r="E36" i="27"/>
  <c r="J51" i="15"/>
  <c r="J48" i="15"/>
  <c r="G57" i="27"/>
  <c r="AF88" i="15"/>
  <c r="AG81" i="67" s="1"/>
  <c r="BC81" i="67" s="1"/>
  <c r="E123" i="27"/>
  <c r="AF140" i="15"/>
  <c r="AG133" i="67" s="1"/>
  <c r="BC133" i="67" s="1"/>
  <c r="AF38" i="15"/>
  <c r="AG31" i="67" s="1"/>
  <c r="BC31" i="67" s="1"/>
  <c r="P148" i="15"/>
  <c r="H65" i="27"/>
  <c r="P55" i="15"/>
  <c r="AF12" i="15"/>
  <c r="AG5" i="67" s="1"/>
  <c r="BC5" i="67" s="1"/>
  <c r="P140" i="15"/>
  <c r="Q150" i="15"/>
  <c r="BA119" i="67"/>
  <c r="AH104" i="67"/>
  <c r="AH81" i="67"/>
  <c r="AF62" i="15"/>
  <c r="AG55" i="67" s="1"/>
  <c r="BC55" i="67" s="1"/>
  <c r="AF43" i="15"/>
  <c r="AG36" i="67" s="1"/>
  <c r="BC36" i="67" s="1"/>
  <c r="BA150" i="67"/>
  <c r="BA155" i="67"/>
  <c r="AH22" i="67"/>
  <c r="AF133" i="15"/>
  <c r="AG126" i="67" s="1"/>
  <c r="BC126" i="67" s="1"/>
  <c r="AQ76" i="15"/>
  <c r="AR69" i="67" s="1"/>
  <c r="AF110" i="15"/>
  <c r="AG103" i="67" s="1"/>
  <c r="BC103" i="67" s="1"/>
  <c r="AQ110" i="15"/>
  <c r="AR103" i="67" s="1"/>
  <c r="AF83" i="15"/>
  <c r="AG76" i="67" s="1"/>
  <c r="BC76" i="67" s="1"/>
  <c r="AF71" i="15"/>
  <c r="AG64" i="67" s="1"/>
  <c r="BC64" i="67" s="1"/>
  <c r="AF123" i="15"/>
  <c r="AG116" i="67" s="1"/>
  <c r="BC116" i="67" s="1"/>
  <c r="AH59" i="67"/>
  <c r="BA128" i="67"/>
  <c r="BA146" i="67"/>
  <c r="BA103" i="67"/>
  <c r="BA95" i="67"/>
  <c r="BA87" i="67"/>
  <c r="BA63" i="67"/>
  <c r="BA55" i="67"/>
  <c r="BA15" i="67"/>
  <c r="BA135" i="67"/>
  <c r="BA2" i="67"/>
  <c r="AF16" i="15"/>
  <c r="AG9" i="67" s="1"/>
  <c r="BC9" i="67" s="1"/>
  <c r="BA130" i="67"/>
  <c r="BA115" i="67"/>
  <c r="AF29" i="15"/>
  <c r="AG22" i="67" s="1"/>
  <c r="BC22" i="67" s="1"/>
  <c r="BA39" i="67"/>
  <c r="AF63" i="15"/>
  <c r="AG56" i="67" s="1"/>
  <c r="BC56" i="67" s="1"/>
  <c r="BA79" i="67"/>
  <c r="BA133" i="67"/>
  <c r="BA147" i="67"/>
  <c r="AF60" i="15"/>
  <c r="AG53" i="67" s="1"/>
  <c r="BC53" i="67" s="1"/>
  <c r="AF23" i="15"/>
  <c r="AG16" i="67" s="1"/>
  <c r="BC16" i="67" s="1"/>
  <c r="BA31" i="67"/>
  <c r="AF32" i="15"/>
  <c r="AG25" i="67" s="1"/>
  <c r="BC25" i="67" s="1"/>
  <c r="AF69" i="15"/>
  <c r="AG62" i="67" s="1"/>
  <c r="BC62" i="67" s="1"/>
  <c r="AF17" i="15"/>
  <c r="AG10" i="67" s="1"/>
  <c r="BC10" i="67" s="1"/>
  <c r="AF92" i="15"/>
  <c r="AG85" i="67" s="1"/>
  <c r="BC85" i="67" s="1"/>
  <c r="BA23" i="67"/>
  <c r="BA71" i="67"/>
  <c r="AF39" i="15"/>
  <c r="AG32" i="67" s="1"/>
  <c r="BC32" i="67" s="1"/>
  <c r="BA134" i="67"/>
  <c r="BA154" i="67"/>
  <c r="BA137" i="67"/>
  <c r="AF122" i="15"/>
  <c r="AG115" i="67" s="1"/>
  <c r="BC115" i="67" s="1"/>
  <c r="AQ69" i="15"/>
  <c r="AR62" i="67" s="1"/>
  <c r="P70" i="15"/>
  <c r="Q63" i="67" s="1"/>
  <c r="G70" i="27"/>
  <c r="Q72" i="15"/>
  <c r="H72" i="27"/>
  <c r="G77" i="27"/>
  <c r="P77" i="15"/>
  <c r="AQ77" i="15" s="1"/>
  <c r="AH79" i="67"/>
  <c r="Q81" i="15"/>
  <c r="H81" i="27"/>
  <c r="H132" i="27"/>
  <c r="Q132" i="15"/>
  <c r="AH42" i="67"/>
  <c r="AF39" i="67"/>
  <c r="AF46" i="15"/>
  <c r="AG39" i="67" s="1"/>
  <c r="BC39" i="67" s="1"/>
  <c r="H10" i="27"/>
  <c r="AH10" i="27" s="1"/>
  <c r="Q10" i="15"/>
  <c r="P21" i="15"/>
  <c r="G21" i="27"/>
  <c r="H28" i="27"/>
  <c r="Q28" i="15"/>
  <c r="H42" i="27"/>
  <c r="Q42" i="15"/>
  <c r="G17" i="27"/>
  <c r="P17" i="15"/>
  <c r="Q24" i="15"/>
  <c r="H24" i="27"/>
  <c r="K73" i="67"/>
  <c r="Q148" i="15"/>
  <c r="R141" i="67" s="1"/>
  <c r="H148" i="27"/>
  <c r="H67" i="27"/>
  <c r="Q67" i="15"/>
  <c r="Q18" i="15"/>
  <c r="H18" i="27"/>
  <c r="E30" i="27"/>
  <c r="L30" i="27" s="1"/>
  <c r="E76" i="27"/>
  <c r="G83" i="27"/>
  <c r="P83" i="15"/>
  <c r="G90" i="27"/>
  <c r="P90" i="15"/>
  <c r="G102" i="27"/>
  <c r="P102" i="15"/>
  <c r="P16" i="15"/>
  <c r="G16" i="27"/>
  <c r="H23" i="27"/>
  <c r="Q23" i="15"/>
  <c r="G41" i="27"/>
  <c r="P41" i="15"/>
  <c r="H48" i="27"/>
  <c r="Q48" i="15"/>
  <c r="E54" i="27"/>
  <c r="L54" i="27" s="1"/>
  <c r="G58" i="27"/>
  <c r="P58" i="15"/>
  <c r="AQ58" i="15" s="1"/>
  <c r="AR51" i="67" s="1"/>
  <c r="D72" i="27"/>
  <c r="K72" i="27" s="1"/>
  <c r="J72" i="15"/>
  <c r="E74" i="27"/>
  <c r="D89" i="27"/>
  <c r="K89" i="27" s="1"/>
  <c r="J89" i="15"/>
  <c r="Q136" i="15"/>
  <c r="R129" i="67" s="1"/>
  <c r="H136" i="27"/>
  <c r="K56" i="1"/>
  <c r="H29" i="27"/>
  <c r="Q29" i="15"/>
  <c r="P86" i="15"/>
  <c r="AQ86" i="15" s="1"/>
  <c r="G86" i="27"/>
  <c r="AQ129" i="15"/>
  <c r="AR122" i="67" s="1"/>
  <c r="K40" i="1"/>
  <c r="K44" i="1" s="1"/>
  <c r="H44" i="1"/>
  <c r="G9" i="27"/>
  <c r="P9" i="15"/>
  <c r="E18" i="27"/>
  <c r="L18" i="27" s="1"/>
  <c r="Q53" i="15"/>
  <c r="H53" i="27"/>
  <c r="H92" i="27"/>
  <c r="Q92" i="15"/>
  <c r="Q104" i="15"/>
  <c r="H104" i="27"/>
  <c r="AU120" i="67"/>
  <c r="AN127" i="27"/>
  <c r="AF89" i="15"/>
  <c r="AG82" i="67" s="1"/>
  <c r="BC82" i="67" s="1"/>
  <c r="BA84" i="67"/>
  <c r="BA68" i="67"/>
  <c r="BA4" i="67"/>
  <c r="BA122" i="67"/>
  <c r="AQ11" i="15"/>
  <c r="AR4" i="67" s="1"/>
  <c r="BA145" i="67"/>
  <c r="BA148" i="67"/>
  <c r="H14" i="1"/>
  <c r="Y166" i="15"/>
  <c r="Z159" i="67" s="1"/>
  <c r="Y167" i="15"/>
  <c r="Z160" i="67" s="1"/>
  <c r="Y163" i="15"/>
  <c r="Z156" i="67" s="1"/>
  <c r="Y155" i="15"/>
  <c r="Z148" i="67" s="1"/>
  <c r="Y154" i="15"/>
  <c r="Z147" i="67" s="1"/>
  <c r="Y162" i="15"/>
  <c r="Z155" i="67" s="1"/>
  <c r="Y158" i="15"/>
  <c r="Z151" i="67" s="1"/>
  <c r="Y156" i="15"/>
  <c r="Z149" i="67" s="1"/>
  <c r="Y160" i="15"/>
  <c r="Z153" i="67" s="1"/>
  <c r="BA43" i="67"/>
  <c r="AF24" i="15"/>
  <c r="AG17" i="67" s="1"/>
  <c r="BC17" i="67" s="1"/>
  <c r="AU154" i="67"/>
  <c r="AH13" i="67"/>
  <c r="BA120" i="67"/>
  <c r="BA112" i="67"/>
  <c r="BA96" i="67"/>
  <c r="BA72" i="67"/>
  <c r="BA107" i="67"/>
  <c r="BA111" i="67"/>
  <c r="BA149" i="67"/>
  <c r="Y157" i="15"/>
  <c r="Z150" i="67" s="1"/>
  <c r="BA99" i="67"/>
  <c r="AQ152" i="15"/>
  <c r="AR145" i="67" s="1"/>
  <c r="Z146" i="67"/>
  <c r="AF31" i="15"/>
  <c r="AG24" i="67" s="1"/>
  <c r="BC24" i="67" s="1"/>
  <c r="AU152" i="67"/>
  <c r="AU151" i="67"/>
  <c r="AN135" i="27"/>
  <c r="AN118" i="27"/>
  <c r="AU104" i="67"/>
  <c r="AN32" i="27"/>
  <c r="AU43" i="67"/>
  <c r="AU142" i="67"/>
  <c r="AN114" i="27"/>
  <c r="AN103" i="27"/>
  <c r="AN85" i="27"/>
  <c r="AN38" i="27"/>
  <c r="AU128" i="67"/>
  <c r="AU84" i="67"/>
  <c r="AN91" i="27"/>
  <c r="AN151" i="27"/>
  <c r="AU125" i="67"/>
  <c r="AU124" i="67"/>
  <c r="AU93" i="67"/>
  <c r="AU74" i="67"/>
  <c r="AN81" i="27"/>
  <c r="AN160" i="27"/>
  <c r="AU153" i="67"/>
  <c r="AN141" i="27"/>
  <c r="AU134" i="67"/>
  <c r="AN140" i="27"/>
  <c r="AU133" i="67"/>
  <c r="AU122" i="67"/>
  <c r="AN98" i="27"/>
  <c r="AU91" i="67"/>
  <c r="AU150" i="67"/>
  <c r="AN157" i="27"/>
  <c r="AU33" i="67"/>
  <c r="AN40" i="27"/>
  <c r="AN49" i="27"/>
  <c r="AU42" i="67"/>
  <c r="AN62" i="27"/>
  <c r="AU55" i="67"/>
  <c r="AU98" i="67"/>
  <c r="AN105" i="27"/>
  <c r="AN107" i="27"/>
  <c r="AU100" i="67"/>
  <c r="AN35" i="27"/>
  <c r="AU28" i="67"/>
  <c r="AN28" i="27"/>
  <c r="AU21" i="67"/>
  <c r="AU35" i="67"/>
  <c r="AN42" i="27"/>
  <c r="AN52" i="27"/>
  <c r="AU45" i="67"/>
  <c r="AN55" i="27"/>
  <c r="AN67" i="27"/>
  <c r="AN26" i="27"/>
  <c r="AU19" i="67"/>
  <c r="AU20" i="67"/>
  <c r="AN27" i="27"/>
  <c r="AU67" i="67"/>
  <c r="AN74" i="27"/>
  <c r="AH137" i="67"/>
  <c r="AH132" i="67"/>
  <c r="AF139" i="15"/>
  <c r="AG132" i="67" s="1"/>
  <c r="BC132" i="67" s="1"/>
  <c r="AH144" i="67"/>
  <c r="AF151" i="15"/>
  <c r="AG144" i="67" s="1"/>
  <c r="BC144" i="67" s="1"/>
  <c r="AH145" i="67"/>
  <c r="AH140" i="67"/>
  <c r="AF130" i="67"/>
  <c r="AF137" i="15"/>
  <c r="AG130" i="67" s="1"/>
  <c r="BC130" i="67" s="1"/>
  <c r="AF152" i="15"/>
  <c r="AG145" i="67" s="1"/>
  <c r="BC145" i="67" s="1"/>
  <c r="AF75" i="15"/>
  <c r="AG68" i="67" s="1"/>
  <c r="BC68" i="67" s="1"/>
  <c r="AH68" i="67"/>
  <c r="AF59" i="67"/>
  <c r="AF66" i="15"/>
  <c r="AG59" i="67" s="1"/>
  <c r="BC59" i="67" s="1"/>
  <c r="AH44" i="67"/>
  <c r="AF51" i="15"/>
  <c r="AG44" i="67" s="1"/>
  <c r="BC44" i="67" s="1"/>
  <c r="AF96" i="67"/>
  <c r="AF103" i="15"/>
  <c r="AG96" i="67" s="1"/>
  <c r="BC96" i="67" s="1"/>
  <c r="AF112" i="15"/>
  <c r="AG105" i="67" s="1"/>
  <c r="BC105" i="67" s="1"/>
  <c r="AH105" i="67"/>
  <c r="AH125" i="67"/>
  <c r="AF126" i="15"/>
  <c r="AG119" i="67" s="1"/>
  <c r="BC119" i="67" s="1"/>
  <c r="AF144" i="15"/>
  <c r="AG137" i="67" s="1"/>
  <c r="BC137" i="67" s="1"/>
  <c r="BA156" i="67"/>
  <c r="AQ144" i="15"/>
  <c r="AR137" i="67" s="1"/>
  <c r="AF149" i="15"/>
  <c r="AG142" i="67" s="1"/>
  <c r="BC142" i="67" s="1"/>
  <c r="AF65" i="67"/>
  <c r="AF72" i="15"/>
  <c r="AG65" i="67" s="1"/>
  <c r="BC65" i="67" s="1"/>
  <c r="AH66" i="67"/>
  <c r="AF73" i="15"/>
  <c r="AG66" i="67" s="1"/>
  <c r="BC66" i="67" s="1"/>
  <c r="AF60" i="67"/>
  <c r="AF67" i="15"/>
  <c r="AG60" i="67" s="1"/>
  <c r="BC60" i="67" s="1"/>
  <c r="AH58" i="67"/>
  <c r="AF65" i="15"/>
  <c r="AG58" i="67" s="1"/>
  <c r="BC58" i="67" s="1"/>
  <c r="AQ65" i="15"/>
  <c r="AR58" i="67" s="1"/>
  <c r="AH50" i="67"/>
  <c r="AQ57" i="15"/>
  <c r="AR50" i="67" s="1"/>
  <c r="AH7" i="67"/>
  <c r="AF14" i="15"/>
  <c r="AG7" i="67" s="1"/>
  <c r="BC7" i="67" s="1"/>
  <c r="AH3" i="67"/>
  <c r="AF10" i="15"/>
  <c r="AG3" i="67" s="1"/>
  <c r="BC3" i="67" s="1"/>
  <c r="AH61" i="67"/>
  <c r="AF68" i="15"/>
  <c r="AG61" i="67" s="1"/>
  <c r="BC61" i="67" s="1"/>
  <c r="AH78" i="67"/>
  <c r="AF85" i="15"/>
  <c r="AG78" i="67" s="1"/>
  <c r="BC78" i="67" s="1"/>
  <c r="AH91" i="67"/>
  <c r="AF93" i="67"/>
  <c r="AF100" i="15"/>
  <c r="AG93" i="67" s="1"/>
  <c r="BC93" i="67" s="1"/>
  <c r="AF47" i="67"/>
  <c r="AF54" i="15"/>
  <c r="AG47" i="67" s="1"/>
  <c r="BC47" i="67" s="1"/>
  <c r="AF42" i="67"/>
  <c r="AF49" i="15"/>
  <c r="AG42" i="67" s="1"/>
  <c r="BC42" i="67" s="1"/>
  <c r="AF86" i="15"/>
  <c r="AG79" i="67" s="1"/>
  <c r="BC79" i="67" s="1"/>
  <c r="AH75" i="67"/>
  <c r="AF82" i="15"/>
  <c r="AG75" i="67" s="1"/>
  <c r="BC75" i="67" s="1"/>
  <c r="AQ82" i="15"/>
  <c r="AR75" i="67" s="1"/>
  <c r="AH83" i="67"/>
  <c r="AF90" i="15"/>
  <c r="AG83" i="67" s="1"/>
  <c r="BC83" i="67" s="1"/>
  <c r="AF88" i="67"/>
  <c r="AF95" i="15"/>
  <c r="AG88" i="67" s="1"/>
  <c r="BC88" i="67" s="1"/>
  <c r="AF97" i="15"/>
  <c r="AG90" i="67" s="1"/>
  <c r="BC90" i="67" s="1"/>
  <c r="AQ97" i="15"/>
  <c r="AR90" i="67" s="1"/>
  <c r="AH136" i="67"/>
  <c r="AQ143" i="15"/>
  <c r="AH57" i="67"/>
  <c r="AF64" i="15"/>
  <c r="AG57" i="67" s="1"/>
  <c r="BC57" i="67" s="1"/>
  <c r="AF58" i="15"/>
  <c r="AG51" i="67" s="1"/>
  <c r="BC51" i="67" s="1"/>
  <c r="AH43" i="67"/>
  <c r="AF50" i="15"/>
  <c r="AG43" i="67" s="1"/>
  <c r="BC43" i="67" s="1"/>
  <c r="AF40" i="67"/>
  <c r="AF47" i="15"/>
  <c r="AG40" i="67" s="1"/>
  <c r="BC40" i="67" s="1"/>
  <c r="AQ22" i="15"/>
  <c r="AR15" i="67" s="1"/>
  <c r="AF22" i="15"/>
  <c r="AG15" i="67" s="1"/>
  <c r="BC15" i="67" s="1"/>
  <c r="AF107" i="67"/>
  <c r="AF114" i="15"/>
  <c r="AG107" i="67" s="1"/>
  <c r="BC107" i="67" s="1"/>
  <c r="BA12" i="67"/>
  <c r="AH34" i="67"/>
  <c r="AF41" i="15"/>
  <c r="AG34" i="67" s="1"/>
  <c r="BC34" i="67" s="1"/>
  <c r="AH20" i="67"/>
  <c r="AF27" i="15"/>
  <c r="AG20" i="67" s="1"/>
  <c r="BC20" i="67" s="1"/>
  <c r="BA52" i="67"/>
  <c r="AH29" i="67"/>
  <c r="AQ36" i="15"/>
  <c r="AF70" i="15"/>
  <c r="AG63" i="67" s="1"/>
  <c r="BC63" i="67" s="1"/>
  <c r="AF63" i="67"/>
  <c r="AH77" i="67"/>
  <c r="AF84" i="15"/>
  <c r="AG77" i="67" s="1"/>
  <c r="BC77" i="67" s="1"/>
  <c r="BA108" i="67"/>
  <c r="AN146" i="27"/>
  <c r="AU139" i="67"/>
  <c r="K110" i="67"/>
  <c r="AN96" i="27"/>
  <c r="AU89" i="67"/>
  <c r="K6" i="67"/>
  <c r="Q103" i="67"/>
  <c r="E10" i="27"/>
  <c r="E16" i="27"/>
  <c r="D19" i="27"/>
  <c r="K19" i="27" s="1"/>
  <c r="J19" i="15"/>
  <c r="L14" i="67"/>
  <c r="M21" i="15"/>
  <c r="Q40" i="15"/>
  <c r="H40" i="27"/>
  <c r="R36" i="67"/>
  <c r="H74" i="27"/>
  <c r="Q74" i="15"/>
  <c r="Q87" i="15"/>
  <c r="H87" i="27"/>
  <c r="K84" i="67"/>
  <c r="R52" i="67"/>
  <c r="AQ14" i="15"/>
  <c r="Q7" i="67"/>
  <c r="E24" i="27"/>
  <c r="E81" i="27"/>
  <c r="L81" i="27" s="1"/>
  <c r="D148" i="27"/>
  <c r="K148" i="27" s="1"/>
  <c r="J148" i="15"/>
  <c r="M148" i="15" s="1"/>
  <c r="Q45" i="15"/>
  <c r="H45" i="27"/>
  <c r="Q122" i="15"/>
  <c r="R115" i="67" s="1"/>
  <c r="H122" i="27"/>
  <c r="G128" i="27"/>
  <c r="P128" i="15"/>
  <c r="E20" i="27"/>
  <c r="E62" i="27"/>
  <c r="L62" i="27" s="1"/>
  <c r="Q33" i="15"/>
  <c r="H33" i="27"/>
  <c r="D145" i="27"/>
  <c r="K145" i="27" s="1"/>
  <c r="J145" i="15"/>
  <c r="AN162" i="27"/>
  <c r="AU155" i="67"/>
  <c r="H56" i="27"/>
  <c r="Q56" i="15"/>
  <c r="E137" i="27"/>
  <c r="H102" i="27"/>
  <c r="R118" i="67"/>
  <c r="R144" i="67"/>
  <c r="H120" i="27"/>
  <c r="Q120" i="15"/>
  <c r="H130" i="27"/>
  <c r="Q130" i="15"/>
  <c r="R138" i="67"/>
  <c r="R134" i="67"/>
  <c r="R116" i="67"/>
  <c r="H124" i="27"/>
  <c r="Q124" i="15"/>
  <c r="R132" i="67"/>
  <c r="AN155" i="27"/>
  <c r="Y165" i="15"/>
  <c r="Z158" i="67" s="1"/>
  <c r="AN163" i="27"/>
  <c r="K156" i="67"/>
  <c r="R156" i="67"/>
  <c r="AH60" i="27" l="1"/>
  <c r="R227" i="27"/>
  <c r="AH227" i="27"/>
  <c r="AH225" i="27"/>
  <c r="R225" i="27"/>
  <c r="R228" i="27"/>
  <c r="AH228" i="27"/>
  <c r="AH226" i="27"/>
  <c r="R226" i="27"/>
  <c r="R228" i="15"/>
  <c r="R227" i="15"/>
  <c r="R226" i="15"/>
  <c r="R225" i="15"/>
  <c r="Q127" i="67"/>
  <c r="AH44" i="27"/>
  <c r="AH87" i="27"/>
  <c r="AH67" i="27"/>
  <c r="AH103" i="27"/>
  <c r="AH70" i="27"/>
  <c r="AH49" i="27"/>
  <c r="AH113" i="27"/>
  <c r="AH78" i="27"/>
  <c r="AH147" i="27"/>
  <c r="AH27" i="27"/>
  <c r="AH90" i="27"/>
  <c r="AH22" i="27"/>
  <c r="AH56" i="27"/>
  <c r="AH29" i="27"/>
  <c r="AH148" i="27"/>
  <c r="AH42" i="27"/>
  <c r="AH43" i="27"/>
  <c r="AH89" i="27"/>
  <c r="AH128" i="27"/>
  <c r="AH41" i="27"/>
  <c r="AH35" i="27"/>
  <c r="AH140" i="27"/>
  <c r="AH134" i="27"/>
  <c r="AH130" i="27"/>
  <c r="AH104" i="27"/>
  <c r="AH23" i="27"/>
  <c r="AH72" i="27"/>
  <c r="AH62" i="27"/>
  <c r="AH108" i="27"/>
  <c r="AH13" i="27"/>
  <c r="AH143" i="27"/>
  <c r="AH129" i="27"/>
  <c r="AH38" i="27"/>
  <c r="AH34" i="27"/>
  <c r="AH25" i="27"/>
  <c r="AH74" i="27"/>
  <c r="AH136" i="27"/>
  <c r="AH28" i="27"/>
  <c r="AH30" i="27"/>
  <c r="AH120" i="27"/>
  <c r="AH124" i="27"/>
  <c r="AH122" i="27"/>
  <c r="AH24" i="27"/>
  <c r="AH132" i="27"/>
  <c r="AH65" i="27"/>
  <c r="AH118" i="27"/>
  <c r="AH16" i="27"/>
  <c r="AH86" i="27"/>
  <c r="AH119" i="27"/>
  <c r="AH107" i="27"/>
  <c r="AH40" i="27"/>
  <c r="AH92" i="27"/>
  <c r="AH18" i="27"/>
  <c r="AH81" i="27"/>
  <c r="AH80" i="27"/>
  <c r="AH133" i="27"/>
  <c r="AH37" i="27"/>
  <c r="AH32" i="27"/>
  <c r="AH152" i="27"/>
  <c r="AH141" i="27"/>
  <c r="AH102" i="27"/>
  <c r="AH33" i="27"/>
  <c r="AH45" i="27"/>
  <c r="AH53" i="27"/>
  <c r="AH48" i="27"/>
  <c r="AH127" i="27"/>
  <c r="AH36" i="27"/>
  <c r="AH31" i="27"/>
  <c r="AH144" i="27"/>
  <c r="AH97" i="27"/>
  <c r="AH73" i="27"/>
  <c r="AH54" i="27"/>
  <c r="AH139" i="27"/>
  <c r="AH126" i="27"/>
  <c r="AH101" i="27"/>
  <c r="AH11" i="27"/>
  <c r="AH150" i="27"/>
  <c r="AH88" i="27"/>
  <c r="AH66" i="27"/>
  <c r="AH100" i="27"/>
  <c r="AH161" i="27"/>
  <c r="AH82" i="27"/>
  <c r="AH137" i="27"/>
  <c r="AH149" i="27"/>
  <c r="AH79" i="27"/>
  <c r="AH64" i="27"/>
  <c r="AH52" i="27"/>
  <c r="AH155" i="27"/>
  <c r="AH69" i="27"/>
  <c r="AH117" i="27"/>
  <c r="AH93" i="27"/>
  <c r="AH68" i="27"/>
  <c r="AH75" i="27"/>
  <c r="AH63" i="27"/>
  <c r="AH21" i="27"/>
  <c r="AH114" i="27"/>
  <c r="AH9" i="27"/>
  <c r="AH145" i="27"/>
  <c r="AH146" i="27"/>
  <c r="AH47" i="27"/>
  <c r="AH157" i="27"/>
  <c r="AH91" i="27"/>
  <c r="R172" i="27"/>
  <c r="R224" i="27"/>
  <c r="AH224" i="27"/>
  <c r="AH221" i="27"/>
  <c r="AK221" i="27" s="1"/>
  <c r="R218" i="27"/>
  <c r="V218" i="27" s="1"/>
  <c r="AH215" i="27"/>
  <c r="AK215" i="27" s="1"/>
  <c r="AH219" i="27"/>
  <c r="AK219" i="27" s="1"/>
  <c r="R215" i="27"/>
  <c r="V215" i="27" s="1"/>
  <c r="R221" i="27"/>
  <c r="V221" i="27" s="1"/>
  <c r="AH216" i="27"/>
  <c r="AK216" i="27" s="1"/>
  <c r="AH217" i="27"/>
  <c r="AK217" i="27" s="1"/>
  <c r="AH218" i="27"/>
  <c r="AK218" i="27" s="1"/>
  <c r="R217" i="27"/>
  <c r="V217" i="27" s="1"/>
  <c r="AH222" i="27"/>
  <c r="AK222" i="27" s="1"/>
  <c r="R223" i="27"/>
  <c r="V223" i="27" s="1"/>
  <c r="R219" i="27"/>
  <c r="V219" i="27" s="1"/>
  <c r="AH220" i="27"/>
  <c r="AK220" i="27" s="1"/>
  <c r="R220" i="27"/>
  <c r="V220" i="27" s="1"/>
  <c r="R216" i="27"/>
  <c r="V216" i="27" s="1"/>
  <c r="AH223" i="27"/>
  <c r="AK223" i="27" s="1"/>
  <c r="R222" i="27"/>
  <c r="V222" i="27" s="1"/>
  <c r="AH191" i="27"/>
  <c r="AK191" i="27" s="1"/>
  <c r="AH190" i="27"/>
  <c r="AK190" i="27" s="1"/>
  <c r="AH204" i="27"/>
  <c r="AK204" i="27" s="1"/>
  <c r="AH211" i="27"/>
  <c r="AK211" i="27" s="1"/>
  <c r="AH201" i="27"/>
  <c r="AK201" i="27" s="1"/>
  <c r="R203" i="27"/>
  <c r="V203" i="27" s="1"/>
  <c r="R214" i="27"/>
  <c r="V214" i="27" s="1"/>
  <c r="R186" i="27"/>
  <c r="V186" i="27" s="1"/>
  <c r="R189" i="27"/>
  <c r="V189" i="27" s="1"/>
  <c r="R184" i="27"/>
  <c r="V184" i="27" s="1"/>
  <c r="R205" i="27"/>
  <c r="V205" i="27" s="1"/>
  <c r="R210" i="27"/>
  <c r="V210" i="27" s="1"/>
  <c r="R206" i="27"/>
  <c r="V206" i="27" s="1"/>
  <c r="R208" i="27"/>
  <c r="V208" i="27" s="1"/>
  <c r="R202" i="27"/>
  <c r="V202" i="27" s="1"/>
  <c r="AH197" i="27"/>
  <c r="AK197" i="27" s="1"/>
  <c r="AH192" i="27"/>
  <c r="AK192" i="27" s="1"/>
  <c r="AH205" i="27"/>
  <c r="AK205" i="27" s="1"/>
  <c r="AH194" i="27"/>
  <c r="AK194" i="27" s="1"/>
  <c r="AH213" i="27"/>
  <c r="AK213" i="27" s="1"/>
  <c r="R192" i="27"/>
  <c r="V192" i="27" s="1"/>
  <c r="R204" i="27"/>
  <c r="V204" i="27" s="1"/>
  <c r="R187" i="27"/>
  <c r="V187" i="27" s="1"/>
  <c r="R213" i="27"/>
  <c r="V213" i="27" s="1"/>
  <c r="AH185" i="27"/>
  <c r="AK185" i="27" s="1"/>
  <c r="AH198" i="27"/>
  <c r="AK198" i="27" s="1"/>
  <c r="AH188" i="27"/>
  <c r="AK188" i="27" s="1"/>
  <c r="AH196" i="27"/>
  <c r="AK196" i="27" s="1"/>
  <c r="R196" i="27"/>
  <c r="V196" i="27" s="1"/>
  <c r="R190" i="27"/>
  <c r="V190" i="27" s="1"/>
  <c r="R179" i="27"/>
  <c r="V179" i="27" s="1"/>
  <c r="R191" i="27"/>
  <c r="V191" i="27" s="1"/>
  <c r="R195" i="27"/>
  <c r="V195" i="27" s="1"/>
  <c r="AH178" i="27"/>
  <c r="AK178" i="27" s="1"/>
  <c r="AH199" i="27"/>
  <c r="AK199" i="27" s="1"/>
  <c r="AH183" i="27"/>
  <c r="AK183" i="27" s="1"/>
  <c r="AH187" i="27"/>
  <c r="AK187" i="27" s="1"/>
  <c r="R199" i="27"/>
  <c r="V199" i="27" s="1"/>
  <c r="R201" i="27"/>
  <c r="V201" i="27" s="1"/>
  <c r="R183" i="27"/>
  <c r="V183" i="27" s="1"/>
  <c r="R177" i="27"/>
  <c r="V177" i="27" s="1"/>
  <c r="AH210" i="27"/>
  <c r="AK210" i="27" s="1"/>
  <c r="AH200" i="27"/>
  <c r="AK200" i="27" s="1"/>
  <c r="AH180" i="27"/>
  <c r="AK180" i="27" s="1"/>
  <c r="AH181" i="27"/>
  <c r="AK181" i="27" s="1"/>
  <c r="R182" i="27"/>
  <c r="V182" i="27" s="1"/>
  <c r="R193" i="27"/>
  <c r="V193" i="27" s="1"/>
  <c r="R185" i="27"/>
  <c r="V185" i="27" s="1"/>
  <c r="R198" i="27"/>
  <c r="V198" i="27" s="1"/>
  <c r="R180" i="27"/>
  <c r="V180" i="27" s="1"/>
  <c r="AH207" i="27"/>
  <c r="AK207" i="27" s="1"/>
  <c r="AH184" i="27"/>
  <c r="AK184" i="27" s="1"/>
  <c r="AH203" i="27"/>
  <c r="AK203" i="27" s="1"/>
  <c r="AH193" i="27"/>
  <c r="AK193" i="27" s="1"/>
  <c r="AH206" i="27"/>
  <c r="AK206" i="27" s="1"/>
  <c r="AH202" i="27"/>
  <c r="AK202" i="27" s="1"/>
  <c r="R200" i="27"/>
  <c r="V200" i="27" s="1"/>
  <c r="R194" i="27"/>
  <c r="V194" i="27" s="1"/>
  <c r="R212" i="27"/>
  <c r="V212" i="27" s="1"/>
  <c r="R188" i="27"/>
  <c r="V188" i="27" s="1"/>
  <c r="R209" i="27"/>
  <c r="V209" i="27" s="1"/>
  <c r="AH177" i="27"/>
  <c r="AK177" i="27" s="1"/>
  <c r="AH209" i="27"/>
  <c r="AK209" i="27" s="1"/>
  <c r="AH186" i="27"/>
  <c r="AK186" i="27" s="1"/>
  <c r="AH208" i="27"/>
  <c r="AK208" i="27" s="1"/>
  <c r="AH195" i="27"/>
  <c r="AK195" i="27" s="1"/>
  <c r="R181" i="27"/>
  <c r="V181" i="27" s="1"/>
  <c r="R211" i="27"/>
  <c r="V211" i="27" s="1"/>
  <c r="R178" i="27"/>
  <c r="V178" i="27" s="1"/>
  <c r="AH189" i="27"/>
  <c r="AK189" i="27" s="1"/>
  <c r="AH182" i="27"/>
  <c r="AK182" i="27" s="1"/>
  <c r="AH179" i="27"/>
  <c r="AK179" i="27" s="1"/>
  <c r="AH212" i="27"/>
  <c r="AK212" i="27" s="1"/>
  <c r="AH214" i="27"/>
  <c r="AK214" i="27" s="1"/>
  <c r="R197" i="27"/>
  <c r="V197" i="27" s="1"/>
  <c r="R207" i="27"/>
  <c r="V207" i="27" s="1"/>
  <c r="AH176" i="27"/>
  <c r="AH175" i="27"/>
  <c r="AH174" i="27"/>
  <c r="AH173" i="27"/>
  <c r="AH172" i="27"/>
  <c r="AH171" i="27"/>
  <c r="AH170" i="27"/>
  <c r="AH168" i="27"/>
  <c r="AH166" i="27"/>
  <c r="AH167" i="27"/>
  <c r="AH169" i="27"/>
  <c r="AH164" i="27"/>
  <c r="AH165" i="27"/>
  <c r="AH46" i="27"/>
  <c r="AH125" i="27"/>
  <c r="AH138" i="27"/>
  <c r="AH55" i="27"/>
  <c r="R224" i="15"/>
  <c r="S217" i="67" s="1"/>
  <c r="R216" i="15"/>
  <c r="S209" i="67" s="1"/>
  <c r="R219" i="15"/>
  <c r="S212" i="67" s="1"/>
  <c r="R223" i="15"/>
  <c r="S216" i="67" s="1"/>
  <c r="R215" i="15"/>
  <c r="S208" i="67" s="1"/>
  <c r="R217" i="15"/>
  <c r="S210" i="67" s="1"/>
  <c r="R218" i="15"/>
  <c r="S211" i="67" s="1"/>
  <c r="R220" i="15"/>
  <c r="S213" i="67" s="1"/>
  <c r="R221" i="15"/>
  <c r="S214" i="67" s="1"/>
  <c r="R222" i="15"/>
  <c r="S215" i="67" s="1"/>
  <c r="R201" i="15"/>
  <c r="R208" i="15"/>
  <c r="R214" i="15"/>
  <c r="S207" i="67" s="1"/>
  <c r="R200" i="15"/>
  <c r="R210" i="15"/>
  <c r="R204" i="15"/>
  <c r="R177" i="15"/>
  <c r="R178" i="15"/>
  <c r="R179" i="15"/>
  <c r="R180" i="15"/>
  <c r="R181" i="15"/>
  <c r="R182" i="15"/>
  <c r="R183" i="15"/>
  <c r="R184" i="15"/>
  <c r="R185" i="15"/>
  <c r="R186" i="15"/>
  <c r="R187" i="15"/>
  <c r="R188" i="15"/>
  <c r="R189" i="15"/>
  <c r="R190" i="15"/>
  <c r="R191" i="15"/>
  <c r="R192" i="15"/>
  <c r="R193" i="15"/>
  <c r="R194" i="15"/>
  <c r="R195" i="15"/>
  <c r="R196" i="15"/>
  <c r="R197" i="15"/>
  <c r="R198" i="15"/>
  <c r="R199" i="15"/>
  <c r="R203" i="15"/>
  <c r="R205" i="15"/>
  <c r="R207" i="15"/>
  <c r="R211" i="15"/>
  <c r="R213" i="15"/>
  <c r="S206" i="67" s="1"/>
  <c r="R202" i="15"/>
  <c r="R206" i="15"/>
  <c r="R209" i="15"/>
  <c r="R212" i="15"/>
  <c r="H63" i="1"/>
  <c r="AH112" i="27"/>
  <c r="AH153" i="27"/>
  <c r="AH110" i="27"/>
  <c r="AH39" i="27"/>
  <c r="AH115" i="27"/>
  <c r="AH77" i="27"/>
  <c r="AH58" i="27"/>
  <c r="AH99" i="27"/>
  <c r="AH76" i="27"/>
  <c r="AH20" i="27"/>
  <c r="AH131" i="27"/>
  <c r="AH51" i="27"/>
  <c r="AH109" i="27"/>
  <c r="AH160" i="27"/>
  <c r="AH83" i="27"/>
  <c r="AH19" i="27"/>
  <c r="AH163" i="27"/>
  <c r="AH156" i="27"/>
  <c r="AH50" i="27"/>
  <c r="AH95" i="27"/>
  <c r="AH85" i="27"/>
  <c r="AH111" i="27"/>
  <c r="AH59" i="27"/>
  <c r="AH151" i="27"/>
  <c r="AH61" i="27"/>
  <c r="AH123" i="27"/>
  <c r="AH159" i="27"/>
  <c r="AH135" i="27"/>
  <c r="AH17" i="27"/>
  <c r="AH162" i="27"/>
  <c r="AH116" i="27"/>
  <c r="AH14" i="27"/>
  <c r="AH105" i="27"/>
  <c r="AH98" i="27"/>
  <c r="AH106" i="27"/>
  <c r="AH94" i="27"/>
  <c r="AH71" i="27"/>
  <c r="AH57" i="27"/>
  <c r="AH121" i="27"/>
  <c r="AH154" i="27"/>
  <c r="AH96" i="27"/>
  <c r="AH15" i="27"/>
  <c r="AH158" i="27"/>
  <c r="AH84" i="27"/>
  <c r="AH12" i="27"/>
  <c r="AU72" i="67"/>
  <c r="AQ131" i="15"/>
  <c r="AR124" i="67" s="1"/>
  <c r="M117" i="15"/>
  <c r="N110" i="67" s="1"/>
  <c r="M112" i="15"/>
  <c r="Y112" i="15" s="1"/>
  <c r="Z105" i="67" s="1"/>
  <c r="N45" i="27"/>
  <c r="AV38" i="67" s="1"/>
  <c r="N111" i="27"/>
  <c r="AV104" i="67" s="1"/>
  <c r="N27" i="27"/>
  <c r="AV20" i="67" s="1"/>
  <c r="N150" i="27"/>
  <c r="AV143" i="67" s="1"/>
  <c r="AQ73" i="15"/>
  <c r="AR66" i="67" s="1"/>
  <c r="N121" i="27"/>
  <c r="M88" i="15"/>
  <c r="N81" i="67" s="1"/>
  <c r="AQ114" i="15"/>
  <c r="AR107" i="67" s="1"/>
  <c r="N116" i="27"/>
  <c r="AV109" i="67" s="1"/>
  <c r="N15" i="27"/>
  <c r="AV8" i="67" s="1"/>
  <c r="N126" i="27"/>
  <c r="AV119" i="67" s="1"/>
  <c r="AN45" i="27"/>
  <c r="M35" i="15"/>
  <c r="Y35" i="15" s="1"/>
  <c r="Z28" i="67" s="1"/>
  <c r="M106" i="15"/>
  <c r="K142" i="67"/>
  <c r="M17" i="15"/>
  <c r="N10" i="67" s="1"/>
  <c r="N53" i="27"/>
  <c r="AV46" i="67" s="1"/>
  <c r="N99" i="27"/>
  <c r="AV92" i="67" s="1"/>
  <c r="N135" i="27"/>
  <c r="AV128" i="67" s="1"/>
  <c r="L119" i="67"/>
  <c r="AQ113" i="15"/>
  <c r="AR106" i="67" s="1"/>
  <c r="AQ64" i="15"/>
  <c r="AR57" i="67" s="1"/>
  <c r="M39" i="15"/>
  <c r="Y39" i="15" s="1"/>
  <c r="Z32" i="67" s="1"/>
  <c r="AV134" i="67"/>
  <c r="N22" i="27"/>
  <c r="AV15" i="67" s="1"/>
  <c r="N61" i="27"/>
  <c r="AV54" i="67" s="1"/>
  <c r="N88" i="27"/>
  <c r="AV81" i="67" s="1"/>
  <c r="AN108" i="27"/>
  <c r="N68" i="27"/>
  <c r="AV61" i="67" s="1"/>
  <c r="N140" i="27"/>
  <c r="AV133" i="67" s="1"/>
  <c r="N28" i="27"/>
  <c r="AV21" i="67" s="1"/>
  <c r="N89" i="27"/>
  <c r="AV82" i="67" s="1"/>
  <c r="N19" i="27"/>
  <c r="AV12" i="67" s="1"/>
  <c r="AQ12" i="15"/>
  <c r="AR5" i="67" s="1"/>
  <c r="M69" i="15"/>
  <c r="Y69" i="15" s="1"/>
  <c r="Z62" i="67" s="1"/>
  <c r="M49" i="15"/>
  <c r="Y49" i="15" s="1"/>
  <c r="Z42" i="67" s="1"/>
  <c r="N148" i="27"/>
  <c r="AV141" i="67" s="1"/>
  <c r="M100" i="15"/>
  <c r="N93" i="67" s="1"/>
  <c r="N75" i="27"/>
  <c r="AV68" i="67" s="1"/>
  <c r="N85" i="27"/>
  <c r="AV78" i="67" s="1"/>
  <c r="N145" i="27"/>
  <c r="AV138" i="67" s="1"/>
  <c r="N142" i="27"/>
  <c r="AV135" i="67" s="1"/>
  <c r="N144" i="27"/>
  <c r="AV137" i="67" s="1"/>
  <c r="N152" i="27"/>
  <c r="AV145" i="67" s="1"/>
  <c r="N146" i="27"/>
  <c r="AV139" i="67" s="1"/>
  <c r="L147" i="27"/>
  <c r="N147" i="27" s="1"/>
  <c r="AV140" i="67" s="1"/>
  <c r="N77" i="27"/>
  <c r="AV70" i="67" s="1"/>
  <c r="M96" i="15"/>
  <c r="Y96" i="15" s="1"/>
  <c r="Z89" i="67" s="1"/>
  <c r="N11" i="27"/>
  <c r="AV4" i="67" s="1"/>
  <c r="M78" i="15"/>
  <c r="N71" i="67" s="1"/>
  <c r="M152" i="15"/>
  <c r="N145" i="67" s="1"/>
  <c r="AQ78" i="15"/>
  <c r="AR71" i="67" s="1"/>
  <c r="M31" i="15"/>
  <c r="N24" i="67" s="1"/>
  <c r="N124" i="27"/>
  <c r="AV117" i="67" s="1"/>
  <c r="M13" i="15"/>
  <c r="Y13" i="15" s="1"/>
  <c r="Z6" i="67" s="1"/>
  <c r="N113" i="27"/>
  <c r="AV106" i="67" s="1"/>
  <c r="M99" i="15"/>
  <c r="N92" i="67" s="1"/>
  <c r="M84" i="15"/>
  <c r="N77" i="67" s="1"/>
  <c r="M145" i="15"/>
  <c r="M85" i="15"/>
  <c r="N78" i="67" s="1"/>
  <c r="AQ50" i="15"/>
  <c r="AR43" i="67" s="1"/>
  <c r="N87" i="27"/>
  <c r="AV80" i="67" s="1"/>
  <c r="N50" i="27"/>
  <c r="AV43" i="67" s="1"/>
  <c r="AQ51" i="15"/>
  <c r="AR44" i="67" s="1"/>
  <c r="M122" i="15"/>
  <c r="N115" i="67" s="1"/>
  <c r="AQ26" i="15"/>
  <c r="AR19" i="67" s="1"/>
  <c r="M83" i="15"/>
  <c r="N76" i="67" s="1"/>
  <c r="M36" i="15"/>
  <c r="N29" i="67" s="1"/>
  <c r="H20" i="1"/>
  <c r="H19" i="1"/>
  <c r="N72" i="27"/>
  <c r="AV65" i="67" s="1"/>
  <c r="M123" i="15"/>
  <c r="N116" i="67" s="1"/>
  <c r="M32" i="15"/>
  <c r="Y32" i="15" s="1"/>
  <c r="Z25" i="67" s="1"/>
  <c r="L117" i="67"/>
  <c r="L102" i="67"/>
  <c r="H60" i="1"/>
  <c r="M59" i="15"/>
  <c r="Y59" i="15" s="1"/>
  <c r="Z52" i="67" s="1"/>
  <c r="M130" i="15"/>
  <c r="N123" i="67" s="1"/>
  <c r="M94" i="15"/>
  <c r="Y94" i="15" s="1"/>
  <c r="Z87" i="67" s="1"/>
  <c r="N84" i="27"/>
  <c r="AV77" i="67" s="1"/>
  <c r="K139" i="67"/>
  <c r="M146" i="15"/>
  <c r="Y146" i="15" s="1"/>
  <c r="Z139" i="67" s="1"/>
  <c r="K137" i="67"/>
  <c r="M144" i="15"/>
  <c r="K136" i="67"/>
  <c r="M143" i="15"/>
  <c r="N136" i="67" s="1"/>
  <c r="K140" i="67"/>
  <c r="M147" i="15"/>
  <c r="N140" i="67" s="1"/>
  <c r="K135" i="67"/>
  <c r="M142" i="15"/>
  <c r="N135" i="67" s="1"/>
  <c r="K134" i="67"/>
  <c r="M141" i="15"/>
  <c r="N134" i="67" s="1"/>
  <c r="AQ147" i="15"/>
  <c r="AR140" i="67" s="1"/>
  <c r="Q84" i="67"/>
  <c r="M108" i="15"/>
  <c r="Y108" i="15" s="1"/>
  <c r="Z101" i="67" s="1"/>
  <c r="M60" i="15"/>
  <c r="Y60" i="15" s="1"/>
  <c r="Z53" i="67" s="1"/>
  <c r="M86" i="15"/>
  <c r="N79" i="67" s="1"/>
  <c r="AQ105" i="15"/>
  <c r="AR98" i="67" s="1"/>
  <c r="L74" i="27"/>
  <c r="N74" i="27" s="1"/>
  <c r="AV67" i="67" s="1"/>
  <c r="L76" i="27"/>
  <c r="N76" i="27" s="1"/>
  <c r="AV69" i="67" s="1"/>
  <c r="L107" i="27"/>
  <c r="N107" i="27" s="1"/>
  <c r="AV100" i="67" s="1"/>
  <c r="AV142" i="67"/>
  <c r="L69" i="27"/>
  <c r="N69" i="27" s="1"/>
  <c r="AV62" i="67" s="1"/>
  <c r="L105" i="27"/>
  <c r="N105" i="27" s="1"/>
  <c r="AV98" i="67" s="1"/>
  <c r="L130" i="27"/>
  <c r="N130" i="27" s="1"/>
  <c r="AV123" i="67" s="1"/>
  <c r="L106" i="27"/>
  <c r="N106" i="27" s="1"/>
  <c r="AV99" i="67" s="1"/>
  <c r="L102" i="27"/>
  <c r="N102" i="27" s="1"/>
  <c r="AV95" i="67" s="1"/>
  <c r="L52" i="27"/>
  <c r="N52" i="27" s="1"/>
  <c r="AV45" i="67" s="1"/>
  <c r="AV144" i="67"/>
  <c r="L67" i="27"/>
  <c r="N67" i="27" s="1"/>
  <c r="AV60" i="67" s="1"/>
  <c r="L86" i="27"/>
  <c r="N86" i="27" s="1"/>
  <c r="AV79" i="67" s="1"/>
  <c r="L16" i="27"/>
  <c r="N16" i="27" s="1"/>
  <c r="AV9" i="67" s="1"/>
  <c r="L123" i="27"/>
  <c r="N123" i="27" s="1"/>
  <c r="AV116" i="67" s="1"/>
  <c r="L25" i="27"/>
  <c r="N25" i="27" s="1"/>
  <c r="AV18" i="67" s="1"/>
  <c r="L66" i="27"/>
  <c r="N66" i="27" s="1"/>
  <c r="AV59" i="67" s="1"/>
  <c r="L125" i="27"/>
  <c r="N125" i="27" s="1"/>
  <c r="AV118" i="67" s="1"/>
  <c r="L33" i="27"/>
  <c r="N33" i="27" s="1"/>
  <c r="AV26" i="67" s="1"/>
  <c r="L83" i="27"/>
  <c r="N83" i="27" s="1"/>
  <c r="AV76" i="67" s="1"/>
  <c r="L101" i="27"/>
  <c r="N101" i="27" s="1"/>
  <c r="AV94" i="67" s="1"/>
  <c r="L51" i="27"/>
  <c r="N51" i="27" s="1"/>
  <c r="AV44" i="67" s="1"/>
  <c r="L20" i="27"/>
  <c r="N20" i="27" s="1"/>
  <c r="AV13" i="67" s="1"/>
  <c r="L63" i="27"/>
  <c r="N63" i="27" s="1"/>
  <c r="AV56" i="67" s="1"/>
  <c r="L120" i="27"/>
  <c r="N120" i="27" s="1"/>
  <c r="AV113" i="67" s="1"/>
  <c r="L100" i="27"/>
  <c r="N100" i="27" s="1"/>
  <c r="AV93" i="67" s="1"/>
  <c r="L10" i="27"/>
  <c r="N10" i="27" s="1"/>
  <c r="AV3" i="67" s="1"/>
  <c r="L60" i="27"/>
  <c r="N60" i="27" s="1"/>
  <c r="AV53" i="67" s="1"/>
  <c r="L122" i="27"/>
  <c r="N122" i="27" s="1"/>
  <c r="AV115" i="67" s="1"/>
  <c r="L108" i="27"/>
  <c r="N108" i="27" s="1"/>
  <c r="AV101" i="67" s="1"/>
  <c r="L136" i="27"/>
  <c r="N136" i="27" s="1"/>
  <c r="AV129" i="67" s="1"/>
  <c r="L104" i="27"/>
  <c r="N104" i="27" s="1"/>
  <c r="AV97" i="67" s="1"/>
  <c r="L137" i="27"/>
  <c r="N137" i="27" s="1"/>
  <c r="AV130" i="67" s="1"/>
  <c r="L24" i="27"/>
  <c r="N24" i="27" s="1"/>
  <c r="AV17" i="67" s="1"/>
  <c r="L36" i="27"/>
  <c r="N36" i="27" s="1"/>
  <c r="AV29" i="67" s="1"/>
  <c r="M28" i="15"/>
  <c r="Y28" i="15" s="1"/>
  <c r="Z21" i="67" s="1"/>
  <c r="M12" i="15"/>
  <c r="N5" i="67" s="1"/>
  <c r="N38" i="27"/>
  <c r="AV31" i="67" s="1"/>
  <c r="AN61" i="27"/>
  <c r="AU97" i="67"/>
  <c r="AU51" i="67"/>
  <c r="AN119" i="27"/>
  <c r="AU3" i="67"/>
  <c r="AU95" i="67"/>
  <c r="AN21" i="27"/>
  <c r="AN70" i="27"/>
  <c r="AU75" i="67"/>
  <c r="AN97" i="27"/>
  <c r="AN57" i="27"/>
  <c r="AN106" i="27"/>
  <c r="AU49" i="67"/>
  <c r="AU116" i="67"/>
  <c r="AU34" i="67"/>
  <c r="AU68" i="67"/>
  <c r="AN122" i="27"/>
  <c r="AN60" i="27"/>
  <c r="AN99" i="27"/>
  <c r="AN80" i="27"/>
  <c r="AN11" i="27"/>
  <c r="AN13" i="27"/>
  <c r="AU105" i="67"/>
  <c r="AU40" i="67"/>
  <c r="AU62" i="67"/>
  <c r="AN17" i="27"/>
  <c r="AU27" i="67"/>
  <c r="AN136" i="27"/>
  <c r="AU126" i="67"/>
  <c r="AN71" i="27"/>
  <c r="AN30" i="27"/>
  <c r="AN95" i="27"/>
  <c r="AU117" i="67"/>
  <c r="AU58" i="67"/>
  <c r="AU86" i="67"/>
  <c r="AN53" i="27"/>
  <c r="AN63" i="27"/>
  <c r="AN29" i="27"/>
  <c r="AN48" i="27"/>
  <c r="AN22" i="27"/>
  <c r="AU17" i="67"/>
  <c r="AU5" i="67"/>
  <c r="AN87" i="27"/>
  <c r="AN59" i="27"/>
  <c r="AU12" i="67"/>
  <c r="AU135" i="67"/>
  <c r="AN77" i="27"/>
  <c r="AN56" i="27"/>
  <c r="AU85" i="67"/>
  <c r="AU130" i="67"/>
  <c r="N44" i="27"/>
  <c r="AV37" i="67" s="1"/>
  <c r="AN116" i="27"/>
  <c r="AU26" i="67"/>
  <c r="AN110" i="27"/>
  <c r="AN20" i="27"/>
  <c r="AN18" i="27"/>
  <c r="AU102" i="67"/>
  <c r="AN72" i="27"/>
  <c r="AU44" i="67"/>
  <c r="AU2" i="67"/>
  <c r="AN31" i="27"/>
  <c r="AU16" i="67"/>
  <c r="AN68" i="27"/>
  <c r="AU114" i="67"/>
  <c r="AN66" i="27"/>
  <c r="AU39" i="67"/>
  <c r="AN44" i="27"/>
  <c r="AN115" i="27"/>
  <c r="M95" i="15"/>
  <c r="N88" i="67" s="1"/>
  <c r="N64" i="27"/>
  <c r="AV57" i="67" s="1"/>
  <c r="M113" i="15"/>
  <c r="Y113" i="15" s="1"/>
  <c r="Z106" i="67" s="1"/>
  <c r="N54" i="27"/>
  <c r="AV47" i="67" s="1"/>
  <c r="AQ54" i="15"/>
  <c r="AR47" i="67" s="1"/>
  <c r="M127" i="15"/>
  <c r="N120" i="67" s="1"/>
  <c r="N47" i="27"/>
  <c r="AV40" i="67" s="1"/>
  <c r="AU13" i="67"/>
  <c r="AQ101" i="15"/>
  <c r="AR94" i="67" s="1"/>
  <c r="N94" i="27"/>
  <c r="AV87" i="67" s="1"/>
  <c r="N91" i="27"/>
  <c r="AV84" i="67" s="1"/>
  <c r="AN142" i="27"/>
  <c r="AN19" i="27"/>
  <c r="N41" i="27"/>
  <c r="AV34" i="67" s="1"/>
  <c r="N96" i="27"/>
  <c r="AV89" i="67" s="1"/>
  <c r="M101" i="15"/>
  <c r="N94" i="67" s="1"/>
  <c r="AU41" i="67"/>
  <c r="N58" i="27"/>
  <c r="AV51" i="67" s="1"/>
  <c r="AN75" i="27"/>
  <c r="AU103" i="67"/>
  <c r="N112" i="27"/>
  <c r="AV105" i="67" s="1"/>
  <c r="M43" i="15"/>
  <c r="N36" i="67" s="1"/>
  <c r="AQ103" i="15"/>
  <c r="AR96" i="67" s="1"/>
  <c r="N56" i="27"/>
  <c r="AV49" i="67" s="1"/>
  <c r="N109" i="27"/>
  <c r="AV102" i="67" s="1"/>
  <c r="M46" i="15"/>
  <c r="N39" i="67" s="1"/>
  <c r="Q123" i="67"/>
  <c r="AQ151" i="15"/>
  <c r="AR144" i="67" s="1"/>
  <c r="AQ126" i="15"/>
  <c r="AR119" i="67" s="1"/>
  <c r="AU99" i="67"/>
  <c r="AQ94" i="15"/>
  <c r="AR87" i="67" s="1"/>
  <c r="M120" i="15"/>
  <c r="N113" i="67" s="1"/>
  <c r="N80" i="27"/>
  <c r="AV73" i="67" s="1"/>
  <c r="AQ109" i="15"/>
  <c r="AR102" i="67" s="1"/>
  <c r="AQ121" i="15"/>
  <c r="AR114" i="67" s="1"/>
  <c r="M22" i="15"/>
  <c r="N15" i="67" s="1"/>
  <c r="M37" i="15"/>
  <c r="N30" i="67" s="1"/>
  <c r="N17" i="27"/>
  <c r="AV10" i="67" s="1"/>
  <c r="N42" i="27"/>
  <c r="AV35" i="67" s="1"/>
  <c r="AN104" i="27"/>
  <c r="AU90" i="67"/>
  <c r="AU46" i="67"/>
  <c r="AU61" i="67"/>
  <c r="Q89" i="67"/>
  <c r="N23" i="27"/>
  <c r="AV16" i="67" s="1"/>
  <c r="AN47" i="27"/>
  <c r="AN69" i="27"/>
  <c r="AU11" i="67"/>
  <c r="N117" i="27"/>
  <c r="AV110" i="67" s="1"/>
  <c r="N78" i="27"/>
  <c r="AV71" i="67" s="1"/>
  <c r="N49" i="27"/>
  <c r="AV42" i="67" s="1"/>
  <c r="AN10" i="27"/>
  <c r="R176" i="15"/>
  <c r="N81" i="27"/>
  <c r="AV74" i="67" s="1"/>
  <c r="AQ98" i="15"/>
  <c r="AR91" i="67" s="1"/>
  <c r="AQ132" i="15"/>
  <c r="AR125" i="67" s="1"/>
  <c r="N18" i="27"/>
  <c r="AV11" i="67" s="1"/>
  <c r="AQ100" i="15"/>
  <c r="AR93" i="67" s="1"/>
  <c r="AN124" i="27"/>
  <c r="N35" i="27"/>
  <c r="AV28" i="67" s="1"/>
  <c r="AQ107" i="15"/>
  <c r="AR100" i="67" s="1"/>
  <c r="N59" i="27"/>
  <c r="AV52" i="67" s="1"/>
  <c r="N13" i="27"/>
  <c r="AV6" i="67" s="1"/>
  <c r="AQ42" i="15"/>
  <c r="AR35" i="67" s="1"/>
  <c r="N26" i="27"/>
  <c r="AV19" i="67" s="1"/>
  <c r="AU52" i="67"/>
  <c r="AU129" i="67"/>
  <c r="AU92" i="67"/>
  <c r="Y115" i="15"/>
  <c r="Z108" i="67" s="1"/>
  <c r="N39" i="27"/>
  <c r="AV32" i="67" s="1"/>
  <c r="AN14" i="27"/>
  <c r="AU7" i="67"/>
  <c r="N31" i="27"/>
  <c r="AV24" i="67" s="1"/>
  <c r="AN23" i="27"/>
  <c r="AN9" i="27"/>
  <c r="AN33" i="27"/>
  <c r="R171" i="15"/>
  <c r="S164" i="67" s="1"/>
  <c r="R175" i="15"/>
  <c r="R174" i="15"/>
  <c r="R173" i="15"/>
  <c r="R172" i="15"/>
  <c r="M40" i="15"/>
  <c r="N33" i="67" s="1"/>
  <c r="AN24" i="27"/>
  <c r="N79" i="27"/>
  <c r="AV72" i="67" s="1"/>
  <c r="T171" i="15"/>
  <c r="U164" i="67" s="1"/>
  <c r="T172" i="15"/>
  <c r="K5" i="67"/>
  <c r="Q45" i="67"/>
  <c r="AU109" i="67"/>
  <c r="L61" i="67"/>
  <c r="K87" i="67"/>
  <c r="N14" i="27"/>
  <c r="AV7" i="67" s="1"/>
  <c r="M26" i="15"/>
  <c r="Y26" i="15" s="1"/>
  <c r="Z19" i="67" s="1"/>
  <c r="AQ33" i="15"/>
  <c r="AR26" i="67" s="1"/>
  <c r="AU80" i="67"/>
  <c r="M65" i="15"/>
  <c r="N58" i="67" s="1"/>
  <c r="AN65" i="27"/>
  <c r="AQ39" i="15"/>
  <c r="AR32" i="67" s="1"/>
  <c r="AU73" i="67"/>
  <c r="AU50" i="67"/>
  <c r="AQ72" i="15"/>
  <c r="AR65" i="67" s="1"/>
  <c r="AN51" i="27"/>
  <c r="M71" i="15"/>
  <c r="Y71" i="15" s="1"/>
  <c r="Z64" i="67" s="1"/>
  <c r="AQ68" i="15"/>
  <c r="AR61" i="67" s="1"/>
  <c r="N9" i="27"/>
  <c r="AV2" i="67" s="1"/>
  <c r="M38" i="15"/>
  <c r="N31" i="67" s="1"/>
  <c r="M23" i="15"/>
  <c r="N16" i="67" s="1"/>
  <c r="AQ67" i="15"/>
  <c r="AR60" i="67" s="1"/>
  <c r="Q60" i="67"/>
  <c r="AU53" i="67"/>
  <c r="AU56" i="67"/>
  <c r="AN144" i="27"/>
  <c r="AU137" i="67"/>
  <c r="M105" i="15"/>
  <c r="N98" i="67" s="1"/>
  <c r="N37" i="27"/>
  <c r="AV30" i="67" s="1"/>
  <c r="AU22" i="67"/>
  <c r="AN93" i="27"/>
  <c r="M67" i="15"/>
  <c r="N60" i="67" s="1"/>
  <c r="M93" i="15"/>
  <c r="N86" i="67" s="1"/>
  <c r="AU70" i="67"/>
  <c r="AN109" i="27"/>
  <c r="N29" i="27"/>
  <c r="AV22" i="67" s="1"/>
  <c r="AN82" i="27"/>
  <c r="M53" i="15"/>
  <c r="Y53" i="15" s="1"/>
  <c r="Z46" i="67" s="1"/>
  <c r="AQ49" i="15"/>
  <c r="AR42" i="67" s="1"/>
  <c r="N115" i="27"/>
  <c r="AV108" i="67" s="1"/>
  <c r="N21" i="27"/>
  <c r="AV14" i="67" s="1"/>
  <c r="K123" i="67"/>
  <c r="K60" i="1"/>
  <c r="T169" i="15"/>
  <c r="U162" i="67" s="1"/>
  <c r="AN41" i="27"/>
  <c r="M80" i="15"/>
  <c r="N73" i="67" s="1"/>
  <c r="N138" i="27"/>
  <c r="AV131" i="67" s="1"/>
  <c r="R18" i="27"/>
  <c r="M138" i="15"/>
  <c r="Y138" i="15" s="1"/>
  <c r="Z131" i="67" s="1"/>
  <c r="AQ123" i="15"/>
  <c r="AR116" i="67" s="1"/>
  <c r="R170" i="15"/>
  <c r="S163" i="67" s="1"/>
  <c r="R169" i="15"/>
  <c r="S162" i="67" s="1"/>
  <c r="R168" i="15"/>
  <c r="N71" i="27"/>
  <c r="AV64" i="67" s="1"/>
  <c r="N95" i="27"/>
  <c r="AV88" i="67" s="1"/>
  <c r="N98" i="27"/>
  <c r="AV91" i="67" s="1"/>
  <c r="N57" i="27"/>
  <c r="AV50" i="67" s="1"/>
  <c r="L48" i="67"/>
  <c r="M55" i="15"/>
  <c r="N48" i="67" s="1"/>
  <c r="L38" i="67"/>
  <c r="M45" i="15"/>
  <c r="N38" i="67" s="1"/>
  <c r="AU30" i="67"/>
  <c r="AN37" i="27"/>
  <c r="AU54" i="67"/>
  <c r="M42" i="15"/>
  <c r="N35" i="67" s="1"/>
  <c r="N93" i="27"/>
  <c r="AV86" i="67" s="1"/>
  <c r="AU87" i="67"/>
  <c r="AN94" i="27"/>
  <c r="AU29" i="67"/>
  <c r="AN36" i="27"/>
  <c r="Q30" i="67"/>
  <c r="AQ37" i="15"/>
  <c r="AR30" i="67" s="1"/>
  <c r="AV151" i="67"/>
  <c r="K52" i="67"/>
  <c r="AU59" i="67"/>
  <c r="AN123" i="27"/>
  <c r="AU63" i="67"/>
  <c r="AU81" i="67"/>
  <c r="AN46" i="27"/>
  <c r="M90" i="15"/>
  <c r="N83" i="67" s="1"/>
  <c r="M82" i="15"/>
  <c r="M29" i="15"/>
  <c r="N22" i="67" s="1"/>
  <c r="M64" i="15"/>
  <c r="Y64" i="15" s="1"/>
  <c r="Z57" i="67" s="1"/>
  <c r="AN15" i="27"/>
  <c r="AU8" i="67"/>
  <c r="Q33" i="67"/>
  <c r="AQ40" i="15"/>
  <c r="AR33" i="67" s="1"/>
  <c r="AQ35" i="15"/>
  <c r="AR28" i="67" s="1"/>
  <c r="Q28" i="67"/>
  <c r="Q80" i="67"/>
  <c r="AQ87" i="15"/>
  <c r="AR80" i="67" s="1"/>
  <c r="L137" i="67"/>
  <c r="AQ32" i="15"/>
  <c r="AR25" i="67" s="1"/>
  <c r="AU88" i="67"/>
  <c r="AU64" i="67"/>
  <c r="AN88" i="27"/>
  <c r="AN137" i="27"/>
  <c r="AQ125" i="15"/>
  <c r="AR118" i="67" s="1"/>
  <c r="M33" i="15"/>
  <c r="N26" i="67" s="1"/>
  <c r="M27" i="15"/>
  <c r="N20" i="67" s="1"/>
  <c r="AQ27" i="15"/>
  <c r="AR20" i="67" s="1"/>
  <c r="M128" i="15"/>
  <c r="N121" i="67" s="1"/>
  <c r="M102" i="15"/>
  <c r="N95" i="67" s="1"/>
  <c r="K70" i="67"/>
  <c r="M77" i="15"/>
  <c r="N70" i="67" s="1"/>
  <c r="AQ15" i="15"/>
  <c r="AR8" i="67" s="1"/>
  <c r="Q8" i="67"/>
  <c r="M140" i="15"/>
  <c r="N133" i="67" s="1"/>
  <c r="M14" i="15"/>
  <c r="K7" i="67"/>
  <c r="Q115" i="67"/>
  <c r="AQ122" i="15"/>
  <c r="AR115" i="67" s="1"/>
  <c r="Y109" i="15"/>
  <c r="Z102" i="67" s="1"/>
  <c r="N102" i="67"/>
  <c r="R145" i="67"/>
  <c r="AU136" i="67"/>
  <c r="M44" i="15"/>
  <c r="N37" i="67" s="1"/>
  <c r="K50" i="67"/>
  <c r="M57" i="15"/>
  <c r="K129" i="67"/>
  <c r="M136" i="15"/>
  <c r="N129" i="67" s="1"/>
  <c r="N62" i="27"/>
  <c r="Q81" i="67"/>
  <c r="AQ139" i="15"/>
  <c r="AR132" i="67" s="1"/>
  <c r="AU15" i="67"/>
  <c r="AN92" i="27"/>
  <c r="AN12" i="27"/>
  <c r="AN121" i="27"/>
  <c r="AQ71" i="15"/>
  <c r="AR64" i="67" s="1"/>
  <c r="AQ133" i="15"/>
  <c r="AR126" i="67" s="1"/>
  <c r="AQ120" i="15"/>
  <c r="AR113" i="67" s="1"/>
  <c r="M11" i="15"/>
  <c r="N4" i="67" s="1"/>
  <c r="AU112" i="67"/>
  <c r="M52" i="15"/>
  <c r="N45" i="67" s="1"/>
  <c r="K54" i="67"/>
  <c r="M61" i="15"/>
  <c r="Q16" i="67"/>
  <c r="AQ23" i="15"/>
  <c r="AR16" i="67" s="1"/>
  <c r="AQ30" i="15"/>
  <c r="AR23" i="67" s="1"/>
  <c r="Q23" i="67"/>
  <c r="K8" i="67"/>
  <c r="M15" i="15"/>
  <c r="N8" i="67" s="1"/>
  <c r="L143" i="67"/>
  <c r="N143" i="67"/>
  <c r="AQ119" i="15"/>
  <c r="AR112" i="67" s="1"/>
  <c r="Q112" i="67"/>
  <c r="N142" i="67"/>
  <c r="L142" i="67"/>
  <c r="AU143" i="67"/>
  <c r="AN150" i="27"/>
  <c r="M56" i="15"/>
  <c r="N49" i="67" s="1"/>
  <c r="K49" i="67"/>
  <c r="AQ25" i="15"/>
  <c r="AR18" i="67" s="1"/>
  <c r="Q18" i="67"/>
  <c r="AN139" i="27"/>
  <c r="AU132" i="67"/>
  <c r="AN102" i="27"/>
  <c r="M66" i="15"/>
  <c r="Y66" i="15" s="1"/>
  <c r="Z59" i="67" s="1"/>
  <c r="AQ28" i="15"/>
  <c r="AR21" i="67" s="1"/>
  <c r="Q21" i="67"/>
  <c r="M91" i="15"/>
  <c r="Y91" i="15" s="1"/>
  <c r="Z84" i="67" s="1"/>
  <c r="AQ75" i="15"/>
  <c r="AR68" i="67" s="1"/>
  <c r="AU24" i="67"/>
  <c r="M41" i="15"/>
  <c r="N34" i="67" s="1"/>
  <c r="N30" i="27"/>
  <c r="AV23" i="67" s="1"/>
  <c r="M98" i="15"/>
  <c r="AQ150" i="15"/>
  <c r="AR143" i="67" s="1"/>
  <c r="Q143" i="67"/>
  <c r="Q120" i="67"/>
  <c r="AQ127" i="15"/>
  <c r="AR120" i="67" s="1"/>
  <c r="K80" i="67"/>
  <c r="M87" i="15"/>
  <c r="N80" i="67" s="1"/>
  <c r="L40" i="67"/>
  <c r="M47" i="15"/>
  <c r="AN25" i="27"/>
  <c r="AU18" i="67"/>
  <c r="AU113" i="67"/>
  <c r="AN120" i="27"/>
  <c r="AV120" i="67"/>
  <c r="L63" i="67"/>
  <c r="M70" i="15"/>
  <c r="N63" i="67" s="1"/>
  <c r="K56" i="67"/>
  <c r="M63" i="15"/>
  <c r="L125" i="67"/>
  <c r="M132" i="15"/>
  <c r="N125" i="67" s="1"/>
  <c r="K85" i="67"/>
  <c r="M92" i="15"/>
  <c r="N85" i="67" s="1"/>
  <c r="Q134" i="67"/>
  <c r="AQ141" i="15"/>
  <c r="AR134" i="67" s="1"/>
  <c r="N105" i="67"/>
  <c r="L127" i="67"/>
  <c r="M134" i="15"/>
  <c r="M104" i="15"/>
  <c r="N97" i="67" s="1"/>
  <c r="K97" i="67"/>
  <c r="Q67" i="67"/>
  <c r="AQ74" i="15"/>
  <c r="AR67" i="67" s="1"/>
  <c r="L96" i="67"/>
  <c r="M103" i="15"/>
  <c r="AN138" i="27"/>
  <c r="AU131" i="67"/>
  <c r="L43" i="67"/>
  <c r="M50" i="15"/>
  <c r="N43" i="67" s="1"/>
  <c r="Y106" i="15"/>
  <c r="Z99" i="67" s="1"/>
  <c r="N99" i="67"/>
  <c r="Q77" i="67"/>
  <c r="Q139" i="67"/>
  <c r="AQ146" i="15"/>
  <c r="AR139" i="67" s="1"/>
  <c r="AQ85" i="15"/>
  <c r="AR78" i="67" s="1"/>
  <c r="Q78" i="67"/>
  <c r="K132" i="67"/>
  <c r="M139" i="15"/>
  <c r="AN58" i="27"/>
  <c r="Y88" i="15"/>
  <c r="Z81" i="67" s="1"/>
  <c r="M118" i="15"/>
  <c r="K111" i="67"/>
  <c r="Q55" i="67"/>
  <c r="AQ62" i="15"/>
  <c r="AR55" i="67" s="1"/>
  <c r="Y111" i="15"/>
  <c r="Z104" i="67" s="1"/>
  <c r="Q104" i="67"/>
  <c r="AQ55" i="15"/>
  <c r="AR48" i="67" s="1"/>
  <c r="Q48" i="67"/>
  <c r="M110" i="15"/>
  <c r="L103" i="67"/>
  <c r="K124" i="67"/>
  <c r="M131" i="15"/>
  <c r="L112" i="67"/>
  <c r="M119" i="15"/>
  <c r="AN145" i="27"/>
  <c r="AU138" i="67"/>
  <c r="K122" i="67"/>
  <c r="M129" i="15"/>
  <c r="R8" i="67"/>
  <c r="Q31" i="67"/>
  <c r="AQ38" i="15"/>
  <c r="AR31" i="67" s="1"/>
  <c r="L68" i="67"/>
  <c r="M75" i="15"/>
  <c r="Q36" i="67"/>
  <c r="K126" i="67"/>
  <c r="M133" i="15"/>
  <c r="M114" i="15"/>
  <c r="N119" i="67"/>
  <c r="Y126" i="15"/>
  <c r="Z119" i="67" s="1"/>
  <c r="M34" i="15"/>
  <c r="K27" i="67"/>
  <c r="K100" i="67"/>
  <c r="M107" i="15"/>
  <c r="K144" i="67"/>
  <c r="K66" i="67"/>
  <c r="M73" i="15"/>
  <c r="AQ70" i="15"/>
  <c r="AR63" i="67" s="1"/>
  <c r="AQ111" i="15"/>
  <c r="AR104" i="67" s="1"/>
  <c r="R143" i="67"/>
  <c r="AQ148" i="15"/>
  <c r="AR141" i="67" s="1"/>
  <c r="Q141" i="67"/>
  <c r="Q74" i="67"/>
  <c r="AQ81" i="15"/>
  <c r="AR74" i="67" s="1"/>
  <c r="R43" i="67"/>
  <c r="AU110" i="67"/>
  <c r="AN117" i="27"/>
  <c r="M51" i="15"/>
  <c r="K44" i="67"/>
  <c r="AQ140" i="15"/>
  <c r="AR133" i="67" s="1"/>
  <c r="Q133" i="67"/>
  <c r="Q142" i="67"/>
  <c r="AQ149" i="15"/>
  <c r="AR142" i="67" s="1"/>
  <c r="L114" i="67"/>
  <c r="M121" i="15"/>
  <c r="M125" i="15"/>
  <c r="K118" i="67"/>
  <c r="AU82" i="67"/>
  <c r="AN89" i="27"/>
  <c r="N109" i="67"/>
  <c r="Y116" i="15"/>
  <c r="Z109" i="67" s="1"/>
  <c r="N18" i="67"/>
  <c r="Y25" i="15"/>
  <c r="Z18" i="67" s="1"/>
  <c r="N72" i="67"/>
  <c r="Y79" i="15"/>
  <c r="Z72" i="67" s="1"/>
  <c r="K41" i="67"/>
  <c r="M48" i="15"/>
  <c r="N41" i="67" s="1"/>
  <c r="L128" i="67"/>
  <c r="M135" i="15"/>
  <c r="K90" i="67"/>
  <c r="M97" i="15"/>
  <c r="AQ41" i="15"/>
  <c r="AR34" i="67" s="1"/>
  <c r="Q34" i="67"/>
  <c r="R72" i="27"/>
  <c r="AN83" i="27"/>
  <c r="AU76" i="67"/>
  <c r="AU14" i="67"/>
  <c r="R65" i="67"/>
  <c r="R46" i="67"/>
  <c r="Q51" i="67"/>
  <c r="Y58" i="15"/>
  <c r="Z51" i="67" s="1"/>
  <c r="R16" i="67"/>
  <c r="L69" i="67"/>
  <c r="M76" i="15"/>
  <c r="R60" i="67"/>
  <c r="AQ21" i="15"/>
  <c r="AR14" i="67" s="1"/>
  <c r="Q14" i="67"/>
  <c r="L11" i="67"/>
  <c r="M18" i="15"/>
  <c r="R3" i="67"/>
  <c r="R74" i="67"/>
  <c r="AU79" i="67"/>
  <c r="AN86" i="27"/>
  <c r="K82" i="67"/>
  <c r="M89" i="15"/>
  <c r="L47" i="67"/>
  <c r="M54" i="15"/>
  <c r="AU9" i="67"/>
  <c r="AN16" i="27"/>
  <c r="AQ102" i="15"/>
  <c r="AR95" i="67" s="1"/>
  <c r="Q95" i="67"/>
  <c r="R167" i="15"/>
  <c r="S160" i="67" s="1"/>
  <c r="R166" i="15"/>
  <c r="S159" i="67" s="1"/>
  <c r="R158" i="15"/>
  <c r="R159" i="15"/>
  <c r="R160" i="15"/>
  <c r="R161" i="15"/>
  <c r="R162" i="15"/>
  <c r="R157" i="15"/>
  <c r="R163" i="15"/>
  <c r="R164" i="15"/>
  <c r="R165" i="15"/>
  <c r="S158" i="67" s="1"/>
  <c r="R153" i="15"/>
  <c r="R155" i="15"/>
  <c r="R156" i="15"/>
  <c r="R154" i="15"/>
  <c r="R127" i="15"/>
  <c r="R126" i="15"/>
  <c r="R87" i="15"/>
  <c r="S80" i="67" s="1"/>
  <c r="R99" i="15"/>
  <c r="R64" i="15"/>
  <c r="R11" i="15"/>
  <c r="R29" i="15"/>
  <c r="S22" i="67" s="1"/>
  <c r="R60" i="15"/>
  <c r="R25" i="15"/>
  <c r="R47" i="15"/>
  <c r="R134" i="15"/>
  <c r="R104" i="15"/>
  <c r="S97" i="67" s="1"/>
  <c r="R116" i="15"/>
  <c r="R129" i="15"/>
  <c r="R19" i="15"/>
  <c r="R111" i="15"/>
  <c r="R101" i="15"/>
  <c r="R79" i="15"/>
  <c r="R20" i="15"/>
  <c r="R78" i="15"/>
  <c r="R98" i="15"/>
  <c r="R81" i="15"/>
  <c r="S74" i="67" s="1"/>
  <c r="R85" i="15"/>
  <c r="R61" i="15"/>
  <c r="R22" i="15"/>
  <c r="R58" i="15"/>
  <c r="S58" i="15" s="1"/>
  <c r="R38" i="15"/>
  <c r="R121" i="15"/>
  <c r="R110" i="15"/>
  <c r="R65" i="15"/>
  <c r="R103" i="15"/>
  <c r="R100" i="15"/>
  <c r="R53" i="15"/>
  <c r="S46" i="67" s="1"/>
  <c r="R69" i="15"/>
  <c r="R70" i="15"/>
  <c r="S70" i="15" s="1"/>
  <c r="R90" i="15"/>
  <c r="S90" i="15" s="1"/>
  <c r="R82" i="15"/>
  <c r="R93" i="15"/>
  <c r="R57" i="15"/>
  <c r="R43" i="15"/>
  <c r="R152" i="15"/>
  <c r="R136" i="15"/>
  <c r="R144" i="15"/>
  <c r="R30" i="15"/>
  <c r="R131" i="15"/>
  <c r="R108" i="15"/>
  <c r="R145" i="15"/>
  <c r="R133" i="15"/>
  <c r="R122" i="15"/>
  <c r="S122" i="15" s="1"/>
  <c r="R80" i="15"/>
  <c r="R94" i="15"/>
  <c r="R105" i="15"/>
  <c r="R42" i="15"/>
  <c r="S35" i="67" s="1"/>
  <c r="R92" i="15"/>
  <c r="S85" i="67" s="1"/>
  <c r="R27" i="15"/>
  <c r="R68" i="15"/>
  <c r="R55" i="15"/>
  <c r="R21" i="15"/>
  <c r="S21" i="15" s="1"/>
  <c r="R26" i="15"/>
  <c r="R72" i="15"/>
  <c r="S65" i="67" s="1"/>
  <c r="R17" i="15"/>
  <c r="S17" i="15" s="1"/>
  <c r="R54" i="15"/>
  <c r="R114" i="15"/>
  <c r="R119" i="15"/>
  <c r="R128" i="15"/>
  <c r="S128" i="15" s="1"/>
  <c r="R138" i="15"/>
  <c r="R41" i="15"/>
  <c r="S41" i="15" s="1"/>
  <c r="R137" i="15"/>
  <c r="R124" i="15"/>
  <c r="S117" i="67" s="1"/>
  <c r="R109" i="15"/>
  <c r="R46" i="15"/>
  <c r="R51" i="15"/>
  <c r="R48" i="15"/>
  <c r="S41" i="67" s="1"/>
  <c r="R62" i="15"/>
  <c r="R34" i="15"/>
  <c r="R49" i="15"/>
  <c r="R14" i="15"/>
  <c r="R77" i="15"/>
  <c r="S77" i="15" s="1"/>
  <c r="R23" i="15"/>
  <c r="S16" i="67" s="1"/>
  <c r="R151" i="15"/>
  <c r="R45" i="15"/>
  <c r="S38" i="67" s="1"/>
  <c r="R120" i="15"/>
  <c r="S113" i="67" s="1"/>
  <c r="R125" i="15"/>
  <c r="R36" i="15"/>
  <c r="R139" i="15"/>
  <c r="R130" i="15"/>
  <c r="S123" i="67" s="1"/>
  <c r="R89" i="15"/>
  <c r="R118" i="15"/>
  <c r="R107" i="15"/>
  <c r="R39" i="15"/>
  <c r="R24" i="15"/>
  <c r="S17" i="67" s="1"/>
  <c r="R33" i="15"/>
  <c r="S26" i="67" s="1"/>
  <c r="R95" i="15"/>
  <c r="R63" i="15"/>
  <c r="R50" i="15"/>
  <c r="R56" i="15"/>
  <c r="S49" i="67" s="1"/>
  <c r="R91" i="15"/>
  <c r="R18" i="15"/>
  <c r="S11" i="67" s="1"/>
  <c r="R135" i="15"/>
  <c r="R132" i="15"/>
  <c r="S132" i="15" s="1"/>
  <c r="R115" i="15"/>
  <c r="R12" i="15"/>
  <c r="R84" i="15"/>
  <c r="R74" i="15"/>
  <c r="S67" i="67" s="1"/>
  <c r="R73" i="15"/>
  <c r="R96" i="15"/>
  <c r="R9" i="15"/>
  <c r="S9" i="15" s="1"/>
  <c r="R66" i="15"/>
  <c r="R67" i="15"/>
  <c r="S60" i="67" s="1"/>
  <c r="R88" i="15"/>
  <c r="R76" i="15"/>
  <c r="R16" i="15"/>
  <c r="S16" i="15" s="1"/>
  <c r="R142" i="15"/>
  <c r="R102" i="15"/>
  <c r="S102" i="15" s="1"/>
  <c r="R147" i="15"/>
  <c r="R106" i="15"/>
  <c r="R112" i="15"/>
  <c r="R149" i="15"/>
  <c r="R75" i="15"/>
  <c r="R31" i="15"/>
  <c r="R37" i="15"/>
  <c r="R10" i="15"/>
  <c r="S3" i="67" s="1"/>
  <c r="R117" i="15"/>
  <c r="R44" i="15"/>
  <c r="R83" i="15"/>
  <c r="S83" i="15" s="1"/>
  <c r="R150" i="15"/>
  <c r="R15" i="15"/>
  <c r="R143" i="15"/>
  <c r="R35" i="15"/>
  <c r="R97" i="15"/>
  <c r="R146" i="15"/>
  <c r="R113" i="15"/>
  <c r="R140" i="15"/>
  <c r="R28" i="15"/>
  <c r="S21" i="67" s="1"/>
  <c r="R59" i="15"/>
  <c r="R123" i="15"/>
  <c r="R86" i="15"/>
  <c r="S86" i="15" s="1"/>
  <c r="R141" i="15"/>
  <c r="R52" i="15"/>
  <c r="R71" i="15"/>
  <c r="R148" i="15"/>
  <c r="R40" i="15"/>
  <c r="S33" i="67" s="1"/>
  <c r="R32" i="15"/>
  <c r="R13" i="15"/>
  <c r="K65" i="67"/>
  <c r="M72" i="15"/>
  <c r="Q2" i="67"/>
  <c r="Y9" i="15"/>
  <c r="Z2" i="67" s="1"/>
  <c r="AQ9" i="15"/>
  <c r="AR2" i="67" s="1"/>
  <c r="Q79" i="67"/>
  <c r="AQ16" i="15"/>
  <c r="AR9" i="67" s="1"/>
  <c r="Q9" i="67"/>
  <c r="R35" i="67"/>
  <c r="Q76" i="67"/>
  <c r="AQ83" i="15"/>
  <c r="AR76" i="67" s="1"/>
  <c r="AU10" i="67"/>
  <c r="R97" i="67"/>
  <c r="R22" i="67"/>
  <c r="R41" i="67"/>
  <c r="Q83" i="67"/>
  <c r="AQ90" i="15"/>
  <c r="AR83" i="67" s="1"/>
  <c r="L23" i="67"/>
  <c r="M30" i="15"/>
  <c r="R17" i="67"/>
  <c r="Q70" i="67"/>
  <c r="T153" i="15"/>
  <c r="T155" i="15"/>
  <c r="U148" i="67" s="1"/>
  <c r="T158" i="15"/>
  <c r="U151" i="67" s="1"/>
  <c r="T161" i="15"/>
  <c r="U154" i="67" s="1"/>
  <c r="T164" i="15"/>
  <c r="T165" i="15"/>
  <c r="U158" i="67" s="1"/>
  <c r="T80" i="15"/>
  <c r="T113" i="15"/>
  <c r="T75" i="15"/>
  <c r="U68" i="67" s="1"/>
  <c r="T121" i="15"/>
  <c r="T106" i="15"/>
  <c r="T89" i="15"/>
  <c r="T151" i="15"/>
  <c r="U144" i="67" s="1"/>
  <c r="T140" i="15"/>
  <c r="U133" i="67" s="1"/>
  <c r="T58" i="15"/>
  <c r="U51" i="67" s="1"/>
  <c r="T135" i="15"/>
  <c r="U128" i="67" s="1"/>
  <c r="T36" i="15"/>
  <c r="T41" i="15"/>
  <c r="T120" i="15"/>
  <c r="U113" i="67" s="1"/>
  <c r="T148" i="15"/>
  <c r="U141" i="67" s="1"/>
  <c r="T21" i="15"/>
  <c r="T125" i="15"/>
  <c r="U118" i="67" s="1"/>
  <c r="T118" i="15"/>
  <c r="T74" i="15"/>
  <c r="U67" i="67" s="1"/>
  <c r="T51" i="15"/>
  <c r="U44" i="67" s="1"/>
  <c r="T139" i="15"/>
  <c r="U132" i="67" s="1"/>
  <c r="T99" i="15"/>
  <c r="T19" i="15"/>
  <c r="T73" i="15"/>
  <c r="U66" i="67" s="1"/>
  <c r="T111" i="15"/>
  <c r="T98" i="15"/>
  <c r="U91" i="67" s="1"/>
  <c r="T105" i="15"/>
  <c r="T35" i="15"/>
  <c r="T48" i="15"/>
  <c r="T12" i="15"/>
  <c r="U5" i="67" s="1"/>
  <c r="T45" i="15"/>
  <c r="U38" i="67" s="1"/>
  <c r="T146" i="15"/>
  <c r="T26" i="15"/>
  <c r="T96" i="15"/>
  <c r="T32" i="15"/>
  <c r="U25" i="67" s="1"/>
  <c r="T24" i="15"/>
  <c r="T136" i="15"/>
  <c r="U129" i="67" s="1"/>
  <c r="T91" i="15"/>
  <c r="U84" i="67" s="1"/>
  <c r="T33" i="15"/>
  <c r="U26" i="67" s="1"/>
  <c r="T133" i="15"/>
  <c r="T94" i="15"/>
  <c r="T66" i="15"/>
  <c r="U59" i="67" s="1"/>
  <c r="T87" i="15"/>
  <c r="U80" i="67" s="1"/>
  <c r="T124" i="15"/>
  <c r="U117" i="67" s="1"/>
  <c r="T37" i="15"/>
  <c r="U30" i="67" s="1"/>
  <c r="T127" i="15"/>
  <c r="T132" i="15"/>
  <c r="T102" i="15"/>
  <c r="T65" i="15"/>
  <c r="U58" i="67" s="1"/>
  <c r="T13" i="15"/>
  <c r="T104" i="15"/>
  <c r="T61" i="15"/>
  <c r="T72" i="15"/>
  <c r="T142" i="15"/>
  <c r="T30" i="15"/>
  <c r="R11" i="67"/>
  <c r="R85" i="67"/>
  <c r="L67" i="67"/>
  <c r="M74" i="15"/>
  <c r="N67" i="67" s="1"/>
  <c r="AU83" i="67"/>
  <c r="AN90" i="27"/>
  <c r="AQ17" i="15"/>
  <c r="AR10" i="67" s="1"/>
  <c r="Q10" i="67"/>
  <c r="R21" i="67"/>
  <c r="R125" i="67"/>
  <c r="AV90" i="67"/>
  <c r="AV66" i="67"/>
  <c r="AV121" i="67"/>
  <c r="AV154" i="67"/>
  <c r="AV75" i="67"/>
  <c r="AV41" i="67"/>
  <c r="AV114" i="67"/>
  <c r="AV148" i="67"/>
  <c r="AV147" i="67"/>
  <c r="AV27" i="67"/>
  <c r="AR29" i="67"/>
  <c r="AR136" i="67"/>
  <c r="AR70" i="67"/>
  <c r="AR79" i="67"/>
  <c r="AV153" i="67"/>
  <c r="R33" i="67"/>
  <c r="L74" i="67"/>
  <c r="M81" i="15"/>
  <c r="Y21" i="15"/>
  <c r="Z14" i="67" s="1"/>
  <c r="N14" i="67"/>
  <c r="R80" i="67"/>
  <c r="L55" i="67"/>
  <c r="M62" i="15"/>
  <c r="AR45" i="67"/>
  <c r="K12" i="67"/>
  <c r="M19" i="15"/>
  <c r="L13" i="67"/>
  <c r="M20" i="15"/>
  <c r="M24" i="15"/>
  <c r="L17" i="67"/>
  <c r="AV33" i="67"/>
  <c r="L130" i="67"/>
  <c r="M137" i="15"/>
  <c r="K138" i="67"/>
  <c r="R67" i="67"/>
  <c r="R26" i="67"/>
  <c r="Q121" i="67"/>
  <c r="AQ128" i="15"/>
  <c r="R38" i="67"/>
  <c r="AR7" i="67"/>
  <c r="L9" i="67"/>
  <c r="M16" i="15"/>
  <c r="Y68" i="15"/>
  <c r="Z61" i="67" s="1"/>
  <c r="N61" i="67"/>
  <c r="R49" i="67"/>
  <c r="AU121" i="67"/>
  <c r="AN128" i="27"/>
  <c r="K141" i="67"/>
  <c r="L3" i="67"/>
  <c r="M10" i="15"/>
  <c r="AR81" i="67"/>
  <c r="R123" i="67"/>
  <c r="R113" i="67"/>
  <c r="R117" i="67"/>
  <c r="Y124" i="15"/>
  <c r="Z117" i="67" s="1"/>
  <c r="AV149" i="67"/>
  <c r="S225" i="27" l="1"/>
  <c r="V225" i="27"/>
  <c r="Y117" i="15"/>
  <c r="Z110" i="67" s="1"/>
  <c r="T173" i="15"/>
  <c r="T228" i="15"/>
  <c r="T227" i="15"/>
  <c r="T225" i="15"/>
  <c r="T226" i="15"/>
  <c r="T224" i="15"/>
  <c r="U217" i="67" s="1"/>
  <c r="S219" i="67"/>
  <c r="AJ226" i="15"/>
  <c r="S226" i="15"/>
  <c r="AI225" i="27"/>
  <c r="AL225" i="27" s="1"/>
  <c r="AK225" i="27"/>
  <c r="AI228" i="27"/>
  <c r="AL228" i="27" s="1"/>
  <c r="AK228" i="27"/>
  <c r="S228" i="27"/>
  <c r="V228" i="27"/>
  <c r="S218" i="67"/>
  <c r="AJ225" i="15"/>
  <c r="S225" i="15"/>
  <c r="S220" i="67"/>
  <c r="S227" i="15"/>
  <c r="AJ227" i="15"/>
  <c r="AI227" i="27"/>
  <c r="AL227" i="27" s="1"/>
  <c r="AK227" i="27"/>
  <c r="S221" i="67"/>
  <c r="AJ228" i="15"/>
  <c r="S228" i="15"/>
  <c r="S227" i="27"/>
  <c r="V227" i="27"/>
  <c r="AI226" i="27"/>
  <c r="AL226" i="27" s="1"/>
  <c r="AK226" i="27"/>
  <c r="S226" i="27"/>
  <c r="V226" i="27"/>
  <c r="S195" i="67"/>
  <c r="S202" i="15"/>
  <c r="AJ202" i="15"/>
  <c r="S190" i="67"/>
  <c r="S197" i="15"/>
  <c r="AJ197" i="15"/>
  <c r="S182" i="67"/>
  <c r="AJ189" i="15"/>
  <c r="S189" i="15"/>
  <c r="S174" i="67"/>
  <c r="S181" i="15"/>
  <c r="AJ181" i="15"/>
  <c r="S214" i="15"/>
  <c r="T207" i="67" s="1"/>
  <c r="AJ214" i="15"/>
  <c r="AK207" i="67" s="1"/>
  <c r="S215" i="15"/>
  <c r="T208" i="67" s="1"/>
  <c r="AJ215" i="15"/>
  <c r="AK208" i="67" s="1"/>
  <c r="AJ213" i="15"/>
  <c r="AK206" i="67" s="1"/>
  <c r="S213" i="15"/>
  <c r="T206" i="67" s="1"/>
  <c r="S189" i="67"/>
  <c r="AJ196" i="15"/>
  <c r="S196" i="15"/>
  <c r="S181" i="67"/>
  <c r="AJ188" i="15"/>
  <c r="S188" i="15"/>
  <c r="S173" i="67"/>
  <c r="AJ180" i="15"/>
  <c r="S180" i="15"/>
  <c r="S201" i="67"/>
  <c r="AJ208" i="15"/>
  <c r="S208" i="15"/>
  <c r="AJ223" i="15"/>
  <c r="AK216" i="67" s="1"/>
  <c r="S223" i="15"/>
  <c r="T216" i="67" s="1"/>
  <c r="S204" i="67"/>
  <c r="S211" i="15"/>
  <c r="AJ211" i="15"/>
  <c r="S188" i="67"/>
  <c r="AJ195" i="15"/>
  <c r="S195" i="15"/>
  <c r="S180" i="67"/>
  <c r="S187" i="15"/>
  <c r="AJ187" i="15"/>
  <c r="S172" i="67"/>
  <c r="S179" i="15"/>
  <c r="AJ179" i="15"/>
  <c r="S194" i="67"/>
  <c r="S201" i="15"/>
  <c r="AJ201" i="15"/>
  <c r="AJ219" i="15"/>
  <c r="AK212" i="67" s="1"/>
  <c r="S219" i="15"/>
  <c r="T212" i="67" s="1"/>
  <c r="S200" i="67"/>
  <c r="AJ207" i="15"/>
  <c r="S207" i="15"/>
  <c r="S187" i="67"/>
  <c r="AJ194" i="15"/>
  <c r="S194" i="15"/>
  <c r="S179" i="67"/>
  <c r="AJ186" i="15"/>
  <c r="S186" i="15"/>
  <c r="S171" i="67"/>
  <c r="S178" i="15"/>
  <c r="AJ178" i="15"/>
  <c r="S222" i="15"/>
  <c r="T215" i="67" s="1"/>
  <c r="AJ222" i="15"/>
  <c r="AK215" i="67" s="1"/>
  <c r="S216" i="15"/>
  <c r="T209" i="67" s="1"/>
  <c r="AJ216" i="15"/>
  <c r="AK209" i="67" s="1"/>
  <c r="S198" i="67"/>
  <c r="AJ205" i="15"/>
  <c r="S205" i="15"/>
  <c r="S186" i="67"/>
  <c r="S193" i="15"/>
  <c r="AJ193" i="15"/>
  <c r="S178" i="67"/>
  <c r="S185" i="15"/>
  <c r="AJ185" i="15"/>
  <c r="S170" i="67"/>
  <c r="S177" i="15"/>
  <c r="AJ177" i="15"/>
  <c r="AJ221" i="15"/>
  <c r="AK214" i="67" s="1"/>
  <c r="S221" i="15"/>
  <c r="T214" i="67" s="1"/>
  <c r="AJ224" i="15"/>
  <c r="AK217" i="67" s="1"/>
  <c r="S224" i="15"/>
  <c r="T217" i="67" s="1"/>
  <c r="AI224" i="27"/>
  <c r="AL224" i="27" s="1"/>
  <c r="AK224" i="27"/>
  <c r="S205" i="67"/>
  <c r="AJ212" i="15"/>
  <c r="S212" i="15"/>
  <c r="S196" i="67"/>
  <c r="S203" i="15"/>
  <c r="AJ203" i="15"/>
  <c r="S185" i="67"/>
  <c r="AJ192" i="15"/>
  <c r="S192" i="15"/>
  <c r="S177" i="67"/>
  <c r="AJ184" i="15"/>
  <c r="S184" i="15"/>
  <c r="S197" i="67"/>
  <c r="AJ204" i="15"/>
  <c r="S204" i="15"/>
  <c r="S220" i="15"/>
  <c r="T213" i="67" s="1"/>
  <c r="AJ220" i="15"/>
  <c r="AK213" i="67" s="1"/>
  <c r="S224" i="27"/>
  <c r="V224" i="27"/>
  <c r="S202" i="67"/>
  <c r="S209" i="15"/>
  <c r="AJ209" i="15"/>
  <c r="S192" i="67"/>
  <c r="AJ199" i="15"/>
  <c r="S199" i="15"/>
  <c r="S184" i="67"/>
  <c r="AJ191" i="15"/>
  <c r="S191" i="15"/>
  <c r="S176" i="67"/>
  <c r="AJ183" i="15"/>
  <c r="S183" i="15"/>
  <c r="S203" i="67"/>
  <c r="AJ210" i="15"/>
  <c r="S210" i="15"/>
  <c r="AJ218" i="15"/>
  <c r="AK211" i="67" s="1"/>
  <c r="S218" i="15"/>
  <c r="T211" i="67" s="1"/>
  <c r="S199" i="67"/>
  <c r="AJ206" i="15"/>
  <c r="S206" i="15"/>
  <c r="S191" i="67"/>
  <c r="S198" i="15"/>
  <c r="AJ198" i="15"/>
  <c r="S183" i="67"/>
  <c r="AJ190" i="15"/>
  <c r="S190" i="15"/>
  <c r="S175" i="67"/>
  <c r="S182" i="15"/>
  <c r="AJ182" i="15"/>
  <c r="S193" i="67"/>
  <c r="AJ200" i="15"/>
  <c r="S200" i="15"/>
  <c r="AJ217" i="15"/>
  <c r="AK210" i="67" s="1"/>
  <c r="S217" i="15"/>
  <c r="T210" i="67" s="1"/>
  <c r="Y101" i="15"/>
  <c r="Z94" i="67" s="1"/>
  <c r="T71" i="15"/>
  <c r="T149" i="15"/>
  <c r="T14" i="15"/>
  <c r="U7" i="67" s="1"/>
  <c r="T81" i="15"/>
  <c r="U74" i="67" s="1"/>
  <c r="T47" i="15"/>
  <c r="T67" i="15"/>
  <c r="T107" i="15"/>
  <c r="T137" i="15"/>
  <c r="U130" i="67" s="1"/>
  <c r="T109" i="15"/>
  <c r="T50" i="15"/>
  <c r="U43" i="67" s="1"/>
  <c r="T83" i="15"/>
  <c r="T64" i="15"/>
  <c r="U57" i="67" s="1"/>
  <c r="T59" i="15"/>
  <c r="U52" i="67" s="1"/>
  <c r="T163" i="15"/>
  <c r="T157" i="15"/>
  <c r="H64" i="1"/>
  <c r="T174" i="15"/>
  <c r="T217" i="15"/>
  <c r="U210" i="67" s="1"/>
  <c r="T218" i="15"/>
  <c r="U211" i="67" s="1"/>
  <c r="T216" i="15"/>
  <c r="U209" i="67" s="1"/>
  <c r="T219" i="15"/>
  <c r="U212" i="67" s="1"/>
  <c r="T220" i="15"/>
  <c r="U213" i="67" s="1"/>
  <c r="T221" i="15"/>
  <c r="U214" i="67" s="1"/>
  <c r="T222" i="15"/>
  <c r="U215" i="67" s="1"/>
  <c r="T215" i="15"/>
  <c r="U208" i="67" s="1"/>
  <c r="T223" i="15"/>
  <c r="U216" i="67" s="1"/>
  <c r="T181" i="15"/>
  <c r="T189" i="15"/>
  <c r="T197" i="15"/>
  <c r="T205" i="15"/>
  <c r="T213" i="15"/>
  <c r="U206" i="67" s="1"/>
  <c r="T187" i="15"/>
  <c r="T180" i="15"/>
  <c r="T182" i="15"/>
  <c r="T190" i="15"/>
  <c r="T198" i="15"/>
  <c r="T206" i="15"/>
  <c r="T214" i="15"/>
  <c r="U207" i="67" s="1"/>
  <c r="T184" i="15"/>
  <c r="T192" i="15"/>
  <c r="T208" i="15"/>
  <c r="T195" i="15"/>
  <c r="T211" i="15"/>
  <c r="T212" i="15"/>
  <c r="T183" i="15"/>
  <c r="T191" i="15"/>
  <c r="T199" i="15"/>
  <c r="T207" i="15"/>
  <c r="T200" i="15"/>
  <c r="T196" i="15"/>
  <c r="T177" i="15"/>
  <c r="T185" i="15"/>
  <c r="T193" i="15"/>
  <c r="T201" i="15"/>
  <c r="T209" i="15"/>
  <c r="T194" i="15"/>
  <c r="T179" i="15"/>
  <c r="T203" i="15"/>
  <c r="T188" i="15"/>
  <c r="T178" i="15"/>
  <c r="T186" i="15"/>
  <c r="T202" i="15"/>
  <c r="T210" i="15"/>
  <c r="T204" i="15"/>
  <c r="T126" i="15"/>
  <c r="U119" i="67" s="1"/>
  <c r="T141" i="15"/>
  <c r="T129" i="15"/>
  <c r="U122" i="67" s="1"/>
  <c r="T119" i="15"/>
  <c r="U112" i="67" s="1"/>
  <c r="T52" i="15"/>
  <c r="T115" i="15"/>
  <c r="T43" i="15"/>
  <c r="U36" i="67" s="1"/>
  <c r="T134" i="15"/>
  <c r="U127" i="67" s="1"/>
  <c r="T92" i="15"/>
  <c r="T54" i="15"/>
  <c r="U47" i="67" s="1"/>
  <c r="T56" i="15"/>
  <c r="U49" i="67" s="1"/>
  <c r="T69" i="15"/>
  <c r="U62" i="67" s="1"/>
  <c r="T40" i="15"/>
  <c r="U33" i="67" s="1"/>
  <c r="T29" i="15"/>
  <c r="T23" i="15"/>
  <c r="T130" i="15"/>
  <c r="U123" i="67" s="1"/>
  <c r="T86" i="15"/>
  <c r="T77" i="15"/>
  <c r="U70" i="67" s="1"/>
  <c r="T122" i="15"/>
  <c r="U115" i="67" s="1"/>
  <c r="T17" i="15"/>
  <c r="U10" i="67" s="1"/>
  <c r="T117" i="15"/>
  <c r="T55" i="15"/>
  <c r="T108" i="15"/>
  <c r="T162" i="15"/>
  <c r="U155" i="67" s="1"/>
  <c r="T154" i="15"/>
  <c r="U147" i="67" s="1"/>
  <c r="T175" i="15"/>
  <c r="T27" i="15"/>
  <c r="T57" i="15"/>
  <c r="U50" i="67" s="1"/>
  <c r="T68" i="15"/>
  <c r="U61" i="67" s="1"/>
  <c r="T18" i="15"/>
  <c r="T39" i="15"/>
  <c r="T114" i="15"/>
  <c r="T88" i="15"/>
  <c r="T144" i="15"/>
  <c r="U137" i="67" s="1"/>
  <c r="T11" i="15"/>
  <c r="T16" i="15"/>
  <c r="U9" i="67" s="1"/>
  <c r="T160" i="15"/>
  <c r="U153" i="67" s="1"/>
  <c r="T167" i="15"/>
  <c r="U160" i="67" s="1"/>
  <c r="T170" i="15"/>
  <c r="U163" i="67" s="1"/>
  <c r="T46" i="15"/>
  <c r="U39" i="67" s="1"/>
  <c r="T101" i="15"/>
  <c r="T128" i="15"/>
  <c r="U128" i="15" s="1"/>
  <c r="V128" i="15" s="1"/>
  <c r="T79" i="15"/>
  <c r="U72" i="67" s="1"/>
  <c r="T63" i="15"/>
  <c r="U56" i="67" s="1"/>
  <c r="T31" i="15"/>
  <c r="T76" i="15"/>
  <c r="U69" i="67" s="1"/>
  <c r="T42" i="15"/>
  <c r="T93" i="15"/>
  <c r="U86" i="67" s="1"/>
  <c r="T150" i="15"/>
  <c r="T110" i="15"/>
  <c r="T131" i="15"/>
  <c r="U124" i="67" s="1"/>
  <c r="T95" i="15"/>
  <c r="U88" i="67" s="1"/>
  <c r="T28" i="15"/>
  <c r="T10" i="15"/>
  <c r="T53" i="15"/>
  <c r="T49" i="15"/>
  <c r="U42" i="67" s="1"/>
  <c r="T44" i="15"/>
  <c r="T123" i="15"/>
  <c r="U116" i="67" s="1"/>
  <c r="T159" i="15"/>
  <c r="T166" i="15"/>
  <c r="U159" i="67" s="1"/>
  <c r="AI215" i="27"/>
  <c r="AL215" i="27" s="1"/>
  <c r="AI221" i="27"/>
  <c r="AL221" i="27" s="1"/>
  <c r="AI219" i="27"/>
  <c r="AL219" i="27" s="1"/>
  <c r="S221" i="27"/>
  <c r="AI222" i="27"/>
  <c r="AL222" i="27" s="1"/>
  <c r="S219" i="27"/>
  <c r="S215" i="27"/>
  <c r="AI223" i="27"/>
  <c r="AL223" i="27" s="1"/>
  <c r="S220" i="27"/>
  <c r="S218" i="27"/>
  <c r="AI216" i="27"/>
  <c r="AL216" i="27" s="1"/>
  <c r="AI218" i="27"/>
  <c r="AL218" i="27" s="1"/>
  <c r="AI220" i="27"/>
  <c r="AL220" i="27" s="1"/>
  <c r="AI217" i="27"/>
  <c r="AL217" i="27" s="1"/>
  <c r="S216" i="27"/>
  <c r="S222" i="27"/>
  <c r="S217" i="27"/>
  <c r="S223" i="27"/>
  <c r="O223" i="27" s="1"/>
  <c r="AW216" i="67" s="1"/>
  <c r="AI201" i="27"/>
  <c r="AL201" i="27" s="1"/>
  <c r="AI207" i="27"/>
  <c r="AL207" i="27" s="1"/>
  <c r="AI205" i="27"/>
  <c r="AL205" i="27" s="1"/>
  <c r="AI189" i="27"/>
  <c r="AL189" i="27" s="1"/>
  <c r="AI188" i="27"/>
  <c r="AL188" i="27" s="1"/>
  <c r="AI191" i="27"/>
  <c r="AL191" i="27" s="1"/>
  <c r="AI182" i="27"/>
  <c r="AL182" i="27" s="1"/>
  <c r="AI194" i="27"/>
  <c r="AL194" i="27" s="1"/>
  <c r="AI197" i="27"/>
  <c r="AL197" i="27" s="1"/>
  <c r="AI196" i="27"/>
  <c r="AL196" i="27" s="1"/>
  <c r="AI211" i="27"/>
  <c r="AL211" i="27" s="1"/>
  <c r="AI198" i="27"/>
  <c r="AL198" i="27" s="1"/>
  <c r="S212" i="27"/>
  <c r="S190" i="27"/>
  <c r="AI178" i="27"/>
  <c r="AL178" i="27" s="1"/>
  <c r="S181" i="27"/>
  <c r="S194" i="27"/>
  <c r="AI214" i="27"/>
  <c r="AL214" i="27" s="1"/>
  <c r="AI195" i="27"/>
  <c r="AL195" i="27" s="1"/>
  <c r="S185" i="27"/>
  <c r="S191" i="27"/>
  <c r="S177" i="27"/>
  <c r="S208" i="27"/>
  <c r="AI199" i="27"/>
  <c r="AL199" i="27" s="1"/>
  <c r="AI185" i="27"/>
  <c r="AL185" i="27" s="1"/>
  <c r="S204" i="27"/>
  <c r="S196" i="27"/>
  <c r="AI212" i="27"/>
  <c r="AL212" i="27" s="1"/>
  <c r="S183" i="27"/>
  <c r="AI213" i="27"/>
  <c r="AL213" i="27" s="1"/>
  <c r="S198" i="27"/>
  <c r="AI193" i="27"/>
  <c r="AL193" i="27" s="1"/>
  <c r="AI200" i="27"/>
  <c r="AL200" i="27" s="1"/>
  <c r="S179" i="27"/>
  <c r="S189" i="27"/>
  <c r="AI179" i="27"/>
  <c r="AL179" i="27" s="1"/>
  <c r="S180" i="27"/>
  <c r="S202" i="27"/>
  <c r="S211" i="27"/>
  <c r="S182" i="27"/>
  <c r="AI210" i="27"/>
  <c r="AL210" i="27" s="1"/>
  <c r="S200" i="27"/>
  <c r="AI180" i="27"/>
  <c r="AL180" i="27" s="1"/>
  <c r="AI183" i="27"/>
  <c r="AL183" i="27" s="1"/>
  <c r="S192" i="27"/>
  <c r="AI209" i="27"/>
  <c r="AL209" i="27" s="1"/>
  <c r="AI190" i="27"/>
  <c r="AL190" i="27" s="1"/>
  <c r="AI202" i="27"/>
  <c r="AL202" i="27" s="1"/>
  <c r="S197" i="27"/>
  <c r="AI184" i="27"/>
  <c r="AL184" i="27" s="1"/>
  <c r="S214" i="27"/>
  <c r="S203" i="27"/>
  <c r="AI204" i="27"/>
  <c r="AL204" i="27" s="1"/>
  <c r="S206" i="27"/>
  <c r="S199" i="27"/>
  <c r="S207" i="27"/>
  <c r="S209" i="27"/>
  <c r="AI203" i="27"/>
  <c r="AL203" i="27" s="1"/>
  <c r="AI181" i="27"/>
  <c r="AL181" i="27" s="1"/>
  <c r="AI206" i="27"/>
  <c r="AL206" i="27" s="1"/>
  <c r="S201" i="27"/>
  <c r="S188" i="27"/>
  <c r="S193" i="27"/>
  <c r="S205" i="27"/>
  <c r="S213" i="27"/>
  <c r="AI208" i="27"/>
  <c r="AL208" i="27" s="1"/>
  <c r="S187" i="27"/>
  <c r="S195" i="27"/>
  <c r="AI192" i="27"/>
  <c r="AL192" i="27" s="1"/>
  <c r="S210" i="27"/>
  <c r="AI186" i="27"/>
  <c r="AL186" i="27" s="1"/>
  <c r="S186" i="27"/>
  <c r="S178" i="27"/>
  <c r="AI177" i="27"/>
  <c r="AL177" i="27" s="1"/>
  <c r="AI187" i="27"/>
  <c r="AL187" i="27" s="1"/>
  <c r="S184" i="27"/>
  <c r="T62" i="15"/>
  <c r="U55" i="67" s="1"/>
  <c r="T70" i="15"/>
  <c r="U70" i="15" s="1"/>
  <c r="V70" i="15" s="1"/>
  <c r="T84" i="15"/>
  <c r="T78" i="15"/>
  <c r="T147" i="15"/>
  <c r="T90" i="15"/>
  <c r="U83" i="67" s="1"/>
  <c r="T60" i="15"/>
  <c r="U53" i="67" s="1"/>
  <c r="T103" i="15"/>
  <c r="T82" i="15"/>
  <c r="U75" i="67" s="1"/>
  <c r="T22" i="15"/>
  <c r="U15" i="67" s="1"/>
  <c r="T116" i="15"/>
  <c r="T97" i="15"/>
  <c r="U90" i="67" s="1"/>
  <c r="T38" i="15"/>
  <c r="T20" i="15"/>
  <c r="U13" i="67" s="1"/>
  <c r="T100" i="15"/>
  <c r="T112" i="15"/>
  <c r="U105" i="67" s="1"/>
  <c r="T25" i="15"/>
  <c r="T15" i="15"/>
  <c r="U8" i="67" s="1"/>
  <c r="T138" i="15"/>
  <c r="T34" i="15"/>
  <c r="T85" i="15"/>
  <c r="U78" i="67" s="1"/>
  <c r="T143" i="15"/>
  <c r="U136" i="67" s="1"/>
  <c r="T9" i="15"/>
  <c r="U2" i="67" s="1"/>
  <c r="T145" i="15"/>
  <c r="U138" i="67" s="1"/>
  <c r="T152" i="15"/>
  <c r="T156" i="15"/>
  <c r="U149" i="67" s="1"/>
  <c r="N42" i="67"/>
  <c r="Y123" i="15"/>
  <c r="Z116" i="67" s="1"/>
  <c r="N101" i="67"/>
  <c r="N32" i="67"/>
  <c r="N53" i="67"/>
  <c r="Y17" i="15"/>
  <c r="Z10" i="67" s="1"/>
  <c r="N89" i="67"/>
  <c r="Y12" i="15"/>
  <c r="Z5" i="67" s="1"/>
  <c r="N62" i="67"/>
  <c r="N28" i="67"/>
  <c r="N87" i="67"/>
  <c r="N21" i="67"/>
  <c r="N6" i="67"/>
  <c r="V72" i="27"/>
  <c r="Y86" i="15"/>
  <c r="Z79" i="67" s="1"/>
  <c r="Y122" i="15"/>
  <c r="Z115" i="67" s="1"/>
  <c r="Y99" i="15"/>
  <c r="Z92" i="67" s="1"/>
  <c r="Z122" i="15"/>
  <c r="AA115" i="67" s="1"/>
  <c r="N52" i="67"/>
  <c r="Y85" i="15"/>
  <c r="Z78" i="67" s="1"/>
  <c r="Y36" i="15"/>
  <c r="Z29" i="67" s="1"/>
  <c r="Y83" i="15"/>
  <c r="Z76" i="67" s="1"/>
  <c r="Y152" i="15"/>
  <c r="Z145" i="67" s="1"/>
  <c r="Y130" i="15"/>
  <c r="Z123" i="67" s="1"/>
  <c r="Y100" i="15"/>
  <c r="Z93" i="67" s="1"/>
  <c r="Y84" i="15"/>
  <c r="Z77" i="67" s="1"/>
  <c r="Y78" i="15"/>
  <c r="Z71" i="67" s="1"/>
  <c r="Y37" i="15"/>
  <c r="Z30" i="67" s="1"/>
  <c r="Y95" i="15"/>
  <c r="Z88" i="67" s="1"/>
  <c r="Y31" i="15"/>
  <c r="Z24" i="67" s="1"/>
  <c r="T176" i="15"/>
  <c r="U169" i="67" s="1"/>
  <c r="T168" i="15"/>
  <c r="U161" i="67" s="1"/>
  <c r="R58" i="27"/>
  <c r="S58" i="27" s="1"/>
  <c r="O58" i="27" s="1"/>
  <c r="Y104" i="15"/>
  <c r="Z97" i="67" s="1"/>
  <c r="AK28" i="27"/>
  <c r="R142" i="27"/>
  <c r="S142" i="27" s="1"/>
  <c r="N25" i="67"/>
  <c r="AI140" i="27"/>
  <c r="AL140" i="27" s="1"/>
  <c r="Y45" i="15"/>
  <c r="Z38" i="67" s="1"/>
  <c r="R73" i="27"/>
  <c r="S73" i="27" s="1"/>
  <c r="R17" i="27"/>
  <c r="V17" i="27" s="1"/>
  <c r="R16" i="27"/>
  <c r="V16" i="27" s="1"/>
  <c r="R153" i="27"/>
  <c r="AK107" i="27"/>
  <c r="AI71" i="27"/>
  <c r="AL71" i="27" s="1"/>
  <c r="AI25" i="27"/>
  <c r="AL25" i="27" s="1"/>
  <c r="R151" i="27"/>
  <c r="V151" i="27" s="1"/>
  <c r="AI128" i="27"/>
  <c r="AL128" i="27" s="1"/>
  <c r="R119" i="27"/>
  <c r="S119" i="27" s="1"/>
  <c r="Y46" i="15"/>
  <c r="Z39" i="67" s="1"/>
  <c r="Y147" i="15"/>
  <c r="Z140" i="67" s="1"/>
  <c r="Y143" i="15"/>
  <c r="Z136" i="67" s="1"/>
  <c r="N106" i="67"/>
  <c r="S120" i="15"/>
  <c r="T113" i="67" s="1"/>
  <c r="Y67" i="15"/>
  <c r="Z60" i="67" s="1"/>
  <c r="Y127" i="15"/>
  <c r="Z120" i="67" s="1"/>
  <c r="Y43" i="15"/>
  <c r="Z36" i="67" s="1"/>
  <c r="Y105" i="15"/>
  <c r="Z98" i="67" s="1"/>
  <c r="N19" i="67"/>
  <c r="N131" i="67"/>
  <c r="Y120" i="15"/>
  <c r="Z113" i="67" s="1"/>
  <c r="S18" i="15"/>
  <c r="T11" i="67" s="1"/>
  <c r="V18" i="27"/>
  <c r="AJ48" i="15"/>
  <c r="AN48" i="15" s="1"/>
  <c r="AO41" i="67" s="1"/>
  <c r="AJ45" i="15"/>
  <c r="AK38" i="67" s="1"/>
  <c r="Y142" i="15"/>
  <c r="Z135" i="67" s="1"/>
  <c r="S48" i="15"/>
  <c r="T41" i="67" s="1"/>
  <c r="Y22" i="15"/>
  <c r="Z15" i="67" s="1"/>
  <c r="R48" i="27"/>
  <c r="V48" i="27" s="1"/>
  <c r="S45" i="15"/>
  <c r="Z45" i="15" s="1"/>
  <c r="AA38" i="67" s="1"/>
  <c r="AI33" i="27"/>
  <c r="AL33" i="27" s="1"/>
  <c r="R33" i="27"/>
  <c r="V33" i="27" s="1"/>
  <c r="Y40" i="15"/>
  <c r="Z33" i="67" s="1"/>
  <c r="AK70" i="27"/>
  <c r="R106" i="27"/>
  <c r="V106" i="27" s="1"/>
  <c r="R92" i="27"/>
  <c r="V92" i="27" s="1"/>
  <c r="AI10" i="27"/>
  <c r="AL10" i="27" s="1"/>
  <c r="AI115" i="27"/>
  <c r="AL115" i="27" s="1"/>
  <c r="AK80" i="27"/>
  <c r="AK95" i="27"/>
  <c r="AI121" i="27"/>
  <c r="AL121" i="27" s="1"/>
  <c r="AK166" i="27"/>
  <c r="R31" i="27"/>
  <c r="V31" i="27" s="1"/>
  <c r="R86" i="27"/>
  <c r="V86" i="27" s="1"/>
  <c r="AK72" i="27"/>
  <c r="R26" i="27"/>
  <c r="S26" i="27" s="1"/>
  <c r="AK94" i="27"/>
  <c r="R93" i="27"/>
  <c r="V93" i="27" s="1"/>
  <c r="Y141" i="15"/>
  <c r="Z134" i="67" s="1"/>
  <c r="AI18" i="27"/>
  <c r="AL18" i="27" s="1"/>
  <c r="R23" i="27"/>
  <c r="V23" i="27" s="1"/>
  <c r="R132" i="27"/>
  <c r="V132" i="27" s="1"/>
  <c r="R148" i="27"/>
  <c r="S148" i="27" s="1"/>
  <c r="W148" i="27" s="1"/>
  <c r="Z148" i="27" s="1"/>
  <c r="AX141" i="67" s="1"/>
  <c r="R134" i="27"/>
  <c r="S134" i="27" s="1"/>
  <c r="AI142" i="27"/>
  <c r="AL142" i="27" s="1"/>
  <c r="AI37" i="27"/>
  <c r="AL37" i="27" s="1"/>
  <c r="AK14" i="27"/>
  <c r="AI160" i="27"/>
  <c r="AL160" i="27" s="1"/>
  <c r="R145" i="27"/>
  <c r="S145" i="27" s="1"/>
  <c r="W145" i="27" s="1"/>
  <c r="Z145" i="27" s="1"/>
  <c r="AX138" i="67" s="1"/>
  <c r="R57" i="27"/>
  <c r="V57" i="27" s="1"/>
  <c r="R170" i="27"/>
  <c r="S170" i="27" s="1"/>
  <c r="AI96" i="27"/>
  <c r="AL96" i="27" s="1"/>
  <c r="AI29" i="27"/>
  <c r="AL29" i="27" s="1"/>
  <c r="AK23" i="27"/>
  <c r="R125" i="27"/>
  <c r="V125" i="27" s="1"/>
  <c r="AK148" i="27"/>
  <c r="AI125" i="27"/>
  <c r="AL125" i="27" s="1"/>
  <c r="AI47" i="27"/>
  <c r="AL47" i="27" s="1"/>
  <c r="AI98" i="27"/>
  <c r="AL98" i="27" s="1"/>
  <c r="AK19" i="27"/>
  <c r="R164" i="27"/>
  <c r="S164" i="27" s="1"/>
  <c r="R53" i="27"/>
  <c r="V53" i="27" s="1"/>
  <c r="R65" i="27"/>
  <c r="V65" i="27" s="1"/>
  <c r="AK103" i="27"/>
  <c r="R70" i="27"/>
  <c r="V70" i="27" s="1"/>
  <c r="AI170" i="27"/>
  <c r="AL170" i="27" s="1"/>
  <c r="Y55" i="15"/>
  <c r="Z48" i="67" s="1"/>
  <c r="S171" i="15"/>
  <c r="Z171" i="15" s="1"/>
  <c r="AA164" i="67" s="1"/>
  <c r="N46" i="67"/>
  <c r="AJ171" i="15"/>
  <c r="AK171" i="15" s="1"/>
  <c r="AL164" i="67" s="1"/>
  <c r="S169" i="67"/>
  <c r="AJ176" i="15"/>
  <c r="S176" i="15"/>
  <c r="Y42" i="15"/>
  <c r="Z35" i="67" s="1"/>
  <c r="R176" i="27"/>
  <c r="U167" i="67"/>
  <c r="S166" i="67"/>
  <c r="AJ173" i="15"/>
  <c r="AK173" i="15" s="1"/>
  <c r="S173" i="15"/>
  <c r="S168" i="67"/>
  <c r="S175" i="15"/>
  <c r="AJ175" i="15"/>
  <c r="Y33" i="15"/>
  <c r="Z26" i="67" s="1"/>
  <c r="Y44" i="15"/>
  <c r="Z37" i="67" s="1"/>
  <c r="U168" i="67"/>
  <c r="AJ87" i="15"/>
  <c r="AN87" i="15" s="1"/>
  <c r="AO80" i="67" s="1"/>
  <c r="N57" i="67"/>
  <c r="R175" i="27"/>
  <c r="R174" i="27"/>
  <c r="R173" i="27"/>
  <c r="U165" i="67"/>
  <c r="S167" i="67"/>
  <c r="S174" i="15"/>
  <c r="AJ174" i="15"/>
  <c r="S33" i="15"/>
  <c r="Z33" i="15" s="1"/>
  <c r="AA26" i="67" s="1"/>
  <c r="AJ120" i="15"/>
  <c r="AK113" i="67" s="1"/>
  <c r="AJ18" i="15"/>
  <c r="AK11" i="67" s="1"/>
  <c r="U166" i="67"/>
  <c r="S165" i="67"/>
  <c r="S172" i="15"/>
  <c r="AJ172" i="15"/>
  <c r="Y90" i="15"/>
  <c r="Z83" i="67" s="1"/>
  <c r="Y52" i="15"/>
  <c r="Z45" i="67" s="1"/>
  <c r="N64" i="67"/>
  <c r="Y11" i="15"/>
  <c r="Z4" i="67" s="1"/>
  <c r="Y38" i="15"/>
  <c r="Z31" i="67" s="1"/>
  <c r="Y65" i="15"/>
  <c r="Z58" i="67" s="1"/>
  <c r="AK11" i="27"/>
  <c r="R171" i="27"/>
  <c r="R116" i="27"/>
  <c r="V116" i="27" s="1"/>
  <c r="R118" i="27"/>
  <c r="V118" i="27" s="1"/>
  <c r="R39" i="27"/>
  <c r="V39" i="27" s="1"/>
  <c r="R43" i="27"/>
  <c r="R44" i="27"/>
  <c r="AK55" i="27"/>
  <c r="R111" i="27"/>
  <c r="R78" i="27"/>
  <c r="V78" i="27" s="1"/>
  <c r="R135" i="27"/>
  <c r="R94" i="27"/>
  <c r="V94" i="27" s="1"/>
  <c r="R69" i="27"/>
  <c r="V69" i="27" s="1"/>
  <c r="R30" i="27"/>
  <c r="V30" i="27" s="1"/>
  <c r="AK156" i="27"/>
  <c r="AK43" i="27"/>
  <c r="R55" i="27"/>
  <c r="V55" i="27" s="1"/>
  <c r="R85" i="27"/>
  <c r="V85" i="27" s="1"/>
  <c r="R98" i="27"/>
  <c r="V98" i="27" s="1"/>
  <c r="AK73" i="27"/>
  <c r="AK109" i="27"/>
  <c r="R54" i="27"/>
  <c r="V54" i="27" s="1"/>
  <c r="R15" i="27"/>
  <c r="V15" i="27" s="1"/>
  <c r="R160" i="27"/>
  <c r="V160" i="27" s="1"/>
  <c r="R141" i="27"/>
  <c r="V141" i="27" s="1"/>
  <c r="R75" i="27"/>
  <c r="V75" i="27" s="1"/>
  <c r="R156" i="27"/>
  <c r="V156" i="27" s="1"/>
  <c r="AK159" i="27"/>
  <c r="AK117" i="27"/>
  <c r="R154" i="27"/>
  <c r="V154" i="27" s="1"/>
  <c r="R19" i="27"/>
  <c r="V19" i="27" s="1"/>
  <c r="R50" i="27"/>
  <c r="AK75" i="27"/>
  <c r="R76" i="27"/>
  <c r="V76" i="27" s="1"/>
  <c r="R149" i="27"/>
  <c r="V149" i="27" s="1"/>
  <c r="R163" i="27"/>
  <c r="AK158" i="27"/>
  <c r="AK82" i="27"/>
  <c r="R11" i="27"/>
  <c r="V11" i="27" s="1"/>
  <c r="R97" i="27"/>
  <c r="V97" i="27" s="1"/>
  <c r="R79" i="27"/>
  <c r="V79" i="27" s="1"/>
  <c r="R59" i="27"/>
  <c r="V59" i="27" s="1"/>
  <c r="R61" i="27"/>
  <c r="V61" i="27" s="1"/>
  <c r="R155" i="27"/>
  <c r="V155" i="27" s="1"/>
  <c r="R137" i="27"/>
  <c r="R126" i="27"/>
  <c r="R147" i="27"/>
  <c r="AK50" i="27"/>
  <c r="R47" i="27"/>
  <c r="R162" i="27"/>
  <c r="AK27" i="27"/>
  <c r="AK46" i="27"/>
  <c r="R131" i="27"/>
  <c r="V131" i="27" s="1"/>
  <c r="AK106" i="27"/>
  <c r="R100" i="27"/>
  <c r="V100" i="27" s="1"/>
  <c r="R157" i="27"/>
  <c r="V157" i="27" s="1"/>
  <c r="R68" i="27"/>
  <c r="R51" i="27"/>
  <c r="V51" i="27" s="1"/>
  <c r="R27" i="27"/>
  <c r="R96" i="27"/>
  <c r="R159" i="27"/>
  <c r="R113" i="27"/>
  <c r="AK90" i="27"/>
  <c r="R91" i="27"/>
  <c r="V91" i="27" s="1"/>
  <c r="R114" i="27"/>
  <c r="V114" i="27" s="1"/>
  <c r="R112" i="27"/>
  <c r="AK145" i="27"/>
  <c r="R123" i="27"/>
  <c r="AK161" i="27"/>
  <c r="R158" i="27"/>
  <c r="V158" i="27" s="1"/>
  <c r="R146" i="27"/>
  <c r="R107" i="27"/>
  <c r="V107" i="27" s="1"/>
  <c r="R124" i="27"/>
  <c r="V124" i="27" s="1"/>
  <c r="R74" i="27"/>
  <c r="S74" i="27" s="1"/>
  <c r="S87" i="15"/>
  <c r="U87" i="15" s="1"/>
  <c r="V87" i="15" s="1"/>
  <c r="AI122" i="27"/>
  <c r="AL122" i="27" s="1"/>
  <c r="Y92" i="15"/>
  <c r="Z85" i="67" s="1"/>
  <c r="AI42" i="27"/>
  <c r="AL42" i="27" s="1"/>
  <c r="S104" i="15"/>
  <c r="T97" i="67" s="1"/>
  <c r="AI114" i="27"/>
  <c r="AL114" i="27" s="1"/>
  <c r="AI30" i="27"/>
  <c r="AL30" i="27" s="1"/>
  <c r="AI123" i="27"/>
  <c r="AL123" i="27" s="1"/>
  <c r="R101" i="27"/>
  <c r="S101" i="27" s="1"/>
  <c r="AI13" i="27"/>
  <c r="AL13" i="27" s="1"/>
  <c r="K64" i="1"/>
  <c r="R32" i="27"/>
  <c r="R13" i="27"/>
  <c r="S13" i="27" s="1"/>
  <c r="R66" i="27"/>
  <c r="S66" i="27" s="1"/>
  <c r="AI15" i="27"/>
  <c r="AL15" i="27" s="1"/>
  <c r="AI21" i="27"/>
  <c r="AL21" i="27" s="1"/>
  <c r="AI77" i="27"/>
  <c r="AL77" i="27" s="1"/>
  <c r="R89" i="27"/>
  <c r="V89" i="27" s="1"/>
  <c r="AK164" i="27"/>
  <c r="R22" i="27"/>
  <c r="V22" i="27" s="1"/>
  <c r="R104" i="27"/>
  <c r="R150" i="27"/>
  <c r="R12" i="27"/>
  <c r="V12" i="27" s="1"/>
  <c r="R34" i="27"/>
  <c r="V34" i="27" s="1"/>
  <c r="R83" i="27"/>
  <c r="V83" i="27" s="1"/>
  <c r="R152" i="27"/>
  <c r="R29" i="27"/>
  <c r="AK113" i="27"/>
  <c r="AK53" i="27"/>
  <c r="AK92" i="27"/>
  <c r="R42" i="27"/>
  <c r="AI120" i="27"/>
  <c r="AL120" i="27" s="1"/>
  <c r="AI124" i="27"/>
  <c r="AL124" i="27" s="1"/>
  <c r="AI40" i="27"/>
  <c r="AL40" i="27" s="1"/>
  <c r="AJ33" i="15"/>
  <c r="AK26" i="67" s="1"/>
  <c r="AK74" i="27"/>
  <c r="R122" i="27"/>
  <c r="S122" i="27" s="1"/>
  <c r="W122" i="27" s="1"/>
  <c r="Z122" i="27" s="1"/>
  <c r="AX115" i="67" s="1"/>
  <c r="AI129" i="27"/>
  <c r="AL129" i="27" s="1"/>
  <c r="AJ104" i="15"/>
  <c r="AK104" i="15" s="1"/>
  <c r="R67" i="27"/>
  <c r="AK49" i="27"/>
  <c r="AK143" i="27"/>
  <c r="R138" i="27"/>
  <c r="S138" i="27" s="1"/>
  <c r="AI38" i="27"/>
  <c r="AL38" i="27" s="1"/>
  <c r="AI141" i="27"/>
  <c r="AL141" i="27" s="1"/>
  <c r="AK57" i="27"/>
  <c r="R20" i="27"/>
  <c r="S20" i="27" s="1"/>
  <c r="R99" i="27"/>
  <c r="S99" i="27" s="1"/>
  <c r="R37" i="27"/>
  <c r="V37" i="27" s="1"/>
  <c r="AI63" i="27"/>
  <c r="AL63" i="27" s="1"/>
  <c r="AI100" i="27"/>
  <c r="AL100" i="27" s="1"/>
  <c r="AI99" i="27"/>
  <c r="AL99" i="27" s="1"/>
  <c r="R165" i="27"/>
  <c r="S165" i="27" s="1"/>
  <c r="R121" i="27"/>
  <c r="S121" i="27" s="1"/>
  <c r="W121" i="27" s="1"/>
  <c r="Z121" i="27" s="1"/>
  <c r="AX114" i="67" s="1"/>
  <c r="R136" i="27"/>
  <c r="R41" i="27"/>
  <c r="V41" i="27" s="1"/>
  <c r="R14" i="27"/>
  <c r="V14" i="27" s="1"/>
  <c r="AK34" i="27"/>
  <c r="R9" i="27"/>
  <c r="V9" i="27" s="1"/>
  <c r="AK104" i="27"/>
  <c r="R117" i="27"/>
  <c r="R49" i="27"/>
  <c r="V49" i="27" s="1"/>
  <c r="AK26" i="27"/>
  <c r="Y93" i="15"/>
  <c r="Z86" i="67" s="1"/>
  <c r="AK127" i="27"/>
  <c r="AI76" i="27"/>
  <c r="AL76" i="27" s="1"/>
  <c r="AI16" i="27"/>
  <c r="AL16" i="27" s="1"/>
  <c r="AI51" i="27"/>
  <c r="AL51" i="27" s="1"/>
  <c r="AI24" i="27"/>
  <c r="AL24" i="27" s="1"/>
  <c r="AI157" i="27"/>
  <c r="AL157" i="27" s="1"/>
  <c r="AI41" i="27"/>
  <c r="AL41" i="27" s="1"/>
  <c r="AI111" i="27"/>
  <c r="AL111" i="27" s="1"/>
  <c r="AI81" i="27"/>
  <c r="AL81" i="27" s="1"/>
  <c r="R21" i="27"/>
  <c r="V21" i="27" s="1"/>
  <c r="AK85" i="27"/>
  <c r="R64" i="27"/>
  <c r="V64" i="27" s="1"/>
  <c r="AI58" i="27"/>
  <c r="AL58" i="27" s="1"/>
  <c r="R36" i="27"/>
  <c r="S36" i="27" s="1"/>
  <c r="AK154" i="27"/>
  <c r="AI149" i="27"/>
  <c r="AL149" i="27" s="1"/>
  <c r="R62" i="27"/>
  <c r="V62" i="27" s="1"/>
  <c r="R25" i="27"/>
  <c r="V25" i="27" s="1"/>
  <c r="AI165" i="27"/>
  <c r="AL165" i="27" s="1"/>
  <c r="R133" i="27"/>
  <c r="V133" i="27" s="1"/>
  <c r="R143" i="27"/>
  <c r="V143" i="27" s="1"/>
  <c r="R95" i="27"/>
  <c r="V95" i="27" s="1"/>
  <c r="R169" i="27"/>
  <c r="V169" i="27" s="1"/>
  <c r="R38" i="27"/>
  <c r="V38" i="27" s="1"/>
  <c r="AK93" i="27"/>
  <c r="R103" i="27"/>
  <c r="AK66" i="27"/>
  <c r="R140" i="27"/>
  <c r="R35" i="27"/>
  <c r="V35" i="27" s="1"/>
  <c r="Y128" i="15"/>
  <c r="Z121" i="67" s="1"/>
  <c r="AK56" i="27"/>
  <c r="AI48" i="27"/>
  <c r="AL48" i="27" s="1"/>
  <c r="AK116" i="27"/>
  <c r="AI118" i="27"/>
  <c r="AL118" i="27" s="1"/>
  <c r="AI62" i="27"/>
  <c r="AL62" i="27" s="1"/>
  <c r="AI52" i="27"/>
  <c r="AL52" i="27" s="1"/>
  <c r="AI54" i="27"/>
  <c r="AL54" i="27" s="1"/>
  <c r="AI131" i="27"/>
  <c r="AL131" i="27" s="1"/>
  <c r="AI61" i="27"/>
  <c r="AL61" i="27" s="1"/>
  <c r="R81" i="27"/>
  <c r="V81" i="27" s="1"/>
  <c r="Y23" i="15"/>
  <c r="Z16" i="67" s="1"/>
  <c r="R105" i="27"/>
  <c r="S105" i="27" s="1"/>
  <c r="AI83" i="27"/>
  <c r="AL83" i="27" s="1"/>
  <c r="AK59" i="27"/>
  <c r="AI89" i="27"/>
  <c r="AL89" i="27" s="1"/>
  <c r="AI119" i="27"/>
  <c r="AL119" i="27" s="1"/>
  <c r="AI101" i="27"/>
  <c r="AL101" i="27" s="1"/>
  <c r="R167" i="27"/>
  <c r="S167" i="27" s="1"/>
  <c r="R108" i="27"/>
  <c r="V108" i="27" s="1"/>
  <c r="R28" i="27"/>
  <c r="S28" i="27" s="1"/>
  <c r="W28" i="27" s="1"/>
  <c r="Z28" i="27" s="1"/>
  <c r="AX21" i="67" s="1"/>
  <c r="AI169" i="27"/>
  <c r="AL169" i="27" s="1"/>
  <c r="R77" i="27"/>
  <c r="R129" i="27"/>
  <c r="R60" i="27"/>
  <c r="V60" i="27" s="1"/>
  <c r="R40" i="27"/>
  <c r="S40" i="27" s="1"/>
  <c r="W40" i="27" s="1"/>
  <c r="Z40" i="27" s="1"/>
  <c r="AX33" i="67" s="1"/>
  <c r="R130" i="27"/>
  <c r="V130" i="27" s="1"/>
  <c r="R45" i="27"/>
  <c r="V45" i="27" s="1"/>
  <c r="R102" i="27"/>
  <c r="S102" i="27" s="1"/>
  <c r="R87" i="27"/>
  <c r="V87" i="27" s="1"/>
  <c r="R56" i="27"/>
  <c r="V56" i="27" s="1"/>
  <c r="R161" i="27"/>
  <c r="AI78" i="27"/>
  <c r="AL78" i="27" s="1"/>
  <c r="AI32" i="27"/>
  <c r="AL32" i="27" s="1"/>
  <c r="AK135" i="27"/>
  <c r="AI151" i="27"/>
  <c r="AL151" i="27" s="1"/>
  <c r="AK155" i="27"/>
  <c r="R139" i="27"/>
  <c r="S139" i="27" s="1"/>
  <c r="AK64" i="27"/>
  <c r="R52" i="27"/>
  <c r="V52" i="27" s="1"/>
  <c r="AK22" i="27"/>
  <c r="AK134" i="27"/>
  <c r="R46" i="27"/>
  <c r="S46" i="27" s="1"/>
  <c r="AI31" i="27"/>
  <c r="AL31" i="27" s="1"/>
  <c r="AK60" i="27"/>
  <c r="R166" i="27"/>
  <c r="S166" i="27" s="1"/>
  <c r="R168" i="27"/>
  <c r="V168" i="27" s="1"/>
  <c r="R90" i="27"/>
  <c r="AK35" i="27"/>
  <c r="R10" i="27"/>
  <c r="V10" i="27" s="1"/>
  <c r="R127" i="27"/>
  <c r="V127" i="27" s="1"/>
  <c r="AK133" i="27"/>
  <c r="R120" i="27"/>
  <c r="V120" i="27" s="1"/>
  <c r="AK130" i="27"/>
  <c r="R128" i="27"/>
  <c r="V128" i="27" s="1"/>
  <c r="AK45" i="27"/>
  <c r="AI102" i="27"/>
  <c r="AL102" i="27" s="1"/>
  <c r="AI87" i="27"/>
  <c r="AL87" i="27" s="1"/>
  <c r="AK105" i="27"/>
  <c r="AI9" i="27"/>
  <c r="AL9" i="27" s="1"/>
  <c r="AI67" i="27"/>
  <c r="AL67" i="27" s="1"/>
  <c r="R109" i="27"/>
  <c r="S109" i="27" s="1"/>
  <c r="AI39" i="27"/>
  <c r="AL39" i="27" s="1"/>
  <c r="R80" i="27"/>
  <c r="S80" i="27" s="1"/>
  <c r="O80" i="27" s="1"/>
  <c r="AW73" i="67" s="1"/>
  <c r="AI139" i="27"/>
  <c r="AL139" i="27" s="1"/>
  <c r="R115" i="27"/>
  <c r="S115" i="27" s="1"/>
  <c r="AI84" i="27"/>
  <c r="AL84" i="27" s="1"/>
  <c r="R84" i="27"/>
  <c r="S84" i="27" s="1"/>
  <c r="W84" i="27" s="1"/>
  <c r="Z84" i="27" s="1"/>
  <c r="AX77" i="67" s="1"/>
  <c r="R110" i="27"/>
  <c r="S110" i="27" s="1"/>
  <c r="AI36" i="27"/>
  <c r="AL36" i="27" s="1"/>
  <c r="AI20" i="27"/>
  <c r="AL20" i="27" s="1"/>
  <c r="AK110" i="27"/>
  <c r="AK167" i="27"/>
  <c r="R71" i="27"/>
  <c r="S71" i="27" s="1"/>
  <c r="O71" i="27" s="1"/>
  <c r="R24" i="27"/>
  <c r="S24" i="27" s="1"/>
  <c r="O24" i="27" s="1"/>
  <c r="AM24" i="27" s="1"/>
  <c r="R88" i="27"/>
  <c r="AI168" i="27"/>
  <c r="AL168" i="27" s="1"/>
  <c r="AK86" i="27"/>
  <c r="AK108" i="27"/>
  <c r="AK97" i="27"/>
  <c r="R82" i="27"/>
  <c r="V82" i="27" s="1"/>
  <c r="R63" i="27"/>
  <c r="R144" i="27"/>
  <c r="S161" i="67"/>
  <c r="AJ168" i="15"/>
  <c r="S168" i="15"/>
  <c r="S169" i="15"/>
  <c r="T162" i="67" s="1"/>
  <c r="AJ169" i="15"/>
  <c r="AK169" i="15" s="1"/>
  <c r="AJ170" i="15"/>
  <c r="S170" i="15"/>
  <c r="T163" i="67" s="1"/>
  <c r="AJ28" i="15"/>
  <c r="AK21" i="67" s="1"/>
  <c r="Y80" i="15"/>
  <c r="Z73" i="67" s="1"/>
  <c r="AI69" i="27"/>
  <c r="AL69" i="27" s="1"/>
  <c r="Y41" i="15"/>
  <c r="Z34" i="67" s="1"/>
  <c r="S18" i="27"/>
  <c r="AJ40" i="15"/>
  <c r="AK40" i="15" s="1"/>
  <c r="AV55" i="67"/>
  <c r="Y27" i="15"/>
  <c r="Z20" i="67" s="1"/>
  <c r="Y77" i="15"/>
  <c r="Z70" i="67" s="1"/>
  <c r="N59" i="67"/>
  <c r="N75" i="67"/>
  <c r="Y82" i="15"/>
  <c r="Z75" i="67" s="1"/>
  <c r="N84" i="67"/>
  <c r="N137" i="67"/>
  <c r="Y144" i="15"/>
  <c r="Z137" i="67" s="1"/>
  <c r="Y87" i="15"/>
  <c r="Z80" i="67" s="1"/>
  <c r="Y48" i="15"/>
  <c r="Z41" i="67" s="1"/>
  <c r="Y29" i="15"/>
  <c r="Z22" i="67" s="1"/>
  <c r="Y102" i="15"/>
  <c r="Z95" i="67" s="1"/>
  <c r="Y15" i="15"/>
  <c r="Z8" i="67" s="1"/>
  <c r="Y140" i="15"/>
  <c r="Z133" i="67" s="1"/>
  <c r="N139" i="67"/>
  <c r="Y70" i="15"/>
  <c r="Z63" i="67" s="1"/>
  <c r="N54" i="67"/>
  <c r="Y61" i="15"/>
  <c r="Z54" i="67" s="1"/>
  <c r="Y56" i="15"/>
  <c r="Z49" i="67" s="1"/>
  <c r="Y150" i="15"/>
  <c r="Z143" i="67" s="1"/>
  <c r="Y136" i="15"/>
  <c r="Z129" i="67" s="1"/>
  <c r="Y132" i="15"/>
  <c r="Z125" i="67" s="1"/>
  <c r="Y74" i="15"/>
  <c r="Z67" i="67" s="1"/>
  <c r="Y149" i="15"/>
  <c r="Z142" i="67" s="1"/>
  <c r="N40" i="67"/>
  <c r="Y47" i="15"/>
  <c r="Z40" i="67" s="1"/>
  <c r="Y98" i="15"/>
  <c r="Z91" i="67" s="1"/>
  <c r="N91" i="67"/>
  <c r="N50" i="67"/>
  <c r="Y57" i="15"/>
  <c r="Z50" i="67" s="1"/>
  <c r="N7" i="67"/>
  <c r="Y14" i="15"/>
  <c r="Z7" i="67" s="1"/>
  <c r="S40" i="15"/>
  <c r="U40" i="15" s="1"/>
  <c r="V40" i="15" s="1"/>
  <c r="S28" i="15"/>
  <c r="T21" i="67" s="1"/>
  <c r="AJ92" i="15"/>
  <c r="AN92" i="15" s="1"/>
  <c r="AO85" i="67" s="1"/>
  <c r="N127" i="67"/>
  <c r="Y134" i="15"/>
  <c r="Z127" i="67" s="1"/>
  <c r="AJ130" i="15"/>
  <c r="AK123" i="67" s="1"/>
  <c r="S92" i="15"/>
  <c r="T85" i="67" s="1"/>
  <c r="T115" i="67"/>
  <c r="Y50" i="15"/>
  <c r="Z43" i="67" s="1"/>
  <c r="Y118" i="15"/>
  <c r="Z111" i="67" s="1"/>
  <c r="N111" i="67"/>
  <c r="S130" i="15"/>
  <c r="T123" i="67" s="1"/>
  <c r="N132" i="67"/>
  <c r="Y139" i="15"/>
  <c r="Z132" i="67" s="1"/>
  <c r="N96" i="67"/>
  <c r="Y103" i="15"/>
  <c r="Z96" i="67" s="1"/>
  <c r="N56" i="67"/>
  <c r="Y63" i="15"/>
  <c r="Z56" i="67" s="1"/>
  <c r="N90" i="67"/>
  <c r="Y97" i="15"/>
  <c r="Z90" i="67" s="1"/>
  <c r="AJ124" i="15"/>
  <c r="AK117" i="67" s="1"/>
  <c r="S29" i="15"/>
  <c r="U29" i="15" s="1"/>
  <c r="V29" i="15" s="1"/>
  <c r="S72" i="15"/>
  <c r="T65" i="67" s="1"/>
  <c r="N100" i="67"/>
  <c r="Y107" i="15"/>
  <c r="Z100" i="67" s="1"/>
  <c r="S124" i="15"/>
  <c r="T117" i="67" s="1"/>
  <c r="AJ24" i="15"/>
  <c r="AK17" i="67" s="1"/>
  <c r="AJ29" i="15"/>
  <c r="AK22" i="67" s="1"/>
  <c r="AJ10" i="15"/>
  <c r="AK3" i="67" s="1"/>
  <c r="N27" i="67"/>
  <c r="Y34" i="15"/>
  <c r="Z27" i="67" s="1"/>
  <c r="Y135" i="15"/>
  <c r="Z128" i="67" s="1"/>
  <c r="N128" i="67"/>
  <c r="N118" i="67"/>
  <c r="Y125" i="15"/>
  <c r="Z118" i="67" s="1"/>
  <c r="N44" i="67"/>
  <c r="Y51" i="15"/>
  <c r="Z44" i="67" s="1"/>
  <c r="Y110" i="15"/>
  <c r="Z103" i="67" s="1"/>
  <c r="N103" i="67"/>
  <c r="S24" i="15"/>
  <c r="T17" i="67" s="1"/>
  <c r="N114" i="67"/>
  <c r="Y121" i="15"/>
  <c r="Z114" i="67" s="1"/>
  <c r="Y75" i="15"/>
  <c r="Z68" i="67" s="1"/>
  <c r="N68" i="67"/>
  <c r="N122" i="67"/>
  <c r="Y129" i="15"/>
  <c r="Z122" i="67" s="1"/>
  <c r="N112" i="67"/>
  <c r="Y119" i="15"/>
  <c r="Z112" i="67" s="1"/>
  <c r="N144" i="67"/>
  <c r="Y151" i="15"/>
  <c r="Z144" i="67" s="1"/>
  <c r="S42" i="15"/>
  <c r="U42" i="15" s="1"/>
  <c r="V42" i="15" s="1"/>
  <c r="N66" i="67"/>
  <c r="Y73" i="15"/>
  <c r="Z66" i="67" s="1"/>
  <c r="N107" i="67"/>
  <c r="Y114" i="15"/>
  <c r="Z107" i="67" s="1"/>
  <c r="AJ42" i="15"/>
  <c r="AK35" i="67" s="1"/>
  <c r="N126" i="67"/>
  <c r="Y133" i="15"/>
  <c r="Z126" i="67" s="1"/>
  <c r="N124" i="67"/>
  <c r="Y131" i="15"/>
  <c r="Z124" i="67" s="1"/>
  <c r="AK69" i="27"/>
  <c r="T34" i="67"/>
  <c r="U41" i="15"/>
  <c r="V41" i="15" s="1"/>
  <c r="Z41" i="15"/>
  <c r="AA34" i="67" s="1"/>
  <c r="T63" i="67"/>
  <c r="Z70" i="15"/>
  <c r="AA63" i="67" s="1"/>
  <c r="Z102" i="15"/>
  <c r="AA95" i="67" s="1"/>
  <c r="T95" i="67"/>
  <c r="U102" i="15"/>
  <c r="V102" i="15" s="1"/>
  <c r="Z58" i="15"/>
  <c r="AA51" i="67" s="1"/>
  <c r="T51" i="67"/>
  <c r="U58" i="15"/>
  <c r="V58" i="15" s="1"/>
  <c r="T79" i="67"/>
  <c r="Z86" i="15"/>
  <c r="AA79" i="67" s="1"/>
  <c r="U86" i="15"/>
  <c r="V86" i="15" s="1"/>
  <c r="T9" i="67"/>
  <c r="U93" i="67"/>
  <c r="U27" i="67"/>
  <c r="S6" i="67"/>
  <c r="AJ13" i="15"/>
  <c r="S13" i="15"/>
  <c r="S61" i="15"/>
  <c r="AJ61" i="15"/>
  <c r="AK61" i="15" s="1"/>
  <c r="S54" i="67"/>
  <c r="U23" i="67"/>
  <c r="U54" i="67"/>
  <c r="U120" i="67"/>
  <c r="U126" i="67"/>
  <c r="U89" i="67"/>
  <c r="U28" i="67"/>
  <c r="U104" i="67"/>
  <c r="U92" i="67"/>
  <c r="U14" i="67"/>
  <c r="U34" i="67"/>
  <c r="U82" i="67"/>
  <c r="T83" i="67"/>
  <c r="Z90" i="15"/>
  <c r="AA83" i="67" s="1"/>
  <c r="S25" i="67"/>
  <c r="S32" i="15"/>
  <c r="AJ32" i="15"/>
  <c r="S52" i="67"/>
  <c r="S59" i="15"/>
  <c r="AJ59" i="15"/>
  <c r="S8" i="67"/>
  <c r="AJ15" i="15"/>
  <c r="S15" i="15"/>
  <c r="S68" i="67"/>
  <c r="S75" i="15"/>
  <c r="AJ75" i="15"/>
  <c r="S69" i="67"/>
  <c r="S76" i="15"/>
  <c r="AJ76" i="15"/>
  <c r="AJ84" i="15"/>
  <c r="AK84" i="15" s="1"/>
  <c r="S77" i="67"/>
  <c r="S84" i="15"/>
  <c r="S43" i="67"/>
  <c r="S50" i="15"/>
  <c r="AJ50" i="15"/>
  <c r="S82" i="67"/>
  <c r="S89" i="15"/>
  <c r="Z89" i="15" s="1"/>
  <c r="AA82" i="67" s="1"/>
  <c r="AJ89" i="15"/>
  <c r="AK82" i="67" s="1"/>
  <c r="S46" i="15"/>
  <c r="AJ46" i="15"/>
  <c r="S39" i="67"/>
  <c r="S114" i="15"/>
  <c r="AJ114" i="15"/>
  <c r="S107" i="67"/>
  <c r="S27" i="15"/>
  <c r="AJ27" i="15"/>
  <c r="S20" i="67"/>
  <c r="S138" i="67"/>
  <c r="S145" i="15"/>
  <c r="AJ145" i="15"/>
  <c r="S57" i="15"/>
  <c r="S50" i="67"/>
  <c r="AJ57" i="15"/>
  <c r="AJ103" i="15"/>
  <c r="S96" i="67"/>
  <c r="S103" i="15"/>
  <c r="S78" i="67"/>
  <c r="S85" i="15"/>
  <c r="AJ85" i="15"/>
  <c r="AK85" i="15" s="1"/>
  <c r="AO85" i="15" s="1"/>
  <c r="S12" i="67"/>
  <c r="S19" i="15"/>
  <c r="Z19" i="15" s="1"/>
  <c r="AA12" i="67" s="1"/>
  <c r="AJ19" i="15"/>
  <c r="AK12" i="67" s="1"/>
  <c r="AJ154" i="15"/>
  <c r="S154" i="15"/>
  <c r="S147" i="67"/>
  <c r="S162" i="15"/>
  <c r="AJ162" i="15"/>
  <c r="S155" i="67"/>
  <c r="Y54" i="15"/>
  <c r="Z47" i="67" s="1"/>
  <c r="N47" i="67"/>
  <c r="S23" i="15"/>
  <c r="AJ53" i="15"/>
  <c r="AK53" i="15" s="1"/>
  <c r="U145" i="67"/>
  <c r="AJ31" i="15"/>
  <c r="AK31" i="15" s="1"/>
  <c r="S24" i="67"/>
  <c r="S31" i="15"/>
  <c r="S144" i="67"/>
  <c r="S151" i="15"/>
  <c r="AJ151" i="15"/>
  <c r="S93" i="67"/>
  <c r="S100" i="15"/>
  <c r="AJ100" i="15"/>
  <c r="S157" i="15"/>
  <c r="AJ157" i="15"/>
  <c r="AK157" i="15" s="1"/>
  <c r="S150" i="67"/>
  <c r="T14" i="67"/>
  <c r="U21" i="15"/>
  <c r="V21" i="15" s="1"/>
  <c r="AJ74" i="15"/>
  <c r="AK74" i="15" s="1"/>
  <c r="Z21" i="15"/>
  <c r="AA14" i="67" s="1"/>
  <c r="S72" i="27"/>
  <c r="O72" i="27" s="1"/>
  <c r="U135" i="67"/>
  <c r="U97" i="67"/>
  <c r="U95" i="67"/>
  <c r="U17" i="67"/>
  <c r="U19" i="67"/>
  <c r="U98" i="67"/>
  <c r="U111" i="67"/>
  <c r="U29" i="67"/>
  <c r="U99" i="67"/>
  <c r="U106" i="67"/>
  <c r="U157" i="67"/>
  <c r="Z83" i="15"/>
  <c r="AA76" i="67" s="1"/>
  <c r="T76" i="67"/>
  <c r="U83" i="15"/>
  <c r="V83" i="15" s="1"/>
  <c r="S143" i="67"/>
  <c r="S150" i="15"/>
  <c r="AJ150" i="15"/>
  <c r="AK150" i="15" s="1"/>
  <c r="S142" i="67"/>
  <c r="S149" i="15"/>
  <c r="AJ149" i="15"/>
  <c r="S81" i="67"/>
  <c r="AJ88" i="15"/>
  <c r="S88" i="15"/>
  <c r="S5" i="67"/>
  <c r="S12" i="15"/>
  <c r="AJ12" i="15"/>
  <c r="AJ63" i="15"/>
  <c r="S56" i="67"/>
  <c r="S63" i="15"/>
  <c r="AJ77" i="15"/>
  <c r="S70" i="67"/>
  <c r="S102" i="67"/>
  <c r="AJ109" i="15"/>
  <c r="AK109" i="15" s="1"/>
  <c r="S109" i="15"/>
  <c r="S47" i="67"/>
  <c r="AJ54" i="15"/>
  <c r="AK47" i="67" s="1"/>
  <c r="S54" i="15"/>
  <c r="S101" i="67"/>
  <c r="AJ108" i="15"/>
  <c r="AK108" i="15" s="1"/>
  <c r="S108" i="15"/>
  <c r="S93" i="15"/>
  <c r="AJ93" i="15"/>
  <c r="AK93" i="15" s="1"/>
  <c r="S86" i="67"/>
  <c r="S58" i="67"/>
  <c r="S65" i="15"/>
  <c r="AJ65" i="15"/>
  <c r="S122" i="67"/>
  <c r="S129" i="15"/>
  <c r="AJ129" i="15"/>
  <c r="S11" i="15"/>
  <c r="AJ11" i="15"/>
  <c r="S4" i="67"/>
  <c r="S156" i="15"/>
  <c r="AJ156" i="15"/>
  <c r="S149" i="67"/>
  <c r="AJ161" i="15"/>
  <c r="S161" i="15"/>
  <c r="S154" i="67"/>
  <c r="S67" i="15"/>
  <c r="AJ23" i="15"/>
  <c r="AK23" i="15" s="1"/>
  <c r="U131" i="67"/>
  <c r="S116" i="67"/>
  <c r="AJ123" i="15"/>
  <c r="S123" i="15"/>
  <c r="S9" i="67"/>
  <c r="AJ16" i="15"/>
  <c r="AK9" i="67" s="1"/>
  <c r="S44" i="67"/>
  <c r="AJ51" i="15"/>
  <c r="S51" i="15"/>
  <c r="S36" i="67"/>
  <c r="S43" i="15"/>
  <c r="AJ43" i="15"/>
  <c r="S53" i="67"/>
  <c r="S60" i="15"/>
  <c r="AJ60" i="15"/>
  <c r="S74" i="15"/>
  <c r="U74" i="15" s="1"/>
  <c r="V74" i="15" s="1"/>
  <c r="U64" i="67"/>
  <c r="U134" i="67"/>
  <c r="U142" i="67"/>
  <c r="U40" i="67"/>
  <c r="U60" i="67"/>
  <c r="U45" i="67"/>
  <c r="U100" i="67"/>
  <c r="U102" i="67"/>
  <c r="U76" i="67"/>
  <c r="U156" i="67"/>
  <c r="U150" i="67"/>
  <c r="S141" i="67"/>
  <c r="S148" i="15"/>
  <c r="Z148" i="15" s="1"/>
  <c r="AA141" i="67" s="1"/>
  <c r="AJ148" i="15"/>
  <c r="S133" i="67"/>
  <c r="S140" i="15"/>
  <c r="AJ140" i="15"/>
  <c r="AJ83" i="15"/>
  <c r="S76" i="67"/>
  <c r="S105" i="67"/>
  <c r="S112" i="15"/>
  <c r="AJ112" i="15"/>
  <c r="S108" i="67"/>
  <c r="AJ115" i="15"/>
  <c r="AK115" i="15" s="1"/>
  <c r="S115" i="15"/>
  <c r="S88" i="67"/>
  <c r="AJ95" i="15"/>
  <c r="S95" i="15"/>
  <c r="S132" i="67"/>
  <c r="S139" i="15"/>
  <c r="AJ139" i="15"/>
  <c r="S7" i="67"/>
  <c r="S14" i="15"/>
  <c r="AJ14" i="15"/>
  <c r="S10" i="67"/>
  <c r="AJ17" i="15"/>
  <c r="S124" i="67"/>
  <c r="S131" i="15"/>
  <c r="AJ131" i="15"/>
  <c r="S82" i="15"/>
  <c r="S75" i="67"/>
  <c r="AJ82" i="15"/>
  <c r="S103" i="67"/>
  <c r="AJ110" i="15"/>
  <c r="S110" i="15"/>
  <c r="S91" i="67"/>
  <c r="S98" i="15"/>
  <c r="AJ98" i="15"/>
  <c r="S109" i="67"/>
  <c r="S116" i="15"/>
  <c r="AJ116" i="15"/>
  <c r="S57" i="67"/>
  <c r="AJ64" i="15"/>
  <c r="S64" i="15"/>
  <c r="S155" i="15"/>
  <c r="AJ155" i="15"/>
  <c r="S148" i="67"/>
  <c r="S160" i="15"/>
  <c r="AJ160" i="15"/>
  <c r="S153" i="67"/>
  <c r="Y89" i="15"/>
  <c r="Z82" i="67" s="1"/>
  <c r="N82" i="67"/>
  <c r="U109" i="67"/>
  <c r="S111" i="67"/>
  <c r="AJ118" i="15"/>
  <c r="S118" i="15"/>
  <c r="U108" i="67"/>
  <c r="U85" i="67"/>
  <c r="U22" i="67"/>
  <c r="U16" i="67"/>
  <c r="U79" i="67"/>
  <c r="U110" i="67"/>
  <c r="U48" i="67"/>
  <c r="U101" i="67"/>
  <c r="U9" i="15"/>
  <c r="V9" i="15" s="1"/>
  <c r="T2" i="67"/>
  <c r="Z9" i="15"/>
  <c r="AA2" i="67" s="1"/>
  <c r="AJ71" i="15"/>
  <c r="S64" i="67"/>
  <c r="S71" i="15"/>
  <c r="S106" i="67"/>
  <c r="AJ113" i="15"/>
  <c r="AK113" i="15" s="1"/>
  <c r="S113" i="15"/>
  <c r="S37" i="67"/>
  <c r="S44" i="15"/>
  <c r="AJ44" i="15"/>
  <c r="AK44" i="15" s="1"/>
  <c r="S106" i="15"/>
  <c r="S99" i="67"/>
  <c r="AJ106" i="15"/>
  <c r="AK106" i="15" s="1"/>
  <c r="S59" i="67"/>
  <c r="S66" i="15"/>
  <c r="AJ66" i="15"/>
  <c r="S125" i="67"/>
  <c r="AJ132" i="15"/>
  <c r="AK132" i="15" s="1"/>
  <c r="S36" i="15"/>
  <c r="S29" i="67"/>
  <c r="AJ36" i="15"/>
  <c r="AK36" i="15" s="1"/>
  <c r="S49" i="15"/>
  <c r="S42" i="67"/>
  <c r="AJ49" i="15"/>
  <c r="S130" i="67"/>
  <c r="S137" i="15"/>
  <c r="Z137" i="15" s="1"/>
  <c r="AA130" i="67" s="1"/>
  <c r="AJ137" i="15"/>
  <c r="AK130" i="67" s="1"/>
  <c r="S98" i="67"/>
  <c r="AJ105" i="15"/>
  <c r="AK105" i="15" s="1"/>
  <c r="S105" i="15"/>
  <c r="S30" i="15"/>
  <c r="Z30" i="15" s="1"/>
  <c r="AA23" i="67" s="1"/>
  <c r="S23" i="67"/>
  <c r="AJ30" i="15"/>
  <c r="AK23" i="67" s="1"/>
  <c r="S83" i="67"/>
  <c r="AJ90" i="15"/>
  <c r="S114" i="67"/>
  <c r="S121" i="15"/>
  <c r="AJ121" i="15"/>
  <c r="AK121" i="15" s="1"/>
  <c r="AJ78" i="15"/>
  <c r="AK78" i="15" s="1"/>
  <c r="S71" i="67"/>
  <c r="S78" i="15"/>
  <c r="S92" i="67"/>
  <c r="AJ99" i="15"/>
  <c r="AK99" i="15" s="1"/>
  <c r="S99" i="15"/>
  <c r="S153" i="15"/>
  <c r="AJ153" i="15"/>
  <c r="AK153" i="15" s="1"/>
  <c r="S146" i="67"/>
  <c r="AJ159" i="15"/>
  <c r="AK159" i="15" s="1"/>
  <c r="S159" i="15"/>
  <c r="S152" i="67"/>
  <c r="AJ81" i="15"/>
  <c r="AK74" i="67" s="1"/>
  <c r="Y18" i="15"/>
  <c r="Z11" i="67" s="1"/>
  <c r="N11" i="67"/>
  <c r="AJ67" i="15"/>
  <c r="U96" i="67"/>
  <c r="U31" i="67"/>
  <c r="U18" i="67"/>
  <c r="S143" i="15"/>
  <c r="AJ143" i="15"/>
  <c r="S136" i="67"/>
  <c r="S112" i="67"/>
  <c r="AJ119" i="15"/>
  <c r="S119" i="15"/>
  <c r="S111" i="15"/>
  <c r="AJ111" i="15"/>
  <c r="S104" i="67"/>
  <c r="S120" i="67"/>
  <c r="S127" i="15"/>
  <c r="AJ127" i="15"/>
  <c r="Z132" i="15"/>
  <c r="AA125" i="67" s="1"/>
  <c r="U132" i="15"/>
  <c r="V132" i="15" s="1"/>
  <c r="T125" i="67"/>
  <c r="T10" i="67"/>
  <c r="Z17" i="15"/>
  <c r="AA10" i="67" s="1"/>
  <c r="U65" i="67"/>
  <c r="U6" i="67"/>
  <c r="U125" i="67"/>
  <c r="U87" i="67"/>
  <c r="U139" i="67"/>
  <c r="U41" i="67"/>
  <c r="U12" i="67"/>
  <c r="U114" i="67"/>
  <c r="U73" i="67"/>
  <c r="U146" i="67"/>
  <c r="AJ52" i="15"/>
  <c r="AK52" i="15" s="1"/>
  <c r="S45" i="67"/>
  <c r="S52" i="15"/>
  <c r="S139" i="67"/>
  <c r="S146" i="15"/>
  <c r="AJ146" i="15"/>
  <c r="AK146" i="15" s="1"/>
  <c r="S110" i="67"/>
  <c r="S117" i="15"/>
  <c r="AJ117" i="15"/>
  <c r="S140" i="67"/>
  <c r="S147" i="15"/>
  <c r="AJ147" i="15"/>
  <c r="AK147" i="15" s="1"/>
  <c r="S2" i="67"/>
  <c r="AJ9" i="15"/>
  <c r="AK9" i="15" s="1"/>
  <c r="S128" i="67"/>
  <c r="S135" i="15"/>
  <c r="AJ135" i="15"/>
  <c r="S118" i="67"/>
  <c r="AJ125" i="15"/>
  <c r="S125" i="15"/>
  <c r="S27" i="67"/>
  <c r="AJ34" i="15"/>
  <c r="S34" i="15"/>
  <c r="S34" i="67"/>
  <c r="AJ41" i="15"/>
  <c r="AJ26" i="15"/>
  <c r="S26" i="15"/>
  <c r="S19" i="67"/>
  <c r="AJ94" i="15"/>
  <c r="AK94" i="15" s="1"/>
  <c r="S94" i="15"/>
  <c r="S87" i="67"/>
  <c r="S137" i="67"/>
  <c r="S144" i="15"/>
  <c r="AJ144" i="15"/>
  <c r="S63" i="67"/>
  <c r="AJ70" i="15"/>
  <c r="S31" i="67"/>
  <c r="AJ38" i="15"/>
  <c r="AK38" i="15" s="1"/>
  <c r="S38" i="15"/>
  <c r="AJ20" i="15"/>
  <c r="AK13" i="67" s="1"/>
  <c r="S13" i="67"/>
  <c r="S20" i="15"/>
  <c r="Z20" i="15" s="1"/>
  <c r="AA13" i="67" s="1"/>
  <c r="S134" i="15"/>
  <c r="AJ134" i="15"/>
  <c r="S127" i="67"/>
  <c r="AJ165" i="15"/>
  <c r="AN165" i="15" s="1"/>
  <c r="S165" i="15"/>
  <c r="S158" i="15"/>
  <c r="AJ158" i="15"/>
  <c r="S151" i="67"/>
  <c r="S81" i="15"/>
  <c r="AJ72" i="15"/>
  <c r="AK65" i="67" s="1"/>
  <c r="S126" i="67"/>
  <c r="S133" i="15"/>
  <c r="AJ133" i="15"/>
  <c r="AJ56" i="15"/>
  <c r="AK49" i="67" s="1"/>
  <c r="U20" i="67"/>
  <c r="U77" i="67"/>
  <c r="U94" i="67"/>
  <c r="U71" i="67"/>
  <c r="U140" i="67"/>
  <c r="U11" i="67"/>
  <c r="U32" i="67"/>
  <c r="U107" i="67"/>
  <c r="U81" i="67"/>
  <c r="U4" i="67"/>
  <c r="T70" i="67"/>
  <c r="Z77" i="15"/>
  <c r="AA70" i="67" s="1"/>
  <c r="N23" i="67"/>
  <c r="Y30" i="15"/>
  <c r="Z23" i="67" s="1"/>
  <c r="Y72" i="15"/>
  <c r="Z65" i="67" s="1"/>
  <c r="N65" i="67"/>
  <c r="S134" i="67"/>
  <c r="AJ141" i="15"/>
  <c r="AK141" i="15" s="1"/>
  <c r="S141" i="15"/>
  <c r="S90" i="67"/>
  <c r="S97" i="15"/>
  <c r="AJ97" i="15"/>
  <c r="AJ102" i="15"/>
  <c r="AK102" i="15" s="1"/>
  <c r="S95" i="67"/>
  <c r="S89" i="67"/>
  <c r="AJ96" i="15"/>
  <c r="AK96" i="15" s="1"/>
  <c r="S96" i="15"/>
  <c r="S32" i="67"/>
  <c r="AJ39" i="15"/>
  <c r="S39" i="15"/>
  <c r="S55" i="67"/>
  <c r="S62" i="15"/>
  <c r="Z62" i="15" s="1"/>
  <c r="AA55" i="67" s="1"/>
  <c r="AJ62" i="15"/>
  <c r="AK55" i="67" s="1"/>
  <c r="S131" i="67"/>
  <c r="AJ138" i="15"/>
  <c r="AK138" i="15" s="1"/>
  <c r="S138" i="15"/>
  <c r="AJ21" i="15"/>
  <c r="AK21" i="15" s="1"/>
  <c r="S14" i="67"/>
  <c r="S73" i="67"/>
  <c r="AJ80" i="15"/>
  <c r="AK80" i="15" s="1"/>
  <c r="S80" i="15"/>
  <c r="S129" i="67"/>
  <c r="AJ136" i="15"/>
  <c r="S136" i="15"/>
  <c r="AJ69" i="15"/>
  <c r="S62" i="67"/>
  <c r="S69" i="15"/>
  <c r="S51" i="67"/>
  <c r="AJ58" i="15"/>
  <c r="S72" i="67"/>
  <c r="AJ79" i="15"/>
  <c r="S79" i="15"/>
  <c r="S40" i="67"/>
  <c r="S47" i="15"/>
  <c r="AJ47" i="15"/>
  <c r="S157" i="67"/>
  <c r="AJ164" i="15"/>
  <c r="S164" i="15"/>
  <c r="AJ166" i="15"/>
  <c r="S166" i="15"/>
  <c r="T159" i="67" s="1"/>
  <c r="N69" i="67"/>
  <c r="Y76" i="15"/>
  <c r="Z69" i="67" s="1"/>
  <c r="S61" i="67"/>
  <c r="S68" i="15"/>
  <c r="AJ68" i="15"/>
  <c r="S56" i="15"/>
  <c r="Z56" i="15" s="1"/>
  <c r="AA49" i="67" s="1"/>
  <c r="U24" i="67"/>
  <c r="U35" i="67"/>
  <c r="U143" i="67"/>
  <c r="U103" i="67"/>
  <c r="U21" i="67"/>
  <c r="U3" i="67"/>
  <c r="U46" i="67"/>
  <c r="U37" i="67"/>
  <c r="U152" i="67"/>
  <c r="S79" i="67"/>
  <c r="AJ86" i="15"/>
  <c r="S28" i="67"/>
  <c r="AJ35" i="15"/>
  <c r="S35" i="15"/>
  <c r="S30" i="67"/>
  <c r="S37" i="15"/>
  <c r="AJ37" i="15"/>
  <c r="S142" i="15"/>
  <c r="S135" i="67"/>
  <c r="AJ142" i="15"/>
  <c r="AK142" i="15" s="1"/>
  <c r="S73" i="15"/>
  <c r="S66" i="67"/>
  <c r="AJ73" i="15"/>
  <c r="S84" i="67"/>
  <c r="S91" i="15"/>
  <c r="AJ91" i="15"/>
  <c r="S100" i="67"/>
  <c r="S107" i="15"/>
  <c r="AJ107" i="15"/>
  <c r="AJ128" i="15"/>
  <c r="S121" i="67"/>
  <c r="AJ55" i="15"/>
  <c r="S48" i="67"/>
  <c r="S55" i="15"/>
  <c r="S115" i="67"/>
  <c r="AJ122" i="15"/>
  <c r="S145" i="67"/>
  <c r="S152" i="15"/>
  <c r="AJ152" i="15"/>
  <c r="S22" i="15"/>
  <c r="S15" i="67"/>
  <c r="AJ22" i="15"/>
  <c r="S94" i="67"/>
  <c r="AJ101" i="15"/>
  <c r="AK101" i="15" s="1"/>
  <c r="S101" i="15"/>
  <c r="S25" i="15"/>
  <c r="AJ25" i="15"/>
  <c r="S18" i="67"/>
  <c r="S119" i="67"/>
  <c r="S126" i="15"/>
  <c r="AJ126" i="15"/>
  <c r="S163" i="15"/>
  <c r="AJ163" i="15"/>
  <c r="AK163" i="15" s="1"/>
  <c r="S156" i="67"/>
  <c r="AJ167" i="15"/>
  <c r="S167" i="15"/>
  <c r="T160" i="67" s="1"/>
  <c r="S53" i="15"/>
  <c r="S10" i="15"/>
  <c r="Z10" i="15" s="1"/>
  <c r="AA3" i="67" s="1"/>
  <c r="Y10" i="15"/>
  <c r="Z3" i="67" s="1"/>
  <c r="N3" i="67"/>
  <c r="AR121" i="67"/>
  <c r="N74" i="67"/>
  <c r="Y81" i="15"/>
  <c r="Z74" i="67" s="1"/>
  <c r="T121" i="67"/>
  <c r="Z128" i="15"/>
  <c r="AA121" i="67" s="1"/>
  <c r="N138" i="67"/>
  <c r="Y145" i="15"/>
  <c r="Z138" i="67" s="1"/>
  <c r="N17" i="67"/>
  <c r="Y24" i="15"/>
  <c r="Z17" i="67" s="1"/>
  <c r="N9" i="67"/>
  <c r="Y16" i="15"/>
  <c r="Z9" i="67" s="1"/>
  <c r="Z16" i="15"/>
  <c r="AA9" i="67" s="1"/>
  <c r="AK45" i="15"/>
  <c r="N12" i="67"/>
  <c r="Y19" i="15"/>
  <c r="Z12" i="67" s="1"/>
  <c r="Y62" i="15"/>
  <c r="Z55" i="67" s="1"/>
  <c r="N55" i="67"/>
  <c r="N141" i="67"/>
  <c r="Y148" i="15"/>
  <c r="Z141" i="67" s="1"/>
  <c r="Y137" i="15"/>
  <c r="Z130" i="67" s="1"/>
  <c r="N130" i="67"/>
  <c r="Y20" i="15"/>
  <c r="Z13" i="67" s="1"/>
  <c r="N13" i="67"/>
  <c r="U218" i="67" l="1"/>
  <c r="AK225" i="15"/>
  <c r="U63" i="67"/>
  <c r="O227" i="27"/>
  <c r="W227" i="27"/>
  <c r="Z227" i="27" s="1"/>
  <c r="AX220" i="67" s="1"/>
  <c r="U220" i="67"/>
  <c r="AK227" i="15"/>
  <c r="AK149" i="15"/>
  <c r="AO149" i="15" s="1"/>
  <c r="AK103" i="15"/>
  <c r="U228" i="15"/>
  <c r="T221" i="67"/>
  <c r="Z228" i="15"/>
  <c r="AA221" i="67" s="1"/>
  <c r="U225" i="15"/>
  <c r="T218" i="67"/>
  <c r="Z225" i="15"/>
  <c r="AA218" i="67" s="1"/>
  <c r="U221" i="67"/>
  <c r="AK228" i="15"/>
  <c r="AN227" i="15"/>
  <c r="AO220" i="67" s="1"/>
  <c r="AK220" i="67"/>
  <c r="U227" i="15"/>
  <c r="T220" i="67"/>
  <c r="Z227" i="15"/>
  <c r="AA220" i="67" s="1"/>
  <c r="AK27" i="15"/>
  <c r="AO27" i="15" s="1"/>
  <c r="AK15" i="15"/>
  <c r="AO15" i="15" s="1"/>
  <c r="U16" i="15"/>
  <c r="U77" i="15"/>
  <c r="V77" i="15" s="1"/>
  <c r="AK60" i="15"/>
  <c r="AK11" i="15"/>
  <c r="AL4" i="67" s="1"/>
  <c r="AK63" i="15"/>
  <c r="U122" i="15"/>
  <c r="V122" i="15" s="1"/>
  <c r="W115" i="67" s="1"/>
  <c r="AK221" i="67"/>
  <c r="AN228" i="15"/>
  <c r="AO221" i="67" s="1"/>
  <c r="AN225" i="15"/>
  <c r="AO218" i="67" s="1"/>
  <c r="AK218" i="67"/>
  <c r="T219" i="67"/>
  <c r="U226" i="15"/>
  <c r="Z226" i="15"/>
  <c r="AA219" i="67" s="1"/>
  <c r="AK156" i="15"/>
  <c r="AO156" i="15" s="1"/>
  <c r="AK69" i="15"/>
  <c r="AO69" i="15" s="1"/>
  <c r="U121" i="67"/>
  <c r="AK166" i="15"/>
  <c r="AK79" i="15"/>
  <c r="AK110" i="15"/>
  <c r="AK17" i="15"/>
  <c r="AL10" i="67" s="1"/>
  <c r="AK219" i="67"/>
  <c r="AN226" i="15"/>
  <c r="AO219" i="67" s="1"/>
  <c r="O226" i="27"/>
  <c r="W226" i="27"/>
  <c r="Z226" i="27" s="1"/>
  <c r="AX219" i="67" s="1"/>
  <c r="U219" i="67"/>
  <c r="AK226" i="15"/>
  <c r="U17" i="15"/>
  <c r="V17" i="15" s="1"/>
  <c r="AK95" i="15"/>
  <c r="AO95" i="15" s="1"/>
  <c r="AK129" i="15"/>
  <c r="AK100" i="15"/>
  <c r="AL93" i="67" s="1"/>
  <c r="AK145" i="15"/>
  <c r="AL138" i="67" s="1"/>
  <c r="W228" i="27"/>
  <c r="Z228" i="27" s="1"/>
  <c r="AX221" i="67" s="1"/>
  <c r="O228" i="27"/>
  <c r="W225" i="27"/>
  <c r="Z225" i="27" s="1"/>
  <c r="AX218" i="67" s="1"/>
  <c r="O225" i="27"/>
  <c r="T193" i="67"/>
  <c r="Z200" i="15"/>
  <c r="AA193" i="67" s="1"/>
  <c r="AN218" i="15"/>
  <c r="AO211" i="67" s="1"/>
  <c r="T184" i="67"/>
  <c r="Z191" i="15"/>
  <c r="AA184" i="67" s="1"/>
  <c r="Z203" i="15"/>
  <c r="AA196" i="67" s="1"/>
  <c r="T196" i="67"/>
  <c r="AK224" i="15"/>
  <c r="AN224" i="15"/>
  <c r="AO217" i="67" s="1"/>
  <c r="T178" i="67"/>
  <c r="Z185" i="15"/>
  <c r="AA178" i="67" s="1"/>
  <c r="AN216" i="15"/>
  <c r="AO209" i="67" s="1"/>
  <c r="AK200" i="67"/>
  <c r="AN207" i="15"/>
  <c r="AO200" i="67" s="1"/>
  <c r="AK172" i="67"/>
  <c r="AN179" i="15"/>
  <c r="AO172" i="67" s="1"/>
  <c r="AK201" i="67"/>
  <c r="AN208" i="15"/>
  <c r="AO201" i="67" s="1"/>
  <c r="T189" i="67"/>
  <c r="Z196" i="15"/>
  <c r="AA189" i="67" s="1"/>
  <c r="AN189" i="15"/>
  <c r="AO182" i="67" s="1"/>
  <c r="AK182" i="67"/>
  <c r="AK193" i="67"/>
  <c r="AN200" i="15"/>
  <c r="AO193" i="67" s="1"/>
  <c r="AN198" i="15"/>
  <c r="AO191" i="67" s="1"/>
  <c r="AK191" i="67"/>
  <c r="AK184" i="67"/>
  <c r="AN191" i="15"/>
  <c r="AO184" i="67" s="1"/>
  <c r="Z184" i="15"/>
  <c r="AA177" i="67" s="1"/>
  <c r="T177" i="67"/>
  <c r="Z221" i="15"/>
  <c r="AA214" i="67" s="1"/>
  <c r="Z216" i="15"/>
  <c r="AA209" i="67" s="1"/>
  <c r="T179" i="67"/>
  <c r="Z186" i="15"/>
  <c r="AA179" i="67" s="1"/>
  <c r="T172" i="67"/>
  <c r="Z179" i="15"/>
  <c r="AA172" i="67" s="1"/>
  <c r="AK204" i="67"/>
  <c r="AN211" i="15"/>
  <c r="AO204" i="67" s="1"/>
  <c r="AK189" i="67"/>
  <c r="AN196" i="15"/>
  <c r="AO189" i="67" s="1"/>
  <c r="AN214" i="15"/>
  <c r="AO207" i="67" s="1"/>
  <c r="T191" i="67"/>
  <c r="Z198" i="15"/>
  <c r="AA191" i="67" s="1"/>
  <c r="T203" i="67"/>
  <c r="Z210" i="15"/>
  <c r="AA203" i="67" s="1"/>
  <c r="W224" i="27"/>
  <c r="Z224" i="27" s="1"/>
  <c r="AX217" i="67" s="1"/>
  <c r="O224" i="27"/>
  <c r="AN184" i="15"/>
  <c r="AO177" i="67" s="1"/>
  <c r="AK177" i="67"/>
  <c r="T205" i="67"/>
  <c r="Z212" i="15"/>
  <c r="AA205" i="67" s="1"/>
  <c r="AN221" i="15"/>
  <c r="AO214" i="67" s="1"/>
  <c r="AK186" i="67"/>
  <c r="AN193" i="15"/>
  <c r="AO186" i="67" s="1"/>
  <c r="AK179" i="67"/>
  <c r="AN186" i="15"/>
  <c r="AO179" i="67" s="1"/>
  <c r="Z219" i="15"/>
  <c r="AA212" i="67" s="1"/>
  <c r="T204" i="67"/>
  <c r="Z211" i="15"/>
  <c r="AA204" i="67" s="1"/>
  <c r="T173" i="67"/>
  <c r="Z180" i="15"/>
  <c r="AA173" i="67" s="1"/>
  <c r="Z214" i="15"/>
  <c r="AA207" i="67" s="1"/>
  <c r="AK190" i="67"/>
  <c r="AN197" i="15"/>
  <c r="AO190" i="67" s="1"/>
  <c r="AN182" i="15"/>
  <c r="AO175" i="67" s="1"/>
  <c r="AK175" i="67"/>
  <c r="AK203" i="67"/>
  <c r="AN210" i="15"/>
  <c r="AO203" i="67" s="1"/>
  <c r="T192" i="67"/>
  <c r="Z199" i="15"/>
  <c r="AA192" i="67" s="1"/>
  <c r="AN220" i="15"/>
  <c r="AO213" i="67" s="1"/>
  <c r="AK205" i="67"/>
  <c r="AN212" i="15"/>
  <c r="AO205" i="67" s="1"/>
  <c r="T186" i="67"/>
  <c r="Z193" i="15"/>
  <c r="AA186" i="67" s="1"/>
  <c r="AN222" i="15"/>
  <c r="AO215" i="67" s="1"/>
  <c r="AN219" i="15"/>
  <c r="AO212" i="67" s="1"/>
  <c r="AK180" i="67"/>
  <c r="AN187" i="15"/>
  <c r="AO180" i="67" s="1"/>
  <c r="AN180" i="15"/>
  <c r="AO173" i="67" s="1"/>
  <c r="AK173" i="67"/>
  <c r="Z213" i="15"/>
  <c r="AA206" i="67" s="1"/>
  <c r="T190" i="67"/>
  <c r="Z197" i="15"/>
  <c r="AA190" i="67" s="1"/>
  <c r="Z182" i="15"/>
  <c r="AA175" i="67" s="1"/>
  <c r="T175" i="67"/>
  <c r="T199" i="67"/>
  <c r="Z206" i="15"/>
  <c r="AA199" i="67" s="1"/>
  <c r="AN199" i="15"/>
  <c r="AO192" i="67" s="1"/>
  <c r="AK192" i="67"/>
  <c r="Z220" i="15"/>
  <c r="AA213" i="67" s="1"/>
  <c r="Z192" i="15"/>
  <c r="AA185" i="67" s="1"/>
  <c r="T185" i="67"/>
  <c r="AN177" i="15"/>
  <c r="AO170" i="67" s="1"/>
  <c r="AK170" i="67"/>
  <c r="Z222" i="15"/>
  <c r="AA215" i="67" s="1"/>
  <c r="Z194" i="15"/>
  <c r="AA187" i="67" s="1"/>
  <c r="T187" i="67"/>
  <c r="T180" i="67"/>
  <c r="Z187" i="15"/>
  <c r="AA180" i="67" s="1"/>
  <c r="Z223" i="15"/>
  <c r="AA216" i="67" s="1"/>
  <c r="AN213" i="15"/>
  <c r="AO206" i="67" s="1"/>
  <c r="AK174" i="67"/>
  <c r="AN181" i="15"/>
  <c r="AO174" i="67" s="1"/>
  <c r="Z217" i="15"/>
  <c r="AA210" i="67" s="1"/>
  <c r="AK199" i="67"/>
  <c r="AN206" i="15"/>
  <c r="AO199" i="67" s="1"/>
  <c r="Z183" i="15"/>
  <c r="AA176" i="67" s="1"/>
  <c r="T176" i="67"/>
  <c r="AN192" i="15"/>
  <c r="AO185" i="67" s="1"/>
  <c r="AK185" i="67"/>
  <c r="T170" i="67"/>
  <c r="Z177" i="15"/>
  <c r="AA170" i="67" s="1"/>
  <c r="Z205" i="15"/>
  <c r="AA198" i="67" s="1"/>
  <c r="T198" i="67"/>
  <c r="AK187" i="67"/>
  <c r="AN194" i="15"/>
  <c r="AO187" i="67" s="1"/>
  <c r="AN201" i="15"/>
  <c r="AO194" i="67" s="1"/>
  <c r="AK194" i="67"/>
  <c r="AN223" i="15"/>
  <c r="AO216" i="67" s="1"/>
  <c r="T181" i="67"/>
  <c r="Z188" i="15"/>
  <c r="AA181" i="67" s="1"/>
  <c r="Z181" i="15"/>
  <c r="AA174" i="67" s="1"/>
  <c r="T174" i="67"/>
  <c r="AK195" i="67"/>
  <c r="AN202" i="15"/>
  <c r="AO195" i="67" s="1"/>
  <c r="AN217" i="15"/>
  <c r="AO210" i="67" s="1"/>
  <c r="T183" i="67"/>
  <c r="Z190" i="15"/>
  <c r="AA183" i="67" s="1"/>
  <c r="AK176" i="67"/>
  <c r="AN183" i="15"/>
  <c r="AO176" i="67" s="1"/>
  <c r="AN209" i="15"/>
  <c r="AO202" i="67" s="1"/>
  <c r="AK202" i="67"/>
  <c r="T197" i="67"/>
  <c r="Z204" i="15"/>
  <c r="AA197" i="67" s="1"/>
  <c r="AN205" i="15"/>
  <c r="AO198" i="67" s="1"/>
  <c r="AK198" i="67"/>
  <c r="AK171" i="67"/>
  <c r="AN178" i="15"/>
  <c r="AO171" i="67" s="1"/>
  <c r="Z201" i="15"/>
  <c r="AA194" i="67" s="1"/>
  <c r="T194" i="67"/>
  <c r="Z195" i="15"/>
  <c r="AA188" i="67" s="1"/>
  <c r="T188" i="67"/>
  <c r="AK181" i="67"/>
  <c r="AN188" i="15"/>
  <c r="AO181" i="67" s="1"/>
  <c r="AN215" i="15"/>
  <c r="AO208" i="67" s="1"/>
  <c r="Z202" i="15"/>
  <c r="AA195" i="67" s="1"/>
  <c r="T195" i="67"/>
  <c r="AN190" i="15"/>
  <c r="AO183" i="67" s="1"/>
  <c r="AK183" i="67"/>
  <c r="Z218" i="15"/>
  <c r="AA211" i="67" s="1"/>
  <c r="T202" i="67"/>
  <c r="Z209" i="15"/>
  <c r="AA202" i="67" s="1"/>
  <c r="AK197" i="67"/>
  <c r="AN204" i="15"/>
  <c r="AO197" i="67" s="1"/>
  <c r="AN203" i="15"/>
  <c r="AO196" i="67" s="1"/>
  <c r="AK196" i="67"/>
  <c r="U224" i="15"/>
  <c r="V217" i="67" s="1"/>
  <c r="Z224" i="15"/>
  <c r="AA217" i="67" s="1"/>
  <c r="AK178" i="67"/>
  <c r="AN185" i="15"/>
  <c r="AO178" i="67" s="1"/>
  <c r="T171" i="67"/>
  <c r="Z178" i="15"/>
  <c r="AA171" i="67" s="1"/>
  <c r="T200" i="67"/>
  <c r="Z207" i="15"/>
  <c r="AA200" i="67" s="1"/>
  <c r="AK188" i="67"/>
  <c r="AN195" i="15"/>
  <c r="AO188" i="67" s="1"/>
  <c r="Z208" i="15"/>
  <c r="AA201" i="67" s="1"/>
  <c r="T201" i="67"/>
  <c r="Z215" i="15"/>
  <c r="AA208" i="67" s="1"/>
  <c r="Z189" i="15"/>
  <c r="AA182" i="67" s="1"/>
  <c r="T182" i="67"/>
  <c r="W200" i="27"/>
  <c r="Z200" i="27" s="1"/>
  <c r="AX193" i="67" s="1"/>
  <c r="O200" i="27"/>
  <c r="U197" i="67"/>
  <c r="U204" i="15"/>
  <c r="AK204" i="15"/>
  <c r="AK49" i="15"/>
  <c r="AO49" i="15" s="1"/>
  <c r="O178" i="27"/>
  <c r="W178" i="27"/>
  <c r="Z178" i="27" s="1"/>
  <c r="AX171" i="67" s="1"/>
  <c r="O213" i="27"/>
  <c r="AW206" i="67" s="1"/>
  <c r="W213" i="27"/>
  <c r="Z213" i="27" s="1"/>
  <c r="AX206" i="67" s="1"/>
  <c r="W209" i="27"/>
  <c r="Z209" i="27" s="1"/>
  <c r="AX202" i="67" s="1"/>
  <c r="O209" i="27"/>
  <c r="O197" i="27"/>
  <c r="W197" i="27"/>
  <c r="Z197" i="27" s="1"/>
  <c r="AX190" i="67" s="1"/>
  <c r="W194" i="27"/>
  <c r="Z194" i="27" s="1"/>
  <c r="AX187" i="67" s="1"/>
  <c r="O194" i="27"/>
  <c r="U203" i="67"/>
  <c r="AK210" i="15"/>
  <c r="U210" i="15"/>
  <c r="U202" i="67"/>
  <c r="U209" i="15"/>
  <c r="AK209" i="15"/>
  <c r="U192" i="67"/>
  <c r="AK199" i="15"/>
  <c r="U199" i="15"/>
  <c r="U177" i="67"/>
  <c r="AK184" i="15"/>
  <c r="U184" i="15"/>
  <c r="AK213" i="15"/>
  <c r="AL206" i="67" s="1"/>
  <c r="U213" i="15"/>
  <c r="V206" i="67" s="1"/>
  <c r="AK221" i="15"/>
  <c r="AL214" i="67" s="1"/>
  <c r="U221" i="15"/>
  <c r="V214" i="67" s="1"/>
  <c r="O179" i="27"/>
  <c r="W179" i="27"/>
  <c r="Z179" i="27" s="1"/>
  <c r="AX172" i="67" s="1"/>
  <c r="O186" i="27"/>
  <c r="W186" i="27"/>
  <c r="Z186" i="27" s="1"/>
  <c r="AX179" i="67" s="1"/>
  <c r="O205" i="27"/>
  <c r="W205" i="27"/>
  <c r="Z205" i="27" s="1"/>
  <c r="AX198" i="67" s="1"/>
  <c r="O207" i="27"/>
  <c r="W207" i="27"/>
  <c r="Z207" i="27" s="1"/>
  <c r="AX200" i="67" s="1"/>
  <c r="W182" i="27"/>
  <c r="Z182" i="27" s="1"/>
  <c r="AX175" i="67" s="1"/>
  <c r="O182" i="27"/>
  <c r="W181" i="27"/>
  <c r="Z181" i="27" s="1"/>
  <c r="AX174" i="67" s="1"/>
  <c r="O181" i="27"/>
  <c r="W223" i="27"/>
  <c r="Z223" i="27" s="1"/>
  <c r="AX216" i="67" s="1"/>
  <c r="O218" i="27"/>
  <c r="AW211" i="67" s="1"/>
  <c r="W218" i="27"/>
  <c r="Z218" i="27" s="1"/>
  <c r="AX211" i="67" s="1"/>
  <c r="U195" i="67"/>
  <c r="U202" i="15"/>
  <c r="AK202" i="15"/>
  <c r="U194" i="67"/>
  <c r="U201" i="15"/>
  <c r="AK201" i="15"/>
  <c r="U184" i="67"/>
  <c r="AK191" i="15"/>
  <c r="U191" i="15"/>
  <c r="AK214" i="15"/>
  <c r="AL207" i="67" s="1"/>
  <c r="U214" i="15"/>
  <c r="V207" i="67" s="1"/>
  <c r="U198" i="67"/>
  <c r="AK205" i="15"/>
  <c r="U205" i="15"/>
  <c r="AK220" i="15"/>
  <c r="AL213" i="67" s="1"/>
  <c r="U220" i="15"/>
  <c r="V213" i="67" s="1"/>
  <c r="W204" i="27"/>
  <c r="Z204" i="27" s="1"/>
  <c r="AX197" i="67" s="1"/>
  <c r="O204" i="27"/>
  <c r="U180" i="67"/>
  <c r="AK187" i="15"/>
  <c r="U187" i="15"/>
  <c r="W193" i="27"/>
  <c r="Z193" i="27" s="1"/>
  <c r="AX186" i="67" s="1"/>
  <c r="O193" i="27"/>
  <c r="W199" i="27"/>
  <c r="Z199" i="27" s="1"/>
  <c r="AX192" i="67" s="1"/>
  <c r="O199" i="27"/>
  <c r="O211" i="27"/>
  <c r="W211" i="27"/>
  <c r="Z211" i="27" s="1"/>
  <c r="AX204" i="67" s="1"/>
  <c r="W198" i="27"/>
  <c r="Z198" i="27" s="1"/>
  <c r="AX191" i="67" s="1"/>
  <c r="O198" i="27"/>
  <c r="W208" i="27"/>
  <c r="Z208" i="27" s="1"/>
  <c r="AX201" i="67" s="1"/>
  <c r="O208" i="27"/>
  <c r="O217" i="27"/>
  <c r="AW210" i="67" s="1"/>
  <c r="W217" i="27"/>
  <c r="Z217" i="27" s="1"/>
  <c r="AX210" i="67" s="1"/>
  <c r="O220" i="27"/>
  <c r="AW213" i="67" s="1"/>
  <c r="W220" i="27"/>
  <c r="Z220" i="27" s="1"/>
  <c r="AX213" i="67" s="1"/>
  <c r="U179" i="67"/>
  <c r="U186" i="15"/>
  <c r="AK186" i="15"/>
  <c r="U186" i="67"/>
  <c r="U193" i="15"/>
  <c r="AK193" i="15"/>
  <c r="U176" i="67"/>
  <c r="U183" i="15"/>
  <c r="AK183" i="15"/>
  <c r="U199" i="67"/>
  <c r="U206" i="15"/>
  <c r="AK206" i="15"/>
  <c r="U190" i="67"/>
  <c r="AK197" i="15"/>
  <c r="U197" i="15"/>
  <c r="U219" i="15"/>
  <c r="V212" i="67" s="1"/>
  <c r="AK219" i="15"/>
  <c r="AL212" i="67" s="1"/>
  <c r="W221" i="27"/>
  <c r="Z221" i="27" s="1"/>
  <c r="AX214" i="67" s="1"/>
  <c r="O221" i="27"/>
  <c r="AW214" i="67" s="1"/>
  <c r="AK222" i="15"/>
  <c r="AL215" i="67" s="1"/>
  <c r="U222" i="15"/>
  <c r="V215" i="67" s="1"/>
  <c r="AK46" i="15"/>
  <c r="AL39" i="67" s="1"/>
  <c r="O210" i="27"/>
  <c r="W210" i="27"/>
  <c r="Z210" i="27" s="1"/>
  <c r="AX203" i="67" s="1"/>
  <c r="W188" i="27"/>
  <c r="Z188" i="27" s="1"/>
  <c r="AX181" i="67" s="1"/>
  <c r="O188" i="27"/>
  <c r="O206" i="27"/>
  <c r="W206" i="27"/>
  <c r="Z206" i="27" s="1"/>
  <c r="AX199" i="67" s="1"/>
  <c r="O202" i="27"/>
  <c r="W202" i="27"/>
  <c r="Z202" i="27" s="1"/>
  <c r="AX195" i="67" s="1"/>
  <c r="O177" i="27"/>
  <c r="W177" i="27"/>
  <c r="Z177" i="27" s="1"/>
  <c r="AX170" i="67" s="1"/>
  <c r="O190" i="27"/>
  <c r="W190" i="27"/>
  <c r="Z190" i="27" s="1"/>
  <c r="AX183" i="67" s="1"/>
  <c r="W222" i="27"/>
  <c r="Z222" i="27" s="1"/>
  <c r="AX215" i="67" s="1"/>
  <c r="O222" i="27"/>
  <c r="AW215" i="67" s="1"/>
  <c r="U171" i="67"/>
  <c r="U178" i="15"/>
  <c r="AK178" i="15"/>
  <c r="U178" i="67"/>
  <c r="AK185" i="15"/>
  <c r="U185" i="15"/>
  <c r="U205" i="67"/>
  <c r="AK212" i="15"/>
  <c r="U212" i="15"/>
  <c r="U191" i="67"/>
  <c r="U198" i="15"/>
  <c r="AK198" i="15"/>
  <c r="U182" i="67"/>
  <c r="U189" i="15"/>
  <c r="AK189" i="15"/>
  <c r="U216" i="15"/>
  <c r="V209" i="67" s="1"/>
  <c r="AK216" i="15"/>
  <c r="AL209" i="67" s="1"/>
  <c r="U187" i="67"/>
  <c r="AK194" i="15"/>
  <c r="U194" i="15"/>
  <c r="O201" i="27"/>
  <c r="W201" i="27"/>
  <c r="Z201" i="27" s="1"/>
  <c r="AX194" i="67" s="1"/>
  <c r="W192" i="27"/>
  <c r="Z192" i="27" s="1"/>
  <c r="AX185" i="67" s="1"/>
  <c r="O192" i="27"/>
  <c r="O180" i="27"/>
  <c r="W180" i="27"/>
  <c r="Z180" i="27" s="1"/>
  <c r="AX173" i="67" s="1"/>
  <c r="O183" i="27"/>
  <c r="W183" i="27"/>
  <c r="Z183" i="27" s="1"/>
  <c r="AX176" i="67" s="1"/>
  <c r="O191" i="27"/>
  <c r="W191" i="27"/>
  <c r="Z191" i="27" s="1"/>
  <c r="AX184" i="67" s="1"/>
  <c r="W212" i="27"/>
  <c r="Z212" i="27" s="1"/>
  <c r="AX205" i="67" s="1"/>
  <c r="O212" i="27"/>
  <c r="O216" i="27"/>
  <c r="AW209" i="67" s="1"/>
  <c r="W216" i="27"/>
  <c r="Z216" i="27" s="1"/>
  <c r="AX209" i="67" s="1"/>
  <c r="O215" i="27"/>
  <c r="AW208" i="67" s="1"/>
  <c r="W215" i="27"/>
  <c r="Z215" i="27" s="1"/>
  <c r="AX208" i="67" s="1"/>
  <c r="U181" i="67"/>
  <c r="AK188" i="15"/>
  <c r="U188" i="15"/>
  <c r="U170" i="67"/>
  <c r="U177" i="15"/>
  <c r="AK177" i="15"/>
  <c r="U204" i="67"/>
  <c r="U211" i="15"/>
  <c r="AK211" i="15"/>
  <c r="U183" i="67"/>
  <c r="U190" i="15"/>
  <c r="AK190" i="15"/>
  <c r="U174" i="67"/>
  <c r="U181" i="15"/>
  <c r="AK181" i="15"/>
  <c r="AK218" i="15"/>
  <c r="AL211" i="67" s="1"/>
  <c r="U218" i="15"/>
  <c r="V211" i="67" s="1"/>
  <c r="U200" i="67"/>
  <c r="U207" i="15"/>
  <c r="AK207" i="15"/>
  <c r="U90" i="15"/>
  <c r="V90" i="15" s="1"/>
  <c r="W184" i="27"/>
  <c r="Z184" i="27" s="1"/>
  <c r="AX177" i="67" s="1"/>
  <c r="O184" i="27"/>
  <c r="W195" i="27"/>
  <c r="Z195" i="27" s="1"/>
  <c r="AX188" i="67" s="1"/>
  <c r="O195" i="27"/>
  <c r="O203" i="27"/>
  <c r="W203" i="27"/>
  <c r="Z203" i="27" s="1"/>
  <c r="AX196" i="67" s="1"/>
  <c r="W185" i="27"/>
  <c r="Z185" i="27" s="1"/>
  <c r="AX178" i="67" s="1"/>
  <c r="O185" i="27"/>
  <c r="W219" i="27"/>
  <c r="Z219" i="27" s="1"/>
  <c r="AX212" i="67" s="1"/>
  <c r="O219" i="27"/>
  <c r="AW212" i="67" s="1"/>
  <c r="U196" i="67"/>
  <c r="U203" i="15"/>
  <c r="AK203" i="15"/>
  <c r="U189" i="67"/>
  <c r="U196" i="15"/>
  <c r="AK196" i="15"/>
  <c r="U188" i="67"/>
  <c r="AK195" i="15"/>
  <c r="U195" i="15"/>
  <c r="U175" i="67"/>
  <c r="U182" i="15"/>
  <c r="AK182" i="15"/>
  <c r="AK223" i="15"/>
  <c r="AL216" i="67" s="1"/>
  <c r="U223" i="15"/>
  <c r="V216" i="67" s="1"/>
  <c r="U217" i="15"/>
  <c r="V210" i="67" s="1"/>
  <c r="AK217" i="15"/>
  <c r="AL210" i="67" s="1"/>
  <c r="U185" i="67"/>
  <c r="U192" i="15"/>
  <c r="AK192" i="15"/>
  <c r="AK134" i="15"/>
  <c r="AL127" i="67" s="1"/>
  <c r="W187" i="27"/>
  <c r="Z187" i="27" s="1"/>
  <c r="AX180" i="67" s="1"/>
  <c r="O187" i="27"/>
  <c r="W214" i="27"/>
  <c r="Z214" i="27" s="1"/>
  <c r="AX207" i="67" s="1"/>
  <c r="O214" i="27"/>
  <c r="AW207" i="67" s="1"/>
  <c r="W189" i="27"/>
  <c r="Z189" i="27" s="1"/>
  <c r="AX182" i="67" s="1"/>
  <c r="O189" i="27"/>
  <c r="O196" i="27"/>
  <c r="W196" i="27"/>
  <c r="Z196" i="27" s="1"/>
  <c r="AX189" i="67" s="1"/>
  <c r="U172" i="67"/>
  <c r="AK179" i="15"/>
  <c r="U179" i="15"/>
  <c r="U193" i="67"/>
  <c r="AK200" i="15"/>
  <c r="U200" i="15"/>
  <c r="U201" i="67"/>
  <c r="AK208" i="15"/>
  <c r="U208" i="15"/>
  <c r="U173" i="67"/>
  <c r="U180" i="15"/>
  <c r="AK180" i="15"/>
  <c r="AK215" i="15"/>
  <c r="AL208" i="67" s="1"/>
  <c r="U215" i="15"/>
  <c r="V208" i="67" s="1"/>
  <c r="AA16" i="15"/>
  <c r="AB9" i="67" s="1"/>
  <c r="V16" i="15"/>
  <c r="S16" i="27"/>
  <c r="O16" i="27" s="1"/>
  <c r="S125" i="27"/>
  <c r="O125" i="27" s="1"/>
  <c r="V119" i="27"/>
  <c r="AI14" i="27"/>
  <c r="AL14" i="27" s="1"/>
  <c r="S17" i="27"/>
  <c r="W17" i="27" s="1"/>
  <c r="Z17" i="27" s="1"/>
  <c r="AX10" i="67" s="1"/>
  <c r="V142" i="27"/>
  <c r="S31" i="27"/>
  <c r="W31" i="27" s="1"/>
  <c r="Z31" i="27" s="1"/>
  <c r="AX24" i="67" s="1"/>
  <c r="S23" i="27"/>
  <c r="W23" i="27" s="1"/>
  <c r="Z23" i="27" s="1"/>
  <c r="AX16" i="67" s="1"/>
  <c r="O145" i="27"/>
  <c r="AM145" i="27" s="1"/>
  <c r="U104" i="15"/>
  <c r="V104" i="15" s="1"/>
  <c r="AK168" i="15"/>
  <c r="AL161" i="67" s="1"/>
  <c r="AI116" i="27"/>
  <c r="AL116" i="27" s="1"/>
  <c r="AN120" i="15"/>
  <c r="AO113" i="67" s="1"/>
  <c r="AK41" i="67"/>
  <c r="AK37" i="27"/>
  <c r="W58" i="27"/>
  <c r="Z58" i="27" s="1"/>
  <c r="AX51" i="67" s="1"/>
  <c r="AK48" i="15"/>
  <c r="AO48" i="15" s="1"/>
  <c r="AI23" i="27"/>
  <c r="AL23" i="27" s="1"/>
  <c r="AK128" i="27"/>
  <c r="V58" i="27"/>
  <c r="AI28" i="27"/>
  <c r="AL28" i="27" s="1"/>
  <c r="AI166" i="27"/>
  <c r="AL166" i="27" s="1"/>
  <c r="S70" i="27"/>
  <c r="O70" i="27" s="1"/>
  <c r="AM70" i="27" s="1"/>
  <c r="AK125" i="27"/>
  <c r="V145" i="27"/>
  <c r="Z87" i="15"/>
  <c r="AA80" i="67" s="1"/>
  <c r="S95" i="27"/>
  <c r="W95" i="27" s="1"/>
  <c r="Z95" i="27" s="1"/>
  <c r="AX88" i="67" s="1"/>
  <c r="AK157" i="27"/>
  <c r="AK71" i="27"/>
  <c r="V36" i="27"/>
  <c r="AK36" i="27"/>
  <c r="S128" i="27"/>
  <c r="W128" i="27" s="1"/>
  <c r="Z128" i="27" s="1"/>
  <c r="AX121" i="67" s="1"/>
  <c r="AI159" i="27"/>
  <c r="AL159" i="27" s="1"/>
  <c r="S141" i="27"/>
  <c r="W141" i="27" s="1"/>
  <c r="Z141" i="27" s="1"/>
  <c r="AX134" i="67" s="1"/>
  <c r="S30" i="27"/>
  <c r="O30" i="27" s="1"/>
  <c r="AW23" i="67" s="1"/>
  <c r="S34" i="27"/>
  <c r="W34" i="27" s="1"/>
  <c r="Z34" i="27" s="1"/>
  <c r="AX27" i="67" s="1"/>
  <c r="Z120" i="15"/>
  <c r="AA113" i="67" s="1"/>
  <c r="W71" i="27"/>
  <c r="Z71" i="27" s="1"/>
  <c r="AX64" i="67" s="1"/>
  <c r="Z104" i="15"/>
  <c r="AA97" i="67" s="1"/>
  <c r="V138" i="27"/>
  <c r="AI11" i="27"/>
  <c r="AL11" i="27" s="1"/>
  <c r="AI107" i="27"/>
  <c r="AL107" i="27" s="1"/>
  <c r="S69" i="27"/>
  <c r="O69" i="27" s="1"/>
  <c r="S75" i="27"/>
  <c r="W75" i="27" s="1"/>
  <c r="Z75" i="27" s="1"/>
  <c r="AX68" i="67" s="1"/>
  <c r="S98" i="27"/>
  <c r="W98" i="27" s="1"/>
  <c r="Z98" i="27" s="1"/>
  <c r="AX91" i="67" s="1"/>
  <c r="S132" i="27"/>
  <c r="W132" i="27" s="1"/>
  <c r="Z132" i="27" s="1"/>
  <c r="AX125" i="67" s="1"/>
  <c r="V73" i="27"/>
  <c r="AK142" i="27"/>
  <c r="S131" i="27"/>
  <c r="W131" i="27" s="1"/>
  <c r="Z131" i="27" s="1"/>
  <c r="AX124" i="67" s="1"/>
  <c r="AI134" i="27"/>
  <c r="AL134" i="27" s="1"/>
  <c r="AK25" i="27"/>
  <c r="AI158" i="27"/>
  <c r="AL158" i="27" s="1"/>
  <c r="AK169" i="27"/>
  <c r="V13" i="27"/>
  <c r="AI153" i="27"/>
  <c r="AL153" i="27" s="1"/>
  <c r="AK153" i="27"/>
  <c r="AK33" i="15"/>
  <c r="AL26" i="67" s="1"/>
  <c r="AK100" i="27"/>
  <c r="AK114" i="27"/>
  <c r="S153" i="27"/>
  <c r="W153" i="27" s="1"/>
  <c r="Z153" i="27" s="1"/>
  <c r="V153" i="27"/>
  <c r="U120" i="15"/>
  <c r="V120" i="15" s="1"/>
  <c r="AK83" i="27"/>
  <c r="AN33" i="15"/>
  <c r="AO26" i="67" s="1"/>
  <c r="S21" i="27"/>
  <c r="O21" i="27" s="1"/>
  <c r="Z48" i="15"/>
  <c r="AA41" i="67" s="1"/>
  <c r="S130" i="27"/>
  <c r="O130" i="27" s="1"/>
  <c r="AI74" i="27"/>
  <c r="AL74" i="27" s="1"/>
  <c r="AI82" i="27"/>
  <c r="AL82" i="27" s="1"/>
  <c r="AK99" i="27"/>
  <c r="AI19" i="27"/>
  <c r="AL19" i="27" s="1"/>
  <c r="AI66" i="27"/>
  <c r="AL66" i="27" s="1"/>
  <c r="AK38" i="27"/>
  <c r="Z18" i="15"/>
  <c r="AA11" i="67" s="1"/>
  <c r="AI104" i="27"/>
  <c r="AL104" i="27" s="1"/>
  <c r="S114" i="27"/>
  <c r="W114" i="27" s="1"/>
  <c r="Z114" i="27" s="1"/>
  <c r="AX107" i="67" s="1"/>
  <c r="U18" i="15"/>
  <c r="V18" i="15" s="1"/>
  <c r="S19" i="27"/>
  <c r="W19" i="27" s="1"/>
  <c r="Z19" i="27" s="1"/>
  <c r="AX12" i="67" s="1"/>
  <c r="T158" i="67"/>
  <c r="Z165" i="15"/>
  <c r="AA158" i="67" s="1"/>
  <c r="AI53" i="27"/>
  <c r="AL53" i="27" s="1"/>
  <c r="S107" i="27"/>
  <c r="W107" i="27" s="1"/>
  <c r="Z107" i="27" s="1"/>
  <c r="AX100" i="67" s="1"/>
  <c r="AK102" i="27"/>
  <c r="V66" i="27"/>
  <c r="AI106" i="27"/>
  <c r="AL106" i="27" s="1"/>
  <c r="V26" i="27"/>
  <c r="AN45" i="15"/>
  <c r="AO38" i="67" s="1"/>
  <c r="AK31" i="27"/>
  <c r="AK121" i="27"/>
  <c r="V122" i="27"/>
  <c r="AK139" i="27"/>
  <c r="AK87" i="27"/>
  <c r="AK51" i="27"/>
  <c r="S45" i="27"/>
  <c r="O45" i="27" s="1"/>
  <c r="AN130" i="15"/>
  <c r="AO123" i="67" s="1"/>
  <c r="AK160" i="27"/>
  <c r="AI70" i="27"/>
  <c r="AL70" i="27" s="1"/>
  <c r="V115" i="27"/>
  <c r="AK140" i="27"/>
  <c r="AI60" i="27"/>
  <c r="AL60" i="27" s="1"/>
  <c r="AI103" i="27"/>
  <c r="AL103" i="27" s="1"/>
  <c r="S92" i="27"/>
  <c r="O92" i="27" s="1"/>
  <c r="AM92" i="27" s="1"/>
  <c r="S106" i="27"/>
  <c r="W106" i="27" s="1"/>
  <c r="Z106" i="27" s="1"/>
  <c r="AX99" i="67" s="1"/>
  <c r="V74" i="27"/>
  <c r="U48" i="15"/>
  <c r="T67" i="67"/>
  <c r="AK54" i="27"/>
  <c r="U33" i="15"/>
  <c r="T26" i="67"/>
  <c r="V102" i="27"/>
  <c r="Z74" i="15"/>
  <c r="AA67" i="67" s="1"/>
  <c r="AN124" i="15"/>
  <c r="AO117" i="67" s="1"/>
  <c r="AN10" i="15"/>
  <c r="AO3" i="67" s="1"/>
  <c r="AK111" i="27"/>
  <c r="AK33" i="67"/>
  <c r="AK10" i="15"/>
  <c r="AL3" i="67" s="1"/>
  <c r="AK124" i="15"/>
  <c r="AO124" i="15" s="1"/>
  <c r="AK29" i="15"/>
  <c r="AO29" i="15" s="1"/>
  <c r="AK119" i="27"/>
  <c r="AI135" i="27"/>
  <c r="AL135" i="27" s="1"/>
  <c r="AK18" i="15"/>
  <c r="AO18" i="15" s="1"/>
  <c r="AK10" i="27"/>
  <c r="V166" i="27"/>
  <c r="AI154" i="27"/>
  <c r="AL154" i="27" s="1"/>
  <c r="S118" i="27"/>
  <c r="O118" i="27" s="1"/>
  <c r="V148" i="27"/>
  <c r="AK87" i="15"/>
  <c r="AL80" i="67" s="1"/>
  <c r="V170" i="27"/>
  <c r="AK80" i="67"/>
  <c r="AK98" i="27"/>
  <c r="AK89" i="27"/>
  <c r="AK131" i="27"/>
  <c r="S55" i="27"/>
  <c r="W55" i="27" s="1"/>
  <c r="Z55" i="27" s="1"/>
  <c r="AX48" i="67" s="1"/>
  <c r="S48" i="27"/>
  <c r="W48" i="27" s="1"/>
  <c r="Z48" i="27" s="1"/>
  <c r="AX41" i="67" s="1"/>
  <c r="AI72" i="27"/>
  <c r="AL72" i="27" s="1"/>
  <c r="AK120" i="27"/>
  <c r="T33" i="67"/>
  <c r="S89" i="27"/>
  <c r="W89" i="27" s="1"/>
  <c r="Z89" i="27" s="1"/>
  <c r="AX82" i="67" s="1"/>
  <c r="AN18" i="15"/>
  <c r="AO11" i="67" s="1"/>
  <c r="S78" i="27"/>
  <c r="W78" i="27" s="1"/>
  <c r="Z78" i="27" s="1"/>
  <c r="AX71" i="67" s="1"/>
  <c r="S151" i="27"/>
  <c r="O151" i="27" s="1"/>
  <c r="AK29" i="27"/>
  <c r="AK63" i="27"/>
  <c r="AN28" i="15"/>
  <c r="AO21" i="67" s="1"/>
  <c r="U45" i="15"/>
  <c r="V45" i="15" s="1"/>
  <c r="AI164" i="27"/>
  <c r="AL164" i="27" s="1"/>
  <c r="V134" i="27"/>
  <c r="T38" i="67"/>
  <c r="AK33" i="27"/>
  <c r="V164" i="27"/>
  <c r="S37" i="27"/>
  <c r="W37" i="27" s="1"/>
  <c r="Z37" i="27" s="1"/>
  <c r="AX30" i="67" s="1"/>
  <c r="AK115" i="27"/>
  <c r="AK61" i="27"/>
  <c r="AI80" i="27"/>
  <c r="AL80" i="27" s="1"/>
  <c r="AK28" i="15"/>
  <c r="AL21" i="67" s="1"/>
  <c r="AI56" i="27"/>
  <c r="AL56" i="27" s="1"/>
  <c r="AN74" i="15"/>
  <c r="AO67" i="67" s="1"/>
  <c r="AK9" i="27"/>
  <c r="AK67" i="67"/>
  <c r="AK96" i="27"/>
  <c r="AI94" i="27"/>
  <c r="AL94" i="27" s="1"/>
  <c r="AK149" i="27"/>
  <c r="W26" i="27"/>
  <c r="Z26" i="27" s="1"/>
  <c r="AX19" i="67" s="1"/>
  <c r="O26" i="27"/>
  <c r="AW19" i="67" s="1"/>
  <c r="AK18" i="27"/>
  <c r="S154" i="27"/>
  <c r="O154" i="27" s="1"/>
  <c r="AI148" i="27"/>
  <c r="AL148" i="27" s="1"/>
  <c r="AI22" i="27"/>
  <c r="AL22" i="27" s="1"/>
  <c r="AI130" i="27"/>
  <c r="AL130" i="27" s="1"/>
  <c r="AI113" i="27"/>
  <c r="AL113" i="27" s="1"/>
  <c r="S65" i="27"/>
  <c r="AK76" i="27"/>
  <c r="S155" i="27"/>
  <c r="O155" i="27" s="1"/>
  <c r="AK67" i="27"/>
  <c r="S22" i="27"/>
  <c r="O22" i="27" s="1"/>
  <c r="AK151" i="27"/>
  <c r="S157" i="27"/>
  <c r="O157" i="27" s="1"/>
  <c r="AK120" i="15"/>
  <c r="AO120" i="15" s="1"/>
  <c r="S33" i="27"/>
  <c r="W33" i="27" s="1"/>
  <c r="Z33" i="27" s="1"/>
  <c r="AX26" i="67" s="1"/>
  <c r="AI110" i="27"/>
  <c r="AL110" i="27" s="1"/>
  <c r="AI143" i="27"/>
  <c r="AL143" i="27" s="1"/>
  <c r="T35" i="67"/>
  <c r="AK129" i="27"/>
  <c r="V121" i="27"/>
  <c r="AI97" i="27"/>
  <c r="AL97" i="27" s="1"/>
  <c r="S168" i="27"/>
  <c r="O168" i="27" s="1"/>
  <c r="S57" i="27"/>
  <c r="O57" i="27" s="1"/>
  <c r="S91" i="27"/>
  <c r="W91" i="27" s="1"/>
  <c r="Z91" i="27" s="1"/>
  <c r="AX84" i="67" s="1"/>
  <c r="S86" i="27"/>
  <c r="AI95" i="27"/>
  <c r="AL95" i="27" s="1"/>
  <c r="S85" i="27"/>
  <c r="O85" i="27" s="1"/>
  <c r="S160" i="27"/>
  <c r="W160" i="27" s="1"/>
  <c r="Z160" i="27" s="1"/>
  <c r="AX153" i="67" s="1"/>
  <c r="S93" i="27"/>
  <c r="AM80" i="27"/>
  <c r="V46" i="27"/>
  <c r="AK123" i="27"/>
  <c r="V80" i="27"/>
  <c r="W80" i="27"/>
  <c r="Z80" i="27" s="1"/>
  <c r="AX73" i="67" s="1"/>
  <c r="AK42" i="27"/>
  <c r="AK47" i="27"/>
  <c r="AI109" i="27"/>
  <c r="AL109" i="27" s="1"/>
  <c r="AI34" i="27"/>
  <c r="AL34" i="27" s="1"/>
  <c r="AI55" i="27"/>
  <c r="AL55" i="27" s="1"/>
  <c r="S158" i="27"/>
  <c r="O158" i="27" s="1"/>
  <c r="AI145" i="27"/>
  <c r="AL145" i="27" s="1"/>
  <c r="AK170" i="27"/>
  <c r="AI64" i="27"/>
  <c r="AL64" i="27" s="1"/>
  <c r="AK40" i="27"/>
  <c r="AN30" i="15"/>
  <c r="AO23" i="67" s="1"/>
  <c r="AI46" i="27"/>
  <c r="AL46" i="27" s="1"/>
  <c r="S127" i="27"/>
  <c r="W127" i="27" s="1"/>
  <c r="Z127" i="27" s="1"/>
  <c r="AX120" i="67" s="1"/>
  <c r="S94" i="27"/>
  <c r="W94" i="27" s="1"/>
  <c r="Z94" i="27" s="1"/>
  <c r="AX87" i="67" s="1"/>
  <c r="AK164" i="67"/>
  <c r="S53" i="27"/>
  <c r="AI167" i="27"/>
  <c r="AL167" i="27" s="1"/>
  <c r="T164" i="67"/>
  <c r="AO171" i="15"/>
  <c r="AP171" i="15" s="1"/>
  <c r="AQ164" i="67" s="1"/>
  <c r="U171" i="15"/>
  <c r="S169" i="27"/>
  <c r="O169" i="27" s="1"/>
  <c r="AW162" i="67" s="1"/>
  <c r="AN171" i="15"/>
  <c r="AO164" i="67" s="1"/>
  <c r="AK30" i="27"/>
  <c r="S143" i="27"/>
  <c r="W143" i="27" s="1"/>
  <c r="Z143" i="27" s="1"/>
  <c r="AX136" i="67" s="1"/>
  <c r="AI117" i="27"/>
  <c r="AL117" i="27" s="1"/>
  <c r="S12" i="27"/>
  <c r="W12" i="27" s="1"/>
  <c r="Z12" i="27" s="1"/>
  <c r="AX5" i="67" s="1"/>
  <c r="AI161" i="27"/>
  <c r="AL161" i="27" s="1"/>
  <c r="AK124" i="27"/>
  <c r="Z40" i="15"/>
  <c r="AA33" i="67" s="1"/>
  <c r="AN40" i="15"/>
  <c r="AO33" i="67" s="1"/>
  <c r="AK19" i="15"/>
  <c r="AL12" i="67" s="1"/>
  <c r="AI105" i="27"/>
  <c r="AL105" i="27" s="1"/>
  <c r="Z42" i="15"/>
  <c r="AA35" i="67" s="1"/>
  <c r="AK85" i="67"/>
  <c r="S176" i="27"/>
  <c r="V176" i="27"/>
  <c r="T169" i="67"/>
  <c r="U176" i="15"/>
  <c r="V176" i="15" s="1"/>
  <c r="Z176" i="15"/>
  <c r="AA169" i="67" s="1"/>
  <c r="V40" i="27"/>
  <c r="S87" i="27"/>
  <c r="O87" i="27" s="1"/>
  <c r="AW17" i="67"/>
  <c r="AI127" i="27"/>
  <c r="AL127" i="27" s="1"/>
  <c r="Z29" i="15"/>
  <c r="AA22" i="67" s="1"/>
  <c r="V165" i="27"/>
  <c r="AI92" i="27"/>
  <c r="AL92" i="27" s="1"/>
  <c r="AI176" i="27"/>
  <c r="AL176" i="27" s="1"/>
  <c r="AK176" i="27"/>
  <c r="AK169" i="67"/>
  <c r="AN176" i="15"/>
  <c r="AO169" i="67" s="1"/>
  <c r="AK176" i="15"/>
  <c r="S41" i="27"/>
  <c r="O41" i="27" s="1"/>
  <c r="S100" i="27"/>
  <c r="O100" i="27" s="1"/>
  <c r="AI172" i="27"/>
  <c r="AL172" i="27" s="1"/>
  <c r="AK172" i="27"/>
  <c r="U175" i="15"/>
  <c r="V175" i="15" s="1"/>
  <c r="T168" i="67"/>
  <c r="Z175" i="15"/>
  <c r="AA168" i="67" s="1"/>
  <c r="AI175" i="27"/>
  <c r="AL175" i="27" s="1"/>
  <c r="AK175" i="27"/>
  <c r="S124" i="27"/>
  <c r="O124" i="27" s="1"/>
  <c r="AK122" i="27"/>
  <c r="V139" i="27"/>
  <c r="O122" i="27"/>
  <c r="V71" i="27"/>
  <c r="W24" i="27"/>
  <c r="Z24" i="27" s="1"/>
  <c r="AX17" i="67" s="1"/>
  <c r="S156" i="27"/>
  <c r="O156" i="27" s="1"/>
  <c r="S59" i="27"/>
  <c r="W59" i="27" s="1"/>
  <c r="Z59" i="27" s="1"/>
  <c r="AX52" i="67" s="1"/>
  <c r="AI108" i="27"/>
  <c r="AL108" i="27" s="1"/>
  <c r="S172" i="27"/>
  <c r="V172" i="27"/>
  <c r="AK168" i="67"/>
  <c r="AN175" i="15"/>
  <c r="AO168" i="67" s="1"/>
  <c r="AK84" i="27"/>
  <c r="S120" i="27"/>
  <c r="O120" i="27" s="1"/>
  <c r="AK141" i="27"/>
  <c r="AK81" i="27"/>
  <c r="AK48" i="27"/>
  <c r="V24" i="27"/>
  <c r="S82" i="27"/>
  <c r="W82" i="27" s="1"/>
  <c r="Z82" i="27" s="1"/>
  <c r="AX75" i="67" s="1"/>
  <c r="AI93" i="27"/>
  <c r="AL93" i="27" s="1"/>
  <c r="AI156" i="27"/>
  <c r="AL156" i="27" s="1"/>
  <c r="S149" i="27"/>
  <c r="O149" i="27" s="1"/>
  <c r="S173" i="27"/>
  <c r="V173" i="27"/>
  <c r="Z173" i="15"/>
  <c r="AA166" i="67" s="1"/>
  <c r="U173" i="15"/>
  <c r="V173" i="15" s="1"/>
  <c r="T166" i="67"/>
  <c r="AK15" i="27"/>
  <c r="V99" i="27"/>
  <c r="AK101" i="27"/>
  <c r="S62" i="27"/>
  <c r="O121" i="27"/>
  <c r="AW114" i="67" s="1"/>
  <c r="S38" i="27"/>
  <c r="O38" i="27" s="1"/>
  <c r="AK165" i="67"/>
  <c r="AN172" i="15"/>
  <c r="AO165" i="67" s="1"/>
  <c r="AN174" i="15"/>
  <c r="AO167" i="67" s="1"/>
  <c r="AK167" i="67"/>
  <c r="AI173" i="27"/>
  <c r="AL173" i="27" s="1"/>
  <c r="AK173" i="27"/>
  <c r="AK175" i="15"/>
  <c r="AK166" i="67"/>
  <c r="AN173" i="15"/>
  <c r="AO166" i="67" s="1"/>
  <c r="S11" i="27"/>
  <c r="O11" i="27" s="1"/>
  <c r="U172" i="15"/>
  <c r="V172" i="15" s="1"/>
  <c r="T165" i="67"/>
  <c r="Z172" i="15"/>
  <c r="AA165" i="67" s="1"/>
  <c r="U174" i="15"/>
  <c r="V174" i="15" s="1"/>
  <c r="Z174" i="15"/>
  <c r="AA167" i="67" s="1"/>
  <c r="T167" i="67"/>
  <c r="AI174" i="27"/>
  <c r="AL174" i="27" s="1"/>
  <c r="AK174" i="27"/>
  <c r="S81" i="27"/>
  <c r="O81" i="27" s="1"/>
  <c r="AW74" i="67" s="1"/>
  <c r="AI73" i="27"/>
  <c r="AL73" i="27" s="1"/>
  <c r="V109" i="27"/>
  <c r="AK13" i="27"/>
  <c r="AK78" i="27"/>
  <c r="AI86" i="27"/>
  <c r="AL86" i="27" s="1"/>
  <c r="S174" i="27"/>
  <c r="V174" i="27"/>
  <c r="AK174" i="15"/>
  <c r="S51" i="27"/>
  <c r="W51" i="27" s="1"/>
  <c r="Z51" i="27" s="1"/>
  <c r="AX44" i="67" s="1"/>
  <c r="AI155" i="27"/>
  <c r="AL155" i="27" s="1"/>
  <c r="AO173" i="15"/>
  <c r="AL166" i="67"/>
  <c r="AK172" i="15"/>
  <c r="S175" i="27"/>
  <c r="V175" i="27"/>
  <c r="AK58" i="27"/>
  <c r="AI57" i="27"/>
  <c r="AL57" i="27" s="1"/>
  <c r="S35" i="27"/>
  <c r="W35" i="27" s="1"/>
  <c r="Z35" i="27" s="1"/>
  <c r="AX28" i="67" s="1"/>
  <c r="S49" i="27"/>
  <c r="O49" i="27" s="1"/>
  <c r="AK39" i="27"/>
  <c r="V84" i="27"/>
  <c r="AI43" i="27"/>
  <c r="AL43" i="27" s="1"/>
  <c r="AI50" i="27"/>
  <c r="AL50" i="27" s="1"/>
  <c r="V28" i="27"/>
  <c r="S14" i="27"/>
  <c r="W14" i="27" s="1"/>
  <c r="Z14" i="27" s="1"/>
  <c r="AX7" i="67" s="1"/>
  <c r="AI59" i="27"/>
  <c r="AL59" i="27" s="1"/>
  <c r="AI49" i="27"/>
  <c r="AL49" i="27" s="1"/>
  <c r="AK21" i="27"/>
  <c r="AK32" i="27"/>
  <c r="S25" i="27"/>
  <c r="AI27" i="27"/>
  <c r="AL27" i="27" s="1"/>
  <c r="S60" i="27"/>
  <c r="O60" i="27" s="1"/>
  <c r="S61" i="27"/>
  <c r="W61" i="27" s="1"/>
  <c r="Z61" i="27" s="1"/>
  <c r="AX54" i="67" s="1"/>
  <c r="O40" i="27"/>
  <c r="AW33" i="67" s="1"/>
  <c r="S56" i="27"/>
  <c r="O56" i="27" s="1"/>
  <c r="AK52" i="27"/>
  <c r="O84" i="27"/>
  <c r="AW77" i="67" s="1"/>
  <c r="AK20" i="27"/>
  <c r="AK24" i="27"/>
  <c r="AI75" i="27"/>
  <c r="AL75" i="27" s="1"/>
  <c r="AI45" i="27"/>
  <c r="AL45" i="27" s="1"/>
  <c r="O28" i="27"/>
  <c r="S10" i="27"/>
  <c r="W10" i="27" s="1"/>
  <c r="Z10" i="27" s="1"/>
  <c r="AX3" i="67" s="1"/>
  <c r="S97" i="27"/>
  <c r="W97" i="27" s="1"/>
  <c r="Z97" i="27" s="1"/>
  <c r="AX90" i="67" s="1"/>
  <c r="S15" i="27"/>
  <c r="O15" i="27" s="1"/>
  <c r="S39" i="27"/>
  <c r="O39" i="27" s="1"/>
  <c r="AI90" i="27"/>
  <c r="AL90" i="27" s="1"/>
  <c r="O20" i="27"/>
  <c r="W20" i="27"/>
  <c r="Z20" i="27" s="1"/>
  <c r="AX13" i="67" s="1"/>
  <c r="O99" i="27"/>
  <c r="W99" i="27"/>
  <c r="Z99" i="27" s="1"/>
  <c r="AX92" i="67" s="1"/>
  <c r="S161" i="27"/>
  <c r="V161" i="27"/>
  <c r="W101" i="27"/>
  <c r="Z101" i="27" s="1"/>
  <c r="AX94" i="67" s="1"/>
  <c r="O101" i="27"/>
  <c r="S68" i="27"/>
  <c r="V68" i="27"/>
  <c r="T49" i="67"/>
  <c r="T80" i="67"/>
  <c r="AK165" i="27"/>
  <c r="V101" i="27"/>
  <c r="S64" i="27"/>
  <c r="W64" i="27" s="1"/>
  <c r="Z64" i="27" s="1"/>
  <c r="AX57" i="67" s="1"/>
  <c r="S52" i="27"/>
  <c r="W52" i="27" s="1"/>
  <c r="Z52" i="27" s="1"/>
  <c r="AX45" i="67" s="1"/>
  <c r="V144" i="27"/>
  <c r="S144" i="27"/>
  <c r="S88" i="27"/>
  <c r="V88" i="27"/>
  <c r="AI17" i="27"/>
  <c r="AL17" i="27" s="1"/>
  <c r="AK17" i="27"/>
  <c r="S103" i="27"/>
  <c r="V103" i="27"/>
  <c r="S42" i="27"/>
  <c r="V42" i="27"/>
  <c r="AK152" i="27"/>
  <c r="AI152" i="27"/>
  <c r="AL152" i="27" s="1"/>
  <c r="AI162" i="27"/>
  <c r="AL162" i="27" s="1"/>
  <c r="AK162" i="27"/>
  <c r="AK88" i="27"/>
  <c r="AI88" i="27"/>
  <c r="AL88" i="27" s="1"/>
  <c r="AI91" i="27"/>
  <c r="AL91" i="27" s="1"/>
  <c r="AK91" i="27"/>
  <c r="S90" i="27"/>
  <c r="V90" i="27"/>
  <c r="AI136" i="27"/>
  <c r="AL136" i="27" s="1"/>
  <c r="AK136" i="27"/>
  <c r="AI44" i="27"/>
  <c r="AL44" i="27" s="1"/>
  <c r="AK44" i="27"/>
  <c r="AI12" i="27"/>
  <c r="AL12" i="27" s="1"/>
  <c r="AK12" i="27"/>
  <c r="V20" i="27"/>
  <c r="V167" i="27"/>
  <c r="AI85" i="27"/>
  <c r="AL85" i="27" s="1"/>
  <c r="S9" i="27"/>
  <c r="O9" i="27" s="1"/>
  <c r="AI35" i="27"/>
  <c r="AL35" i="27" s="1"/>
  <c r="S116" i="27"/>
  <c r="O116" i="27" s="1"/>
  <c r="S63" i="27"/>
  <c r="V63" i="27"/>
  <c r="AK65" i="27"/>
  <c r="AI65" i="27"/>
  <c r="AL65" i="27" s="1"/>
  <c r="S117" i="27"/>
  <c r="V117" i="27"/>
  <c r="S112" i="27"/>
  <c r="V112" i="27"/>
  <c r="V159" i="27"/>
  <c r="S159" i="27"/>
  <c r="V147" i="27"/>
  <c r="S147" i="27"/>
  <c r="V50" i="27"/>
  <c r="S50" i="27"/>
  <c r="AI163" i="27"/>
  <c r="AL163" i="27" s="1"/>
  <c r="AK163" i="27"/>
  <c r="AI171" i="27"/>
  <c r="AL171" i="27" s="1"/>
  <c r="AK171" i="27"/>
  <c r="S136" i="27"/>
  <c r="V136" i="27"/>
  <c r="AI112" i="27"/>
  <c r="AL112" i="27" s="1"/>
  <c r="AK112" i="27"/>
  <c r="S111" i="27"/>
  <c r="V111" i="27"/>
  <c r="AN104" i="15"/>
  <c r="AO97" i="67" s="1"/>
  <c r="AK54" i="15"/>
  <c r="AL47" i="67" s="1"/>
  <c r="AK118" i="27"/>
  <c r="AK16" i="27"/>
  <c r="S108" i="27"/>
  <c r="S133" i="27"/>
  <c r="O133" i="27" s="1"/>
  <c r="AK132" i="27"/>
  <c r="AI132" i="27"/>
  <c r="AL132" i="27" s="1"/>
  <c r="S129" i="27"/>
  <c r="V129" i="27"/>
  <c r="V150" i="27"/>
  <c r="S150" i="27"/>
  <c r="AI126" i="27"/>
  <c r="AL126" i="27" s="1"/>
  <c r="AK126" i="27"/>
  <c r="V126" i="27"/>
  <c r="S126" i="27"/>
  <c r="AK68" i="27"/>
  <c r="AI68" i="27"/>
  <c r="AL68" i="27" s="1"/>
  <c r="AI146" i="27"/>
  <c r="AL146" i="27" s="1"/>
  <c r="AK146" i="27"/>
  <c r="S171" i="27"/>
  <c r="V171" i="27"/>
  <c r="AK77" i="27"/>
  <c r="AK97" i="67"/>
  <c r="V110" i="27"/>
  <c r="V105" i="27"/>
  <c r="AK147" i="27"/>
  <c r="AI147" i="27"/>
  <c r="AL147" i="27" s="1"/>
  <c r="S77" i="27"/>
  <c r="V77" i="27"/>
  <c r="V104" i="27"/>
  <c r="S104" i="27"/>
  <c r="O13" i="27"/>
  <c r="W13" i="27"/>
  <c r="Z13" i="27" s="1"/>
  <c r="AX6" i="67" s="1"/>
  <c r="V146" i="27"/>
  <c r="S146" i="27"/>
  <c r="AI138" i="27"/>
  <c r="AL138" i="27" s="1"/>
  <c r="AK138" i="27"/>
  <c r="AK150" i="27"/>
  <c r="AI150" i="27"/>
  <c r="AL150" i="27" s="1"/>
  <c r="V137" i="27"/>
  <c r="S137" i="27"/>
  <c r="V44" i="27"/>
  <c r="S44" i="27"/>
  <c r="AK41" i="27"/>
  <c r="S76" i="27"/>
  <c r="O76" i="27" s="1"/>
  <c r="S54" i="27"/>
  <c r="W54" i="27" s="1"/>
  <c r="Z54" i="27" s="1"/>
  <c r="AX47" i="67" s="1"/>
  <c r="AK168" i="27"/>
  <c r="AI79" i="27"/>
  <c r="AL79" i="27" s="1"/>
  <c r="AK79" i="27"/>
  <c r="S29" i="27"/>
  <c r="V29" i="27"/>
  <c r="S32" i="27"/>
  <c r="V32" i="27"/>
  <c r="V96" i="27"/>
  <c r="S96" i="27"/>
  <c r="S163" i="27"/>
  <c r="V163" i="27"/>
  <c r="S43" i="27"/>
  <c r="V43" i="27"/>
  <c r="AK62" i="27"/>
  <c r="S83" i="27"/>
  <c r="W83" i="27" s="1"/>
  <c r="Z83" i="27" s="1"/>
  <c r="AX76" i="67" s="1"/>
  <c r="AI133" i="27"/>
  <c r="AL133" i="27" s="1"/>
  <c r="S152" i="27"/>
  <c r="V152" i="27"/>
  <c r="V27" i="27"/>
  <c r="S27" i="27"/>
  <c r="AK137" i="27"/>
  <c r="AI137" i="27"/>
  <c r="AL137" i="27" s="1"/>
  <c r="AK144" i="27"/>
  <c r="AI144" i="27"/>
  <c r="AL144" i="27" s="1"/>
  <c r="S135" i="27"/>
  <c r="V135" i="27"/>
  <c r="S47" i="27"/>
  <c r="V47" i="27"/>
  <c r="O148" i="27"/>
  <c r="AM148" i="27" s="1"/>
  <c r="AI26" i="27"/>
  <c r="AL26" i="27" s="1"/>
  <c r="S79" i="27"/>
  <c r="O79" i="27" s="1"/>
  <c r="S140" i="27"/>
  <c r="V140" i="27"/>
  <c r="S67" i="27"/>
  <c r="V67" i="27"/>
  <c r="S123" i="27"/>
  <c r="V123" i="27"/>
  <c r="S113" i="27"/>
  <c r="V113" i="27"/>
  <c r="S162" i="27"/>
  <c r="V162" i="27"/>
  <c r="AO169" i="15"/>
  <c r="AL162" i="67"/>
  <c r="AN169" i="15"/>
  <c r="AO162" i="67" s="1"/>
  <c r="AK162" i="67"/>
  <c r="AN170" i="15"/>
  <c r="AO163" i="67" s="1"/>
  <c r="AK163" i="67"/>
  <c r="W18" i="27"/>
  <c r="Z18" i="27" s="1"/>
  <c r="AX11" i="67" s="1"/>
  <c r="O18" i="27"/>
  <c r="AK42" i="15"/>
  <c r="AO42" i="15" s="1"/>
  <c r="AN29" i="15"/>
  <c r="AO22" i="67" s="1"/>
  <c r="W170" i="27"/>
  <c r="Z170" i="27" s="1"/>
  <c r="AX163" i="67" s="1"/>
  <c r="O170" i="27"/>
  <c r="AW163" i="67" s="1"/>
  <c r="U168" i="15"/>
  <c r="V168" i="15" s="1"/>
  <c r="T161" i="67"/>
  <c r="Z168" i="15"/>
  <c r="AA161" i="67" s="1"/>
  <c r="AN42" i="15"/>
  <c r="AO35" i="67" s="1"/>
  <c r="AN168" i="15"/>
  <c r="AO161" i="67" s="1"/>
  <c r="AK161" i="67"/>
  <c r="U170" i="15"/>
  <c r="Z170" i="15"/>
  <c r="AA163" i="67" s="1"/>
  <c r="Z169" i="15"/>
  <c r="AA162" i="67" s="1"/>
  <c r="U169" i="15"/>
  <c r="W16" i="27"/>
  <c r="Z16" i="27" s="1"/>
  <c r="AX9" i="67" s="1"/>
  <c r="AK170" i="15"/>
  <c r="Z28" i="15"/>
  <c r="AA21" i="67" s="1"/>
  <c r="U28" i="15"/>
  <c r="U130" i="15"/>
  <c r="V130" i="15" s="1"/>
  <c r="U56" i="15"/>
  <c r="V56" i="15" s="1"/>
  <c r="AN89" i="15"/>
  <c r="AO82" i="67" s="1"/>
  <c r="T22" i="67"/>
  <c r="AN19" i="15"/>
  <c r="AO12" i="67" s="1"/>
  <c r="AN16" i="15"/>
  <c r="AO9" i="67" s="1"/>
  <c r="AK92" i="15"/>
  <c r="AL85" i="67" s="1"/>
  <c r="Z92" i="15"/>
  <c r="AA85" i="67" s="1"/>
  <c r="Z130" i="15"/>
  <c r="AA123" i="67" s="1"/>
  <c r="AN24" i="15"/>
  <c r="AO17" i="67" s="1"/>
  <c r="U92" i="15"/>
  <c r="AN81" i="15"/>
  <c r="AO74" i="67" s="1"/>
  <c r="AK24" i="15"/>
  <c r="AK130" i="15"/>
  <c r="AL123" i="67" s="1"/>
  <c r="AK16" i="15"/>
  <c r="U72" i="15"/>
  <c r="Z72" i="15"/>
  <c r="AA65" i="67" s="1"/>
  <c r="Z124" i="15"/>
  <c r="AA117" i="67" s="1"/>
  <c r="U124" i="15"/>
  <c r="V124" i="15" s="1"/>
  <c r="Z24" i="15"/>
  <c r="AA17" i="67" s="1"/>
  <c r="U24" i="15"/>
  <c r="AN72" i="15"/>
  <c r="AO65" i="67" s="1"/>
  <c r="W72" i="27"/>
  <c r="Z72" i="27" s="1"/>
  <c r="AX65" i="67" s="1"/>
  <c r="AN62" i="15"/>
  <c r="AO55" i="67" s="1"/>
  <c r="AL78" i="67"/>
  <c r="AN20" i="15"/>
  <c r="AO13" i="67" s="1"/>
  <c r="AK165" i="15"/>
  <c r="AL158" i="67" s="1"/>
  <c r="AK158" i="67"/>
  <c r="AK62" i="15"/>
  <c r="AL55" i="67" s="1"/>
  <c r="AN166" i="15"/>
  <c r="AO159" i="67" s="1"/>
  <c r="AK159" i="67"/>
  <c r="AO166" i="15"/>
  <c r="AL159" i="67"/>
  <c r="AN167" i="15"/>
  <c r="AO160" i="67" s="1"/>
  <c r="AK160" i="67"/>
  <c r="AO9" i="15"/>
  <c r="AL2" i="67"/>
  <c r="AL149" i="67"/>
  <c r="AO94" i="15"/>
  <c r="AL87" i="67"/>
  <c r="AO113" i="15"/>
  <c r="AL106" i="67"/>
  <c r="AL14" i="67"/>
  <c r="AO21" i="15"/>
  <c r="AO147" i="15"/>
  <c r="AL140" i="67"/>
  <c r="AO105" i="15"/>
  <c r="AL98" i="67"/>
  <c r="AO36" i="15"/>
  <c r="AL29" i="67"/>
  <c r="AL99" i="67"/>
  <c r="AO106" i="15"/>
  <c r="AL88" i="67"/>
  <c r="AL89" i="67"/>
  <c r="AO96" i="15"/>
  <c r="AO141" i="15"/>
  <c r="AL134" i="67"/>
  <c r="AL45" i="67"/>
  <c r="AO52" i="15"/>
  <c r="AL131" i="67"/>
  <c r="AO138" i="15"/>
  <c r="AO99" i="15"/>
  <c r="AL92" i="67"/>
  <c r="AL94" i="67"/>
  <c r="AO101" i="15"/>
  <c r="AO142" i="15"/>
  <c r="AL135" i="67"/>
  <c r="AK79" i="67"/>
  <c r="AN86" i="15"/>
  <c r="AO79" i="67" s="1"/>
  <c r="V35" i="67"/>
  <c r="AA42" i="15"/>
  <c r="AB35" i="67" s="1"/>
  <c r="AK70" i="67"/>
  <c r="AN77" i="15"/>
  <c r="AO70" i="67" s="1"/>
  <c r="T3" i="67"/>
  <c r="U10" i="15"/>
  <c r="V10" i="15" s="1"/>
  <c r="U126" i="15"/>
  <c r="V126" i="15" s="1"/>
  <c r="Z126" i="15"/>
  <c r="AA119" i="67" s="1"/>
  <c r="T119" i="67"/>
  <c r="AK15" i="67"/>
  <c r="AN22" i="15"/>
  <c r="AO15" i="67" s="1"/>
  <c r="T48" i="67"/>
  <c r="Z55" i="15"/>
  <c r="AA48" i="67" s="1"/>
  <c r="U55" i="15"/>
  <c r="V55" i="15" s="1"/>
  <c r="AK84" i="67"/>
  <c r="AK91" i="15"/>
  <c r="AN91" i="15"/>
  <c r="AO84" i="67" s="1"/>
  <c r="U142" i="15"/>
  <c r="V142" i="15" s="1"/>
  <c r="T135" i="67"/>
  <c r="Z142" i="15"/>
  <c r="AA135" i="67" s="1"/>
  <c r="AO159" i="15"/>
  <c r="AL152" i="67"/>
  <c r="O142" i="27"/>
  <c r="W142" i="27"/>
  <c r="Z142" i="27" s="1"/>
  <c r="AX135" i="67" s="1"/>
  <c r="AK157" i="67"/>
  <c r="AN164" i="15"/>
  <c r="AO157" i="67" s="1"/>
  <c r="AK51" i="67"/>
  <c r="AK58" i="15"/>
  <c r="AN58" i="15"/>
  <c r="AO51" i="67" s="1"/>
  <c r="T73" i="67"/>
  <c r="U80" i="15"/>
  <c r="V80" i="15" s="1"/>
  <c r="Z80" i="15"/>
  <c r="AA73" i="67" s="1"/>
  <c r="AN133" i="15"/>
  <c r="AO126" i="67" s="1"/>
  <c r="AK126" i="67"/>
  <c r="Z134" i="15"/>
  <c r="AA127" i="67" s="1"/>
  <c r="U134" i="15"/>
  <c r="V134" i="15" s="1"/>
  <c r="T127" i="67"/>
  <c r="T19" i="67"/>
  <c r="Z26" i="15"/>
  <c r="AA19" i="67" s="1"/>
  <c r="U26" i="15"/>
  <c r="V26" i="15" s="1"/>
  <c r="AN125" i="15"/>
  <c r="AO118" i="67" s="1"/>
  <c r="AK125" i="15"/>
  <c r="AK118" i="67"/>
  <c r="T140" i="67"/>
  <c r="U147" i="15"/>
  <c r="V147" i="15" s="1"/>
  <c r="Z147" i="15"/>
  <c r="AA140" i="67" s="1"/>
  <c r="T45" i="67"/>
  <c r="Z52" i="15"/>
  <c r="AA45" i="67" s="1"/>
  <c r="U52" i="15"/>
  <c r="V52" i="15" s="1"/>
  <c r="AO121" i="15"/>
  <c r="AL114" i="67"/>
  <c r="V10" i="67"/>
  <c r="AA17" i="15"/>
  <c r="AB10" i="67" s="1"/>
  <c r="U127" i="15"/>
  <c r="V127" i="15" s="1"/>
  <c r="T120" i="67"/>
  <c r="Z127" i="15"/>
  <c r="AA120" i="67" s="1"/>
  <c r="U137" i="15"/>
  <c r="V137" i="15" s="1"/>
  <c r="T130" i="67"/>
  <c r="AN132" i="15"/>
  <c r="AO125" i="67" s="1"/>
  <c r="AK125" i="67"/>
  <c r="AK37" i="67"/>
  <c r="AN44" i="15"/>
  <c r="AO37" i="67" s="1"/>
  <c r="AK64" i="67"/>
  <c r="AN71" i="15"/>
  <c r="AO64" i="67" s="1"/>
  <c r="AO17" i="15"/>
  <c r="U160" i="15"/>
  <c r="V160" i="15" s="1"/>
  <c r="Z160" i="15"/>
  <c r="AA153" i="67" s="1"/>
  <c r="T153" i="67"/>
  <c r="U116" i="15"/>
  <c r="V116" i="15" s="1"/>
  <c r="Z116" i="15"/>
  <c r="AA109" i="67" s="1"/>
  <c r="T109" i="67"/>
  <c r="AK75" i="67"/>
  <c r="AN82" i="15"/>
  <c r="AO75" i="67" s="1"/>
  <c r="AK14" i="15"/>
  <c r="AN14" i="15"/>
  <c r="AO7" i="67" s="1"/>
  <c r="AK7" i="67"/>
  <c r="AN83" i="15"/>
  <c r="AO76" i="67" s="1"/>
  <c r="AK76" i="67"/>
  <c r="AK83" i="15"/>
  <c r="AO129" i="15"/>
  <c r="AL122" i="67"/>
  <c r="AK44" i="67"/>
  <c r="AN51" i="15"/>
  <c r="AO44" i="67" s="1"/>
  <c r="AK51" i="15"/>
  <c r="O109" i="27"/>
  <c r="W109" i="27"/>
  <c r="Z109" i="27" s="1"/>
  <c r="AX102" i="67" s="1"/>
  <c r="U156" i="15"/>
  <c r="V156" i="15" s="1"/>
  <c r="Z156" i="15"/>
  <c r="AA149" i="67" s="1"/>
  <c r="T149" i="67"/>
  <c r="T58" i="67"/>
  <c r="U65" i="15"/>
  <c r="V65" i="15" s="1"/>
  <c r="Z65" i="15"/>
  <c r="AA58" i="67" s="1"/>
  <c r="T47" i="67"/>
  <c r="U54" i="15"/>
  <c r="V54" i="15" s="1"/>
  <c r="T56" i="67"/>
  <c r="Z63" i="15"/>
  <c r="AA56" i="67" s="1"/>
  <c r="U63" i="15"/>
  <c r="V63" i="15" s="1"/>
  <c r="AL97" i="67"/>
  <c r="AO104" i="15"/>
  <c r="T144" i="67"/>
  <c r="Z151" i="15"/>
  <c r="AA144" i="67" s="1"/>
  <c r="U151" i="15"/>
  <c r="V151" i="15" s="1"/>
  <c r="Z54" i="15"/>
  <c r="AA47" i="67" s="1"/>
  <c r="U162" i="15"/>
  <c r="V162" i="15" s="1"/>
  <c r="Z162" i="15"/>
  <c r="AA155" i="67" s="1"/>
  <c r="T155" i="67"/>
  <c r="U85" i="15"/>
  <c r="V85" i="15" s="1"/>
  <c r="T78" i="67"/>
  <c r="Z85" i="15"/>
  <c r="AA78" i="67" s="1"/>
  <c r="AK138" i="67"/>
  <c r="AN145" i="15"/>
  <c r="AO138" i="67" s="1"/>
  <c r="T107" i="67"/>
  <c r="Z114" i="15"/>
  <c r="AA107" i="67" s="1"/>
  <c r="U114" i="15"/>
  <c r="V114" i="15" s="1"/>
  <c r="T43" i="67"/>
  <c r="Z50" i="15"/>
  <c r="AA43" i="67" s="1"/>
  <c r="U50" i="15"/>
  <c r="V50" i="15" s="1"/>
  <c r="AN75" i="15"/>
  <c r="AO68" i="67" s="1"/>
  <c r="AK75" i="15"/>
  <c r="AK68" i="67"/>
  <c r="AK30" i="15"/>
  <c r="V79" i="67"/>
  <c r="AA86" i="15"/>
  <c r="AB79" i="67" s="1"/>
  <c r="AK63" i="67"/>
  <c r="AN70" i="15"/>
  <c r="AO63" i="67" s="1"/>
  <c r="AK120" i="67"/>
  <c r="AN127" i="15"/>
  <c r="AO120" i="67" s="1"/>
  <c r="AL16" i="67"/>
  <c r="AO23" i="15"/>
  <c r="AK160" i="15"/>
  <c r="AN160" i="15"/>
  <c r="AO153" i="67" s="1"/>
  <c r="AK153" i="67"/>
  <c r="AO163" i="15"/>
  <c r="AL156" i="67"/>
  <c r="AK81" i="67"/>
  <c r="AN88" i="15"/>
  <c r="AO81" i="67" s="1"/>
  <c r="AK151" i="15"/>
  <c r="AN151" i="15"/>
  <c r="AO144" i="67" s="1"/>
  <c r="AK144" i="67"/>
  <c r="AK107" i="67"/>
  <c r="AN114" i="15"/>
  <c r="AO107" i="67" s="1"/>
  <c r="T46" i="67"/>
  <c r="U53" i="15"/>
  <c r="V53" i="15" s="1"/>
  <c r="Z53" i="15"/>
  <c r="AA46" i="67" s="1"/>
  <c r="T84" i="67"/>
  <c r="U91" i="15"/>
  <c r="V91" i="15" s="1"/>
  <c r="Z91" i="15"/>
  <c r="AA84" i="67" s="1"/>
  <c r="AK37" i="15"/>
  <c r="AK30" i="67"/>
  <c r="AN37" i="15"/>
  <c r="AO30" i="67" s="1"/>
  <c r="AO44" i="15"/>
  <c r="AL37" i="67"/>
  <c r="AL86" i="67"/>
  <c r="AO93" i="15"/>
  <c r="AK61" i="67"/>
  <c r="AN68" i="15"/>
  <c r="AO61" i="67" s="1"/>
  <c r="AK68" i="15"/>
  <c r="AK73" i="67"/>
  <c r="AN80" i="15"/>
  <c r="AO73" i="67" s="1"/>
  <c r="T55" i="67"/>
  <c r="U62" i="15"/>
  <c r="V62" i="15" s="1"/>
  <c r="W70" i="67"/>
  <c r="AA77" i="15"/>
  <c r="AB70" i="67" s="1"/>
  <c r="V70" i="67"/>
  <c r="AK88" i="15"/>
  <c r="U133" i="15"/>
  <c r="V133" i="15" s="1"/>
  <c r="T126" i="67"/>
  <c r="Z133" i="15"/>
  <c r="AA126" i="67" s="1"/>
  <c r="AK158" i="15"/>
  <c r="AN158" i="15"/>
  <c r="AO151" i="67" s="1"/>
  <c r="AK151" i="67"/>
  <c r="T13" i="67"/>
  <c r="U20" i="15"/>
  <c r="V20" i="15" s="1"/>
  <c r="AN144" i="15"/>
  <c r="AO137" i="67" s="1"/>
  <c r="AK137" i="67"/>
  <c r="AK144" i="15"/>
  <c r="AK19" i="67"/>
  <c r="AN26" i="15"/>
  <c r="AO19" i="67" s="1"/>
  <c r="AN143" i="15"/>
  <c r="AO136" i="67" s="1"/>
  <c r="AK136" i="67"/>
  <c r="AL96" i="67"/>
  <c r="AO103" i="15"/>
  <c r="AK60" i="67"/>
  <c r="AN67" i="15"/>
  <c r="AO60" i="67" s="1"/>
  <c r="U159" i="15"/>
  <c r="V159" i="15" s="1"/>
  <c r="Z159" i="15"/>
  <c r="AA152" i="67" s="1"/>
  <c r="T152" i="67"/>
  <c r="T71" i="67"/>
  <c r="Z78" i="15"/>
  <c r="AA71" i="67" s="1"/>
  <c r="U78" i="15"/>
  <c r="V78" i="15" s="1"/>
  <c r="T37" i="67"/>
  <c r="Z44" i="15"/>
  <c r="AA37" i="67" s="1"/>
  <c r="U44" i="15"/>
  <c r="V44" i="15" s="1"/>
  <c r="T111" i="67"/>
  <c r="Z118" i="15"/>
  <c r="AA111" i="67" s="1"/>
  <c r="U118" i="15"/>
  <c r="V118" i="15" s="1"/>
  <c r="O139" i="27"/>
  <c r="W139" i="27"/>
  <c r="Z139" i="27" s="1"/>
  <c r="AX132" i="67" s="1"/>
  <c r="T7" i="67"/>
  <c r="Z14" i="15"/>
  <c r="AA7" i="67" s="1"/>
  <c r="U14" i="15"/>
  <c r="V14" i="15" s="1"/>
  <c r="T108" i="67"/>
  <c r="Z115" i="15"/>
  <c r="AA108" i="67" s="1"/>
  <c r="U115" i="15"/>
  <c r="V115" i="15" s="1"/>
  <c r="AN140" i="15"/>
  <c r="AO133" i="67" s="1"/>
  <c r="AK140" i="15"/>
  <c r="AK133" i="67"/>
  <c r="AK53" i="67"/>
  <c r="AN60" i="15"/>
  <c r="AO53" i="67" s="1"/>
  <c r="AK20" i="15"/>
  <c r="W138" i="27"/>
  <c r="Z138" i="27" s="1"/>
  <c r="AX131" i="67" s="1"/>
  <c r="O138" i="27"/>
  <c r="AK142" i="67"/>
  <c r="AN149" i="15"/>
  <c r="AO142" i="67" s="1"/>
  <c r="AN54" i="15"/>
  <c r="AO47" i="67" s="1"/>
  <c r="U145" i="15"/>
  <c r="V145" i="15" s="1"/>
  <c r="T138" i="67"/>
  <c r="Z145" i="15"/>
  <c r="AA138" i="67" s="1"/>
  <c r="T68" i="67"/>
  <c r="Z75" i="15"/>
  <c r="AA68" i="67" s="1"/>
  <c r="U75" i="15"/>
  <c r="V75" i="15" s="1"/>
  <c r="AN32" i="15"/>
  <c r="AO25" i="67" s="1"/>
  <c r="AK25" i="67"/>
  <c r="AK32" i="15"/>
  <c r="V63" i="67"/>
  <c r="AA70" i="15"/>
  <c r="AB63" i="67" s="1"/>
  <c r="AK140" i="67"/>
  <c r="AN147" i="15"/>
  <c r="AO140" i="67" s="1"/>
  <c r="AO38" i="15"/>
  <c r="AL31" i="67"/>
  <c r="T29" i="67"/>
  <c r="Z36" i="15"/>
  <c r="AA29" i="67" s="1"/>
  <c r="U36" i="15"/>
  <c r="V36" i="15" s="1"/>
  <c r="T44" i="67"/>
  <c r="Z51" i="15"/>
  <c r="AA44" i="67" s="1"/>
  <c r="U51" i="15"/>
  <c r="V51" i="15" s="1"/>
  <c r="T16" i="67"/>
  <c r="Z23" i="15"/>
  <c r="AA16" i="67" s="1"/>
  <c r="U23" i="15"/>
  <c r="V23" i="15" s="1"/>
  <c r="AN56" i="15"/>
  <c r="AO49" i="67" s="1"/>
  <c r="U167" i="15"/>
  <c r="Z167" i="15"/>
  <c r="AA160" i="67" s="1"/>
  <c r="Z22" i="15"/>
  <c r="AA15" i="67" s="1"/>
  <c r="T15" i="67"/>
  <c r="U22" i="15"/>
  <c r="V22" i="15" s="1"/>
  <c r="AK48" i="67"/>
  <c r="AN55" i="15"/>
  <c r="AO48" i="67" s="1"/>
  <c r="Z37" i="15"/>
  <c r="AA30" i="67" s="1"/>
  <c r="U37" i="15"/>
  <c r="V37" i="15" s="1"/>
  <c r="T30" i="67"/>
  <c r="AL72" i="67"/>
  <c r="AO79" i="15"/>
  <c r="T61" i="67"/>
  <c r="U68" i="15"/>
  <c r="V68" i="15" s="1"/>
  <c r="Z68" i="15"/>
  <c r="AA61" i="67" s="1"/>
  <c r="W164" i="27"/>
  <c r="Z164" i="27" s="1"/>
  <c r="AX157" i="67" s="1"/>
  <c r="O164" i="27"/>
  <c r="AN47" i="15"/>
  <c r="AO40" i="67" s="1"/>
  <c r="AK40" i="67"/>
  <c r="Z69" i="15"/>
  <c r="AA62" i="67" s="1"/>
  <c r="T62" i="67"/>
  <c r="U69" i="15"/>
  <c r="V69" i="15" s="1"/>
  <c r="AK95" i="67"/>
  <c r="AN102" i="15"/>
  <c r="AO95" i="67" s="1"/>
  <c r="U158" i="15"/>
  <c r="V158" i="15" s="1"/>
  <c r="Z158" i="15"/>
  <c r="AA151" i="67" s="1"/>
  <c r="T151" i="67"/>
  <c r="T137" i="67"/>
  <c r="U144" i="15"/>
  <c r="V144" i="15" s="1"/>
  <c r="Z144" i="15"/>
  <c r="AA137" i="67" s="1"/>
  <c r="AN41" i="15"/>
  <c r="AO34" i="67" s="1"/>
  <c r="AK34" i="67"/>
  <c r="AK128" i="67"/>
  <c r="AN135" i="15"/>
  <c r="AO128" i="67" s="1"/>
  <c r="AK135" i="15"/>
  <c r="AK110" i="67"/>
  <c r="AN117" i="15"/>
  <c r="AO110" i="67" s="1"/>
  <c r="AN52" i="15"/>
  <c r="AO45" i="67" s="1"/>
  <c r="AK45" i="67"/>
  <c r="AL125" i="67"/>
  <c r="AO132" i="15"/>
  <c r="Z143" i="15"/>
  <c r="AA136" i="67" s="1"/>
  <c r="T136" i="67"/>
  <c r="U143" i="15"/>
  <c r="V143" i="15" s="1"/>
  <c r="AN159" i="15"/>
  <c r="AO152" i="67" s="1"/>
  <c r="AK152" i="67"/>
  <c r="AK42" i="67"/>
  <c r="AN49" i="15"/>
  <c r="AO42" i="67" s="1"/>
  <c r="AK59" i="67"/>
  <c r="AN66" i="15"/>
  <c r="AO59" i="67" s="1"/>
  <c r="AK66" i="15"/>
  <c r="AL101" i="67"/>
  <c r="AO108" i="15"/>
  <c r="AK77" i="15"/>
  <c r="AL108" i="67"/>
  <c r="AO115" i="15"/>
  <c r="AK111" i="67"/>
  <c r="AN118" i="15"/>
  <c r="AO111" i="67" s="1"/>
  <c r="AK155" i="15"/>
  <c r="AN155" i="15"/>
  <c r="AO148" i="67" s="1"/>
  <c r="AK148" i="67"/>
  <c r="AK91" i="67"/>
  <c r="AK98" i="15"/>
  <c r="AN98" i="15"/>
  <c r="AO91" i="67" s="1"/>
  <c r="T75" i="67"/>
  <c r="Z82" i="15"/>
  <c r="AA75" i="67" s="1"/>
  <c r="U82" i="15"/>
  <c r="V82" i="15" s="1"/>
  <c r="AN115" i="15"/>
  <c r="AO108" i="67" s="1"/>
  <c r="AK108" i="67"/>
  <c r="T133" i="67"/>
  <c r="Z140" i="15"/>
  <c r="AA133" i="67" s="1"/>
  <c r="U140" i="15"/>
  <c r="V140" i="15" s="1"/>
  <c r="AO109" i="15"/>
  <c r="AL102" i="67"/>
  <c r="AL142" i="67"/>
  <c r="Z60" i="15"/>
  <c r="AA53" i="67" s="1"/>
  <c r="T53" i="67"/>
  <c r="U60" i="15"/>
  <c r="V60" i="15" s="1"/>
  <c r="AK4" i="67"/>
  <c r="AN11" i="15"/>
  <c r="AO4" i="67" s="1"/>
  <c r="AK56" i="67"/>
  <c r="AN63" i="15"/>
  <c r="AO56" i="67" s="1"/>
  <c r="Z149" i="15"/>
  <c r="AA142" i="67" s="1"/>
  <c r="U149" i="15"/>
  <c r="V149" i="15" s="1"/>
  <c r="T142" i="67"/>
  <c r="AK26" i="15"/>
  <c r="AN157" i="15"/>
  <c r="AO150" i="67" s="1"/>
  <c r="AK150" i="67"/>
  <c r="T24" i="67"/>
  <c r="Z31" i="15"/>
  <c r="AA24" i="67" s="1"/>
  <c r="U31" i="15"/>
  <c r="V31" i="15" s="1"/>
  <c r="U154" i="15"/>
  <c r="V154" i="15" s="1"/>
  <c r="Z154" i="15"/>
  <c r="AA147" i="67" s="1"/>
  <c r="T147" i="67"/>
  <c r="Z103" i="15"/>
  <c r="AA96" i="67" s="1"/>
  <c r="U103" i="15"/>
  <c r="V103" i="15" s="1"/>
  <c r="T96" i="67"/>
  <c r="AK39" i="67"/>
  <c r="AN46" i="15"/>
  <c r="AO39" i="67" s="1"/>
  <c r="T77" i="67"/>
  <c r="Z84" i="15"/>
  <c r="AA77" i="67" s="1"/>
  <c r="U84" i="15"/>
  <c r="V84" i="15" s="1"/>
  <c r="Z32" i="15"/>
  <c r="AA25" i="67" s="1"/>
  <c r="T25" i="67"/>
  <c r="U32" i="15"/>
  <c r="V32" i="15" s="1"/>
  <c r="AK133" i="15"/>
  <c r="AL56" i="67"/>
  <c r="AO63" i="15"/>
  <c r="Z125" i="15"/>
  <c r="AA118" i="67" s="1"/>
  <c r="T118" i="67"/>
  <c r="U125" i="15"/>
  <c r="V125" i="15" s="1"/>
  <c r="AK50" i="15"/>
  <c r="AK43" i="67"/>
  <c r="AN50" i="15"/>
  <c r="AO43" i="67" s="1"/>
  <c r="AN137" i="15"/>
  <c r="AO130" i="67" s="1"/>
  <c r="AK56" i="15"/>
  <c r="AL49" i="67" s="1"/>
  <c r="AK18" i="67"/>
  <c r="AN25" i="15"/>
  <c r="AO18" i="67" s="1"/>
  <c r="AK145" i="67"/>
  <c r="AN152" i="15"/>
  <c r="AO145" i="67" s="1"/>
  <c r="AK73" i="15"/>
  <c r="AK66" i="67"/>
  <c r="AN73" i="15"/>
  <c r="AO66" i="67" s="1"/>
  <c r="AO60" i="15"/>
  <c r="AL53" i="67"/>
  <c r="Z47" i="15"/>
  <c r="AA40" i="67" s="1"/>
  <c r="T40" i="67"/>
  <c r="U47" i="15"/>
  <c r="V47" i="15" s="1"/>
  <c r="T32" i="67"/>
  <c r="Z39" i="15"/>
  <c r="AA32" i="67" s="1"/>
  <c r="U39" i="15"/>
  <c r="V39" i="15" s="1"/>
  <c r="AK90" i="67"/>
  <c r="AN97" i="15"/>
  <c r="AO90" i="67" s="1"/>
  <c r="AO78" i="15"/>
  <c r="AL71" i="67"/>
  <c r="AK70" i="15"/>
  <c r="U165" i="15"/>
  <c r="V165" i="15" s="1"/>
  <c r="T128" i="67"/>
  <c r="Z135" i="15"/>
  <c r="AA128" i="67" s="1"/>
  <c r="U135" i="15"/>
  <c r="V135" i="15" s="1"/>
  <c r="T110" i="67"/>
  <c r="U117" i="15"/>
  <c r="V117" i="15" s="1"/>
  <c r="Z117" i="15"/>
  <c r="AA110" i="67" s="1"/>
  <c r="AK104" i="67"/>
  <c r="AN111" i="15"/>
  <c r="AO104" i="67" s="1"/>
  <c r="AK143" i="15"/>
  <c r="AK71" i="67"/>
  <c r="AN78" i="15"/>
  <c r="AO71" i="67" s="1"/>
  <c r="T23" i="67"/>
  <c r="U30" i="15"/>
  <c r="V30" i="15" s="1"/>
  <c r="Z66" i="15"/>
  <c r="AA59" i="67" s="1"/>
  <c r="T59" i="67"/>
  <c r="U66" i="15"/>
  <c r="V66" i="15" s="1"/>
  <c r="Z113" i="15"/>
  <c r="AA106" i="67" s="1"/>
  <c r="T106" i="67"/>
  <c r="U113" i="15"/>
  <c r="V113" i="15" s="1"/>
  <c r="AA9" i="15"/>
  <c r="AB2" i="67" s="1"/>
  <c r="V2" i="67"/>
  <c r="U155" i="15"/>
  <c r="V155" i="15" s="1"/>
  <c r="Z155" i="15"/>
  <c r="AA148" i="67" s="1"/>
  <c r="T148" i="67"/>
  <c r="Z98" i="15"/>
  <c r="AA91" i="67" s="1"/>
  <c r="T91" i="67"/>
  <c r="U98" i="15"/>
  <c r="V98" i="15" s="1"/>
  <c r="AK131" i="15"/>
  <c r="AN131" i="15"/>
  <c r="AO124" i="67" s="1"/>
  <c r="AK124" i="67"/>
  <c r="AN139" i="15"/>
  <c r="AO132" i="67" s="1"/>
  <c r="AK139" i="15"/>
  <c r="AK132" i="67"/>
  <c r="AK67" i="15"/>
  <c r="AK16" i="67"/>
  <c r="AN23" i="15"/>
  <c r="AO16" i="67" s="1"/>
  <c r="T4" i="67"/>
  <c r="U11" i="15"/>
  <c r="V11" i="15" s="1"/>
  <c r="Z11" i="15"/>
  <c r="AA4" i="67" s="1"/>
  <c r="AK86" i="67"/>
  <c r="AN93" i="15"/>
  <c r="AO86" i="67" s="1"/>
  <c r="T102" i="67"/>
  <c r="Z109" i="15"/>
  <c r="AA102" i="67" s="1"/>
  <c r="U109" i="15"/>
  <c r="V109" i="15" s="1"/>
  <c r="AK5" i="67"/>
  <c r="AN12" i="15"/>
  <c r="AO5" i="67" s="1"/>
  <c r="AK12" i="15"/>
  <c r="AK82" i="15"/>
  <c r="U157" i="15"/>
  <c r="V157" i="15" s="1"/>
  <c r="Z157" i="15"/>
  <c r="AA150" i="67" s="1"/>
  <c r="T150" i="67"/>
  <c r="W36" i="27"/>
  <c r="Z36" i="27" s="1"/>
  <c r="AX29" i="67" s="1"/>
  <c r="O36" i="27"/>
  <c r="AK154" i="15"/>
  <c r="AN154" i="15"/>
  <c r="AO147" i="67" s="1"/>
  <c r="AK147" i="67"/>
  <c r="T39" i="67"/>
  <c r="Z46" i="15"/>
  <c r="AA39" i="67" s="1"/>
  <c r="U46" i="15"/>
  <c r="V46" i="15" s="1"/>
  <c r="T8" i="67"/>
  <c r="Z15" i="15"/>
  <c r="AA8" i="67" s="1"/>
  <c r="U15" i="15"/>
  <c r="V15" i="15" s="1"/>
  <c r="AA58" i="15"/>
  <c r="AB51" i="67" s="1"/>
  <c r="V51" i="67"/>
  <c r="AO150" i="15"/>
  <c r="AL143" i="67"/>
  <c r="Z164" i="15"/>
  <c r="AA157" i="67" s="1"/>
  <c r="U164" i="15"/>
  <c r="V164" i="15" s="1"/>
  <c r="T157" i="67"/>
  <c r="AN96" i="15"/>
  <c r="AO89" i="67" s="1"/>
  <c r="AK89" i="67"/>
  <c r="AK127" i="67"/>
  <c r="AN134" i="15"/>
  <c r="AO127" i="67" s="1"/>
  <c r="AL73" i="67"/>
  <c r="AO80" i="15"/>
  <c r="AK92" i="67"/>
  <c r="AN99" i="15"/>
  <c r="AO92" i="67" s="1"/>
  <c r="AK109" i="67"/>
  <c r="AN116" i="15"/>
  <c r="AO109" i="67" s="1"/>
  <c r="AN65" i="15"/>
  <c r="AO58" i="67" s="1"/>
  <c r="AK65" i="15"/>
  <c r="AK58" i="67"/>
  <c r="AO102" i="15"/>
  <c r="AL95" i="67"/>
  <c r="AK78" i="67"/>
  <c r="AN85" i="15"/>
  <c r="AO78" i="67" s="1"/>
  <c r="AK6" i="67"/>
  <c r="AN13" i="15"/>
  <c r="AO6" i="67" s="1"/>
  <c r="T18" i="67"/>
  <c r="Z25" i="15"/>
  <c r="AA18" i="67" s="1"/>
  <c r="U25" i="15"/>
  <c r="V25" i="15" s="1"/>
  <c r="T145" i="67"/>
  <c r="Z152" i="15"/>
  <c r="AA145" i="67" s="1"/>
  <c r="U152" i="15"/>
  <c r="V152" i="15" s="1"/>
  <c r="AK121" i="67"/>
  <c r="AN128" i="15"/>
  <c r="AO121" i="67" s="1"/>
  <c r="T28" i="67"/>
  <c r="U35" i="15"/>
  <c r="V35" i="15" s="1"/>
  <c r="Z35" i="15"/>
  <c r="AA28" i="67" s="1"/>
  <c r="W73" i="27"/>
  <c r="Z73" i="27" s="1"/>
  <c r="AX66" i="67" s="1"/>
  <c r="O73" i="27"/>
  <c r="O119" i="27"/>
  <c r="W119" i="27"/>
  <c r="Z119" i="27" s="1"/>
  <c r="AX112" i="67" s="1"/>
  <c r="AK62" i="67"/>
  <c r="AN69" i="15"/>
  <c r="AO62" i="67" s="1"/>
  <c r="AK14" i="67"/>
  <c r="AN21" i="15"/>
  <c r="AO14" i="67" s="1"/>
  <c r="AN39" i="15"/>
  <c r="AO32" i="67" s="1"/>
  <c r="AK32" i="67"/>
  <c r="Z97" i="15"/>
  <c r="AA90" i="67" s="1"/>
  <c r="T90" i="67"/>
  <c r="U97" i="15"/>
  <c r="V97" i="15" s="1"/>
  <c r="AK167" i="15"/>
  <c r="AK114" i="15"/>
  <c r="O134" i="27"/>
  <c r="W134" i="27"/>
  <c r="Z134" i="27" s="1"/>
  <c r="AX127" i="67" s="1"/>
  <c r="AO158" i="67"/>
  <c r="U38" i="15"/>
  <c r="V38" i="15" s="1"/>
  <c r="T31" i="67"/>
  <c r="Z38" i="15"/>
  <c r="AA31" i="67" s="1"/>
  <c r="Z34" i="15"/>
  <c r="AA27" i="67" s="1"/>
  <c r="U34" i="15"/>
  <c r="V34" i="15" s="1"/>
  <c r="T27" i="67"/>
  <c r="AA132" i="15"/>
  <c r="AB125" i="67" s="1"/>
  <c r="V125" i="67"/>
  <c r="U111" i="15"/>
  <c r="V111" i="15" s="1"/>
  <c r="T104" i="67"/>
  <c r="Z111" i="15"/>
  <c r="AA104" i="67" s="1"/>
  <c r="O110" i="27"/>
  <c r="W110" i="27"/>
  <c r="Z110" i="27" s="1"/>
  <c r="AX103" i="67" s="1"/>
  <c r="AN153" i="15"/>
  <c r="AO146" i="67" s="1"/>
  <c r="AK146" i="67"/>
  <c r="AK114" i="67"/>
  <c r="AN121" i="15"/>
  <c r="AO114" i="67" s="1"/>
  <c r="U105" i="15"/>
  <c r="V105" i="15" s="1"/>
  <c r="Z105" i="15"/>
  <c r="AA98" i="67" s="1"/>
  <c r="T98" i="67"/>
  <c r="T42" i="67"/>
  <c r="U49" i="15"/>
  <c r="V49" i="15" s="1"/>
  <c r="Z49" i="15"/>
  <c r="AA42" i="67" s="1"/>
  <c r="AN113" i="15"/>
  <c r="AO106" i="67" s="1"/>
  <c r="AK106" i="67"/>
  <c r="AK55" i="15"/>
  <c r="AK86" i="15"/>
  <c r="T57" i="67"/>
  <c r="Z64" i="15"/>
  <c r="AA57" i="67" s="1"/>
  <c r="U64" i="15"/>
  <c r="V64" i="15" s="1"/>
  <c r="Z131" i="15"/>
  <c r="AA124" i="67" s="1"/>
  <c r="U131" i="15"/>
  <c r="V131" i="15" s="1"/>
  <c r="T124" i="67"/>
  <c r="Z139" i="15"/>
  <c r="AA132" i="67" s="1"/>
  <c r="U139" i="15"/>
  <c r="V139" i="15" s="1"/>
  <c r="T132" i="67"/>
  <c r="AK112" i="15"/>
  <c r="AK105" i="67"/>
  <c r="AN112" i="15"/>
  <c r="AO105" i="67" s="1"/>
  <c r="AK141" i="67"/>
  <c r="AK148" i="15"/>
  <c r="AK47" i="15"/>
  <c r="AN43" i="15"/>
  <c r="AO36" i="67" s="1"/>
  <c r="AK43" i="15"/>
  <c r="AK36" i="67"/>
  <c r="T116" i="67"/>
  <c r="U123" i="15"/>
  <c r="V123" i="15" s="1"/>
  <c r="Z123" i="15"/>
  <c r="AA116" i="67" s="1"/>
  <c r="O167" i="27"/>
  <c r="W167" i="27"/>
  <c r="Z167" i="27" s="1"/>
  <c r="AX160" i="67" s="1"/>
  <c r="Z67" i="15"/>
  <c r="AA60" i="67" s="1"/>
  <c r="T60" i="67"/>
  <c r="U67" i="15"/>
  <c r="V67" i="15" s="1"/>
  <c r="U161" i="15"/>
  <c r="V161" i="15" s="1"/>
  <c r="Z161" i="15"/>
  <c r="AA154" i="67" s="1"/>
  <c r="T154" i="67"/>
  <c r="AN129" i="15"/>
  <c r="AO122" i="67" s="1"/>
  <c r="AK122" i="67"/>
  <c r="T86" i="67"/>
  <c r="U93" i="15"/>
  <c r="V93" i="15" s="1"/>
  <c r="Z93" i="15"/>
  <c r="AA86" i="67" s="1"/>
  <c r="AK102" i="67"/>
  <c r="AN109" i="15"/>
  <c r="AO102" i="67" s="1"/>
  <c r="T5" i="67"/>
  <c r="Z12" i="15"/>
  <c r="AA5" i="67" s="1"/>
  <c r="U12" i="15"/>
  <c r="V12" i="15" s="1"/>
  <c r="AK143" i="67"/>
  <c r="AN150" i="15"/>
  <c r="AO143" i="67" s="1"/>
  <c r="AK93" i="67"/>
  <c r="AN100" i="15"/>
  <c r="AO93" i="67" s="1"/>
  <c r="AK24" i="67"/>
  <c r="AN31" i="15"/>
  <c r="AO24" i="67" s="1"/>
  <c r="AK96" i="67"/>
  <c r="AN103" i="15"/>
  <c r="AO96" i="67" s="1"/>
  <c r="AK20" i="67"/>
  <c r="AN27" i="15"/>
  <c r="AO20" i="67" s="1"/>
  <c r="AK77" i="67"/>
  <c r="AN84" i="15"/>
  <c r="AO77" i="67" s="1"/>
  <c r="AK8" i="67"/>
  <c r="AN15" i="15"/>
  <c r="AO8" i="67" s="1"/>
  <c r="AA29" i="15"/>
  <c r="AB22" i="67" s="1"/>
  <c r="V22" i="67"/>
  <c r="AK89" i="15"/>
  <c r="AK111" i="15"/>
  <c r="AK127" i="15"/>
  <c r="W165" i="27"/>
  <c r="Z165" i="27" s="1"/>
  <c r="AX158" i="67" s="1"/>
  <c r="O165" i="27"/>
  <c r="AW158" i="67" s="1"/>
  <c r="AN61" i="15"/>
  <c r="AO54" i="67" s="1"/>
  <c r="AK54" i="67"/>
  <c r="AK126" i="15"/>
  <c r="AN126" i="15"/>
  <c r="AO119" i="67" s="1"/>
  <c r="AK119" i="67"/>
  <c r="AK134" i="67"/>
  <c r="AN141" i="15"/>
  <c r="AO134" i="67" s="1"/>
  <c r="T74" i="67"/>
  <c r="U81" i="15"/>
  <c r="V81" i="15" s="1"/>
  <c r="AK90" i="15"/>
  <c r="AN90" i="15"/>
  <c r="AO83" i="67" s="1"/>
  <c r="AK83" i="67"/>
  <c r="AN95" i="15"/>
  <c r="AO88" i="67" s="1"/>
  <c r="AK88" i="67"/>
  <c r="AA83" i="15"/>
  <c r="AB76" i="67" s="1"/>
  <c r="V76" i="67"/>
  <c r="V14" i="67"/>
  <c r="AA21" i="15"/>
  <c r="AB14" i="67" s="1"/>
  <c r="AK162" i="15"/>
  <c r="AN162" i="15"/>
  <c r="AO155" i="67" s="1"/>
  <c r="AK155" i="67"/>
  <c r="U59" i="15"/>
  <c r="V59" i="15" s="1"/>
  <c r="T52" i="67"/>
  <c r="Z59" i="15"/>
  <c r="AA52" i="67" s="1"/>
  <c r="O66" i="27"/>
  <c r="W66" i="27"/>
  <c r="Z66" i="27" s="1"/>
  <c r="AX59" i="67" s="1"/>
  <c r="AN163" i="15"/>
  <c r="AO156" i="67" s="1"/>
  <c r="AK156" i="67"/>
  <c r="T94" i="67"/>
  <c r="U101" i="15"/>
  <c r="V101" i="15" s="1"/>
  <c r="Z101" i="15"/>
  <c r="AA94" i="67" s="1"/>
  <c r="AN107" i="15"/>
  <c r="AO100" i="67" s="1"/>
  <c r="AK100" i="67"/>
  <c r="Z73" i="15"/>
  <c r="AA66" i="67" s="1"/>
  <c r="T66" i="67"/>
  <c r="U73" i="15"/>
  <c r="V73" i="15" s="1"/>
  <c r="AK28" i="67"/>
  <c r="AN35" i="15"/>
  <c r="AO28" i="67" s="1"/>
  <c r="AO110" i="15"/>
  <c r="AL103" i="67"/>
  <c r="AL24" i="67"/>
  <c r="AO31" i="15"/>
  <c r="AK128" i="15"/>
  <c r="U166" i="15"/>
  <c r="Z166" i="15"/>
  <c r="AA159" i="67" s="1"/>
  <c r="Z79" i="15"/>
  <c r="AA72" i="67" s="1"/>
  <c r="T72" i="67"/>
  <c r="U79" i="15"/>
  <c r="V79" i="15" s="1"/>
  <c r="T129" i="67"/>
  <c r="U136" i="15"/>
  <c r="V136" i="15" s="1"/>
  <c r="Z136" i="15"/>
  <c r="AA129" i="67" s="1"/>
  <c r="T131" i="67"/>
  <c r="Z138" i="15"/>
  <c r="AA131" i="67" s="1"/>
  <c r="U138" i="15"/>
  <c r="V138" i="15" s="1"/>
  <c r="AK39" i="15"/>
  <c r="AN38" i="15"/>
  <c r="AO31" i="67" s="1"/>
  <c r="AK31" i="67"/>
  <c r="Z94" i="15"/>
  <c r="AA87" i="67" s="1"/>
  <c r="T87" i="67"/>
  <c r="U94" i="15"/>
  <c r="V94" i="15" s="1"/>
  <c r="AK27" i="67"/>
  <c r="AN34" i="15"/>
  <c r="AO27" i="67" s="1"/>
  <c r="AK2" i="67"/>
  <c r="AN9" i="15"/>
  <c r="AO2" i="67" s="1"/>
  <c r="AK139" i="67"/>
  <c r="AN146" i="15"/>
  <c r="AO139" i="67" s="1"/>
  <c r="AO153" i="15"/>
  <c r="AL146" i="67"/>
  <c r="AK13" i="15"/>
  <c r="T112" i="67"/>
  <c r="Z119" i="15"/>
  <c r="AA112" i="67" s="1"/>
  <c r="U119" i="15"/>
  <c r="V119" i="15" s="1"/>
  <c r="AK25" i="15"/>
  <c r="U153" i="15"/>
  <c r="V153" i="15" s="1"/>
  <c r="Z153" i="15"/>
  <c r="AA146" i="67" s="1"/>
  <c r="T146" i="67"/>
  <c r="Z121" i="15"/>
  <c r="AA114" i="67" s="1"/>
  <c r="T114" i="67"/>
  <c r="U121" i="15"/>
  <c r="V121" i="15" s="1"/>
  <c r="AN105" i="15"/>
  <c r="AO98" i="67" s="1"/>
  <c r="AK98" i="67"/>
  <c r="AN36" i="15"/>
  <c r="AO29" i="67" s="1"/>
  <c r="AK29" i="67"/>
  <c r="AK99" i="67"/>
  <c r="AN106" i="15"/>
  <c r="AO99" i="67" s="1"/>
  <c r="AK116" i="15"/>
  <c r="O46" i="27"/>
  <c r="W46" i="27"/>
  <c r="Z46" i="27" s="1"/>
  <c r="AX39" i="67" s="1"/>
  <c r="AK57" i="67"/>
  <c r="AN64" i="15"/>
  <c r="AO57" i="67" s="1"/>
  <c r="AK64" i="15"/>
  <c r="U110" i="15"/>
  <c r="V110" i="15" s="1"/>
  <c r="T103" i="67"/>
  <c r="Z110" i="15"/>
  <c r="AA103" i="67" s="1"/>
  <c r="T105" i="67"/>
  <c r="Z112" i="15"/>
  <c r="AA105" i="67" s="1"/>
  <c r="U112" i="15"/>
  <c r="V112" i="15" s="1"/>
  <c r="T141" i="67"/>
  <c r="U148" i="15"/>
  <c r="V148" i="15" s="1"/>
  <c r="AO157" i="15"/>
  <c r="AL150" i="67"/>
  <c r="AK137" i="15"/>
  <c r="AK22" i="15"/>
  <c r="T36" i="67"/>
  <c r="Z43" i="15"/>
  <c r="AA36" i="67" s="1"/>
  <c r="U43" i="15"/>
  <c r="V43" i="15" s="1"/>
  <c r="AN123" i="15"/>
  <c r="AO116" i="67" s="1"/>
  <c r="AK123" i="15"/>
  <c r="AK116" i="67"/>
  <c r="AK161" i="15"/>
  <c r="AN161" i="15"/>
  <c r="AO154" i="67" s="1"/>
  <c r="AK154" i="67"/>
  <c r="U129" i="15"/>
  <c r="V129" i="15" s="1"/>
  <c r="Z129" i="15"/>
  <c r="AA122" i="67" s="1"/>
  <c r="T122" i="67"/>
  <c r="T101" i="67"/>
  <c r="Z108" i="15"/>
  <c r="AA101" i="67" s="1"/>
  <c r="U108" i="15"/>
  <c r="V108" i="15" s="1"/>
  <c r="T143" i="67"/>
  <c r="U150" i="15"/>
  <c r="V150" i="15" s="1"/>
  <c r="Z150" i="15"/>
  <c r="AA143" i="67" s="1"/>
  <c r="U100" i="15"/>
  <c r="V100" i="15" s="1"/>
  <c r="T93" i="67"/>
  <c r="Z100" i="15"/>
  <c r="AA93" i="67" s="1"/>
  <c r="AK152" i="15"/>
  <c r="T12" i="67"/>
  <c r="U19" i="15"/>
  <c r="V19" i="15" s="1"/>
  <c r="AK57" i="15"/>
  <c r="AN57" i="15"/>
  <c r="AO50" i="67" s="1"/>
  <c r="AK50" i="67"/>
  <c r="T20" i="67"/>
  <c r="U27" i="15"/>
  <c r="V27" i="15" s="1"/>
  <c r="Z27" i="15"/>
  <c r="AA20" i="67" s="1"/>
  <c r="U89" i="15"/>
  <c r="V89" i="15" s="1"/>
  <c r="T82" i="67"/>
  <c r="AK69" i="67"/>
  <c r="AN76" i="15"/>
  <c r="AO69" i="67" s="1"/>
  <c r="AK76" i="15"/>
  <c r="T54" i="67"/>
  <c r="Z61" i="15"/>
  <c r="AA54" i="67" s="1"/>
  <c r="U61" i="15"/>
  <c r="V61" i="15" s="1"/>
  <c r="AK34" i="15"/>
  <c r="AN148" i="15"/>
  <c r="AO141" i="67" s="1"/>
  <c r="V34" i="67"/>
  <c r="AA41" i="15"/>
  <c r="AB34" i="67" s="1"/>
  <c r="AL77" i="67"/>
  <c r="AO84" i="15"/>
  <c r="T99" i="67"/>
  <c r="Z106" i="15"/>
  <c r="AA99" i="67" s="1"/>
  <c r="U106" i="15"/>
  <c r="V106" i="15" s="1"/>
  <c r="O166" i="27"/>
  <c r="W166" i="27"/>
  <c r="Z166" i="27" s="1"/>
  <c r="AX159" i="67" s="1"/>
  <c r="AN156" i="15"/>
  <c r="AO149" i="67" s="1"/>
  <c r="AK149" i="67"/>
  <c r="T50" i="67"/>
  <c r="Z57" i="15"/>
  <c r="AA50" i="67" s="1"/>
  <c r="U57" i="15"/>
  <c r="V57" i="15" s="1"/>
  <c r="Z81" i="15"/>
  <c r="AA74" i="67" s="1"/>
  <c r="U163" i="15"/>
  <c r="V163" i="15" s="1"/>
  <c r="Z163" i="15"/>
  <c r="AA156" i="67" s="1"/>
  <c r="T156" i="67"/>
  <c r="AK94" i="67"/>
  <c r="AN101" i="15"/>
  <c r="AO94" i="67" s="1"/>
  <c r="AN122" i="15"/>
  <c r="AO115" i="67" s="1"/>
  <c r="AK115" i="67"/>
  <c r="AK122" i="15"/>
  <c r="Z107" i="15"/>
  <c r="AA100" i="67" s="1"/>
  <c r="U107" i="15"/>
  <c r="V107" i="15" s="1"/>
  <c r="T100" i="67"/>
  <c r="AK135" i="67"/>
  <c r="AN142" i="15"/>
  <c r="AO135" i="67" s="1"/>
  <c r="AL46" i="67"/>
  <c r="AO53" i="15"/>
  <c r="AK72" i="67"/>
  <c r="AN79" i="15"/>
  <c r="AO72" i="67" s="1"/>
  <c r="AN136" i="15"/>
  <c r="AO129" i="67" s="1"/>
  <c r="AK129" i="67"/>
  <c r="AK136" i="15"/>
  <c r="AK131" i="67"/>
  <c r="AN138" i="15"/>
  <c r="AO131" i="67" s="1"/>
  <c r="T89" i="67"/>
  <c r="Z96" i="15"/>
  <c r="AA89" i="67" s="1"/>
  <c r="U96" i="15"/>
  <c r="V96" i="15" s="1"/>
  <c r="Z141" i="15"/>
  <c r="AA134" i="67" s="1"/>
  <c r="T134" i="67"/>
  <c r="U141" i="15"/>
  <c r="AK97" i="15"/>
  <c r="AK87" i="67"/>
  <c r="AN94" i="15"/>
  <c r="AO87" i="67" s="1"/>
  <c r="U146" i="15"/>
  <c r="V146" i="15" s="1"/>
  <c r="T139" i="67"/>
  <c r="Z146" i="15"/>
  <c r="AA139" i="67" s="1"/>
  <c r="AL139" i="67"/>
  <c r="AO146" i="15"/>
  <c r="AK72" i="15"/>
  <c r="AN119" i="15"/>
  <c r="AO112" i="67" s="1"/>
  <c r="AK112" i="67"/>
  <c r="AK119" i="15"/>
  <c r="O115" i="27"/>
  <c r="W115" i="27"/>
  <c r="Z115" i="27" s="1"/>
  <c r="AX108" i="67" s="1"/>
  <c r="T92" i="67"/>
  <c r="U99" i="15"/>
  <c r="V99" i="15" s="1"/>
  <c r="Z99" i="15"/>
  <c r="AA92" i="67" s="1"/>
  <c r="T64" i="67"/>
  <c r="U71" i="15"/>
  <c r="V71" i="15" s="1"/>
  <c r="Z71" i="15"/>
  <c r="AA64" i="67" s="1"/>
  <c r="AK117" i="15"/>
  <c r="AK103" i="67"/>
  <c r="AN110" i="15"/>
  <c r="AO103" i="67" s="1"/>
  <c r="AK10" i="67"/>
  <c r="AN17" i="15"/>
  <c r="AO10" i="67" s="1"/>
  <c r="Z95" i="15"/>
  <c r="AA88" i="67" s="1"/>
  <c r="T88" i="67"/>
  <c r="U95" i="15"/>
  <c r="V95" i="15" s="1"/>
  <c r="AK107" i="15"/>
  <c r="AK81" i="15"/>
  <c r="AK71" i="15"/>
  <c r="W105" i="27"/>
  <c r="Z105" i="27" s="1"/>
  <c r="AX98" i="67" s="1"/>
  <c r="O105" i="27"/>
  <c r="AK101" i="67"/>
  <c r="AN108" i="15"/>
  <c r="AO101" i="67" s="1"/>
  <c r="Z88" i="15"/>
  <c r="AA81" i="67" s="1"/>
  <c r="T81" i="67"/>
  <c r="U88" i="15"/>
  <c r="V88" i="15" s="1"/>
  <c r="AK164" i="15"/>
  <c r="AK118" i="15"/>
  <c r="AK46" i="67"/>
  <c r="AN53" i="15"/>
  <c r="AO46" i="67" s="1"/>
  <c r="U76" i="15"/>
  <c r="V76" i="15" s="1"/>
  <c r="Z76" i="15"/>
  <c r="AA69" i="67" s="1"/>
  <c r="T69" i="67"/>
  <c r="AK59" i="15"/>
  <c r="AN59" i="15"/>
  <c r="AO52" i="67" s="1"/>
  <c r="AK52" i="67"/>
  <c r="AK41" i="15"/>
  <c r="AK35" i="15"/>
  <c r="AL54" i="67"/>
  <c r="AO61" i="15"/>
  <c r="T6" i="67"/>
  <c r="U13" i="15"/>
  <c r="V13" i="15" s="1"/>
  <c r="Z13" i="15"/>
  <c r="AA6" i="67" s="1"/>
  <c r="V9" i="67"/>
  <c r="AA102" i="15"/>
  <c r="AB95" i="67" s="1"/>
  <c r="V95" i="67"/>
  <c r="AW51" i="67"/>
  <c r="AM58" i="27"/>
  <c r="AM71" i="27"/>
  <c r="AW64" i="67"/>
  <c r="AW65" i="67"/>
  <c r="AM72" i="27"/>
  <c r="AP85" i="15"/>
  <c r="AQ78" i="67" s="1"/>
  <c r="AP78" i="67"/>
  <c r="AL38" i="67"/>
  <c r="AO45" i="15"/>
  <c r="V67" i="67"/>
  <c r="W67" i="67"/>
  <c r="AA74" i="15"/>
  <c r="AB67" i="67" s="1"/>
  <c r="O74" i="27"/>
  <c r="W74" i="27"/>
  <c r="Z74" i="27" s="1"/>
  <c r="AX67" i="67" s="1"/>
  <c r="AO40" i="15"/>
  <c r="AL33" i="67"/>
  <c r="V121" i="67"/>
  <c r="AA128" i="15"/>
  <c r="AB121" i="67" s="1"/>
  <c r="O102" i="27"/>
  <c r="W102" i="27"/>
  <c r="Z102" i="27" s="1"/>
  <c r="AX95" i="67" s="1"/>
  <c r="AL67" i="67"/>
  <c r="AO74" i="15"/>
  <c r="V80" i="67"/>
  <c r="AA87" i="15"/>
  <c r="AB80" i="67" s="1"/>
  <c r="AA40" i="15"/>
  <c r="AB33" i="67" s="1"/>
  <c r="V33" i="67"/>
  <c r="Y115" i="67"/>
  <c r="AL62" i="67" l="1"/>
  <c r="AL20" i="67"/>
  <c r="AO145" i="15"/>
  <c r="AP138" i="67" s="1"/>
  <c r="AW219" i="67"/>
  <c r="AM226" i="27"/>
  <c r="AL220" i="67"/>
  <c r="AO227" i="15"/>
  <c r="AA122" i="15"/>
  <c r="AB115" i="67" s="1"/>
  <c r="AA225" i="15"/>
  <c r="AB218" i="67" s="1"/>
  <c r="V225" i="15"/>
  <c r="V218" i="67"/>
  <c r="V97" i="67"/>
  <c r="AM225" i="27"/>
  <c r="AW218" i="67"/>
  <c r="V226" i="15"/>
  <c r="V219" i="67"/>
  <c r="AA226" i="15"/>
  <c r="AB219" i="67" s="1"/>
  <c r="V227" i="15"/>
  <c r="V220" i="67"/>
  <c r="AA227" i="15"/>
  <c r="AB220" i="67" s="1"/>
  <c r="AW220" i="67"/>
  <c r="AM227" i="27"/>
  <c r="AA104" i="15"/>
  <c r="AB97" i="67" s="1"/>
  <c r="AO11" i="15"/>
  <c r="AL8" i="67"/>
  <c r="AO100" i="15"/>
  <c r="AM224" i="27"/>
  <c r="AW217" i="67"/>
  <c r="AO226" i="15"/>
  <c r="AL219" i="67"/>
  <c r="V228" i="15"/>
  <c r="V221" i="67"/>
  <c r="AA228" i="15"/>
  <c r="AB221" i="67" s="1"/>
  <c r="AL218" i="67"/>
  <c r="AO225" i="15"/>
  <c r="V115" i="67"/>
  <c r="AW221" i="67"/>
  <c r="AM228" i="27"/>
  <c r="AO228" i="15"/>
  <c r="AL221" i="67"/>
  <c r="AO224" i="15"/>
  <c r="AP217" i="67" s="1"/>
  <c r="AL217" i="67"/>
  <c r="AO46" i="15"/>
  <c r="AA120" i="15"/>
  <c r="AB113" i="67" s="1"/>
  <c r="V113" i="67"/>
  <c r="AL42" i="67"/>
  <c r="V224" i="15"/>
  <c r="W217" i="67" s="1"/>
  <c r="AA224" i="15"/>
  <c r="AB217" i="67" s="1"/>
  <c r="W125" i="27"/>
  <c r="Z125" i="27" s="1"/>
  <c r="AX118" i="67" s="1"/>
  <c r="AL201" i="67"/>
  <c r="AO208" i="15"/>
  <c r="AO223" i="15"/>
  <c r="AP216" i="67" s="1"/>
  <c r="AL189" i="67"/>
  <c r="AO196" i="15"/>
  <c r="AW178" i="67"/>
  <c r="AM185" i="27"/>
  <c r="V181" i="15"/>
  <c r="W174" i="67" s="1"/>
  <c r="AA181" i="15"/>
  <c r="AB174" i="67" s="1"/>
  <c r="V174" i="67"/>
  <c r="AL170" i="67"/>
  <c r="AO177" i="15"/>
  <c r="AA198" i="15"/>
  <c r="AB191" i="67" s="1"/>
  <c r="V198" i="15"/>
  <c r="W191" i="67" s="1"/>
  <c r="V191" i="67"/>
  <c r="AL171" i="67"/>
  <c r="AO178" i="15"/>
  <c r="AW170" i="67"/>
  <c r="AM177" i="27"/>
  <c r="AO183" i="15"/>
  <c r="AL176" i="67"/>
  <c r="AL180" i="67"/>
  <c r="AO187" i="15"/>
  <c r="AL198" i="67"/>
  <c r="AO205" i="15"/>
  <c r="AL194" i="67"/>
  <c r="AO201" i="15"/>
  <c r="AL192" i="67"/>
  <c r="AO199" i="15"/>
  <c r="AM194" i="27"/>
  <c r="AW187" i="67"/>
  <c r="AA141" i="15"/>
  <c r="AB134" i="67" s="1"/>
  <c r="V141" i="15"/>
  <c r="V159" i="67"/>
  <c r="V166" i="15"/>
  <c r="V162" i="67"/>
  <c r="V169" i="15"/>
  <c r="AA215" i="15"/>
  <c r="AB208" i="67" s="1"/>
  <c r="V215" i="15"/>
  <c r="AW189" i="67"/>
  <c r="AM196" i="27"/>
  <c r="AL185" i="67"/>
  <c r="AO192" i="15"/>
  <c r="V189" i="67"/>
  <c r="V196" i="15"/>
  <c r="W189" i="67" s="1"/>
  <c r="AA196" i="15"/>
  <c r="AB189" i="67" s="1"/>
  <c r="AO207" i="15"/>
  <c r="AL200" i="67"/>
  <c r="V177" i="15"/>
  <c r="V170" i="67"/>
  <c r="AA177" i="15"/>
  <c r="AB170" i="67" s="1"/>
  <c r="AM216" i="27"/>
  <c r="AW173" i="67"/>
  <c r="AM180" i="27"/>
  <c r="AO216" i="15"/>
  <c r="AP209" i="67" s="1"/>
  <c r="V178" i="15"/>
  <c r="V171" i="67"/>
  <c r="AA178" i="15"/>
  <c r="AB171" i="67" s="1"/>
  <c r="V183" i="15"/>
  <c r="W176" i="67" s="1"/>
  <c r="V176" i="67"/>
  <c r="AA183" i="15"/>
  <c r="AB176" i="67" s="1"/>
  <c r="AA201" i="15"/>
  <c r="AB194" i="67" s="1"/>
  <c r="V201" i="15"/>
  <c r="V194" i="67"/>
  <c r="AM223" i="27"/>
  <c r="AW198" i="67"/>
  <c r="AM205" i="27"/>
  <c r="V213" i="15"/>
  <c r="AA213" i="15"/>
  <c r="AB206" i="67" s="1"/>
  <c r="AM178" i="27"/>
  <c r="AW171" i="67"/>
  <c r="AO134" i="15"/>
  <c r="AP127" i="67" s="1"/>
  <c r="AO215" i="15"/>
  <c r="AP208" i="67" s="1"/>
  <c r="V200" i="15"/>
  <c r="W193" i="67" s="1"/>
  <c r="AA200" i="15"/>
  <c r="AB193" i="67" s="1"/>
  <c r="V193" i="67"/>
  <c r="AM189" i="27"/>
  <c r="AW182" i="67"/>
  <c r="AA192" i="15"/>
  <c r="AB185" i="67" s="1"/>
  <c r="V192" i="15"/>
  <c r="W185" i="67" s="1"/>
  <c r="V185" i="67"/>
  <c r="AL175" i="67"/>
  <c r="AO182" i="15"/>
  <c r="V207" i="15"/>
  <c r="W200" i="67" s="1"/>
  <c r="V200" i="67"/>
  <c r="AA207" i="15"/>
  <c r="AB200" i="67" s="1"/>
  <c r="AO190" i="15"/>
  <c r="AL183" i="67"/>
  <c r="AW205" i="67"/>
  <c r="AM212" i="27"/>
  <c r="AM192" i="27"/>
  <c r="AW185" i="67"/>
  <c r="V216" i="15"/>
  <c r="W209" i="67" s="1"/>
  <c r="AA216" i="15"/>
  <c r="AB209" i="67" s="1"/>
  <c r="AA212" i="15"/>
  <c r="AB205" i="67" s="1"/>
  <c r="V212" i="15"/>
  <c r="W205" i="67" s="1"/>
  <c r="V205" i="67"/>
  <c r="AM202" i="27"/>
  <c r="AW195" i="67"/>
  <c r="V222" i="15"/>
  <c r="W215" i="67" s="1"/>
  <c r="AA222" i="15"/>
  <c r="AB215" i="67" s="1"/>
  <c r="V197" i="15"/>
  <c r="W190" i="67" s="1"/>
  <c r="AA197" i="15"/>
  <c r="AB190" i="67" s="1"/>
  <c r="V190" i="67"/>
  <c r="AM220" i="27"/>
  <c r="AM211" i="27"/>
  <c r="AW204" i="67"/>
  <c r="AM204" i="27"/>
  <c r="AW197" i="67"/>
  <c r="V214" i="15"/>
  <c r="AA214" i="15"/>
  <c r="AB207" i="67" s="1"/>
  <c r="AM181" i="27"/>
  <c r="AW174" i="67"/>
  <c r="AO213" i="15"/>
  <c r="AP206" i="67" s="1"/>
  <c r="AO209" i="15"/>
  <c r="AL202" i="67"/>
  <c r="AM210" i="27"/>
  <c r="AW203" i="67"/>
  <c r="AL193" i="67"/>
  <c r="AO200" i="15"/>
  <c r="V182" i="15"/>
  <c r="W175" i="67" s="1"/>
  <c r="AA182" i="15"/>
  <c r="AB175" i="67" s="1"/>
  <c r="V175" i="67"/>
  <c r="AL196" i="67"/>
  <c r="AO203" i="15"/>
  <c r="AW196" i="67"/>
  <c r="AM203" i="27"/>
  <c r="V183" i="67"/>
  <c r="V190" i="15"/>
  <c r="AA190" i="15"/>
  <c r="AB183" i="67" s="1"/>
  <c r="V188" i="15"/>
  <c r="W181" i="67" s="1"/>
  <c r="V181" i="67"/>
  <c r="AA188" i="15"/>
  <c r="AB181" i="67" s="1"/>
  <c r="AL205" i="67"/>
  <c r="AO212" i="15"/>
  <c r="AM222" i="27"/>
  <c r="AO222" i="15"/>
  <c r="AP215" i="67" s="1"/>
  <c r="AL190" i="67"/>
  <c r="AO197" i="15"/>
  <c r="AL186" i="67"/>
  <c r="AO193" i="15"/>
  <c r="AM199" i="27"/>
  <c r="AW192" i="67"/>
  <c r="AO214" i="15"/>
  <c r="AP207" i="67" s="1"/>
  <c r="AO202" i="15"/>
  <c r="AL195" i="67"/>
  <c r="AM186" i="27"/>
  <c r="AW179" i="67"/>
  <c r="V209" i="15"/>
  <c r="W202" i="67" s="1"/>
  <c r="V202" i="67"/>
  <c r="AA209" i="15"/>
  <c r="AB202" i="67" s="1"/>
  <c r="AM197" i="27"/>
  <c r="AW190" i="67"/>
  <c r="AL197" i="67"/>
  <c r="AO204" i="15"/>
  <c r="AA219" i="15"/>
  <c r="AB212" i="67" s="1"/>
  <c r="V219" i="15"/>
  <c r="W212" i="67" s="1"/>
  <c r="V160" i="67"/>
  <c r="V167" i="15"/>
  <c r="V163" i="67"/>
  <c r="V170" i="15"/>
  <c r="W163" i="67" s="1"/>
  <c r="AA171" i="15"/>
  <c r="AB164" i="67" s="1"/>
  <c r="V171" i="15"/>
  <c r="AL173" i="67"/>
  <c r="AO180" i="15"/>
  <c r="AM214" i="27"/>
  <c r="AO217" i="15"/>
  <c r="AP210" i="67" s="1"/>
  <c r="V203" i="15"/>
  <c r="V196" i="67"/>
  <c r="AA203" i="15"/>
  <c r="AB196" i="67" s="1"/>
  <c r="AM195" i="27"/>
  <c r="AW188" i="67"/>
  <c r="V218" i="15"/>
  <c r="W211" i="67" s="1"/>
  <c r="AA218" i="15"/>
  <c r="AB211" i="67" s="1"/>
  <c r="AL181" i="67"/>
  <c r="AO188" i="15"/>
  <c r="AO189" i="15"/>
  <c r="AL182" i="67"/>
  <c r="AW199" i="67"/>
  <c r="AM206" i="27"/>
  <c r="V193" i="15"/>
  <c r="W186" i="67" s="1"/>
  <c r="AA193" i="15"/>
  <c r="AB186" i="67" s="1"/>
  <c r="V186" i="67"/>
  <c r="AM217" i="27"/>
  <c r="V220" i="15"/>
  <c r="W213" i="67" s="1"/>
  <c r="AA220" i="15"/>
  <c r="AB213" i="67" s="1"/>
  <c r="V202" i="15"/>
  <c r="V195" i="67"/>
  <c r="AA202" i="15"/>
  <c r="AB195" i="67" s="1"/>
  <c r="AM182" i="27"/>
  <c r="AW175" i="67"/>
  <c r="V184" i="15"/>
  <c r="W177" i="67" s="1"/>
  <c r="V177" i="67"/>
  <c r="AA184" i="15"/>
  <c r="AB177" i="67" s="1"/>
  <c r="AW202" i="67"/>
  <c r="AM209" i="27"/>
  <c r="V204" i="15"/>
  <c r="W197" i="67" s="1"/>
  <c r="AA204" i="15"/>
  <c r="AB197" i="67" s="1"/>
  <c r="V197" i="67"/>
  <c r="V180" i="15"/>
  <c r="W173" i="67" s="1"/>
  <c r="AA180" i="15"/>
  <c r="AB173" i="67" s="1"/>
  <c r="V173" i="67"/>
  <c r="V179" i="15"/>
  <c r="AA179" i="15"/>
  <c r="AB172" i="67" s="1"/>
  <c r="V172" i="67"/>
  <c r="AA217" i="15"/>
  <c r="AB210" i="67" s="1"/>
  <c r="V217" i="15"/>
  <c r="W210" i="67" s="1"/>
  <c r="V195" i="15"/>
  <c r="W188" i="67" s="1"/>
  <c r="V188" i="67"/>
  <c r="AA195" i="15"/>
  <c r="AB188" i="67" s="1"/>
  <c r="AO218" i="15"/>
  <c r="AP211" i="67" s="1"/>
  <c r="AL204" i="67"/>
  <c r="AO211" i="15"/>
  <c r="AM191" i="27"/>
  <c r="AW184" i="67"/>
  <c r="AM201" i="27"/>
  <c r="AW194" i="67"/>
  <c r="V189" i="15"/>
  <c r="V182" i="67"/>
  <c r="AA189" i="15"/>
  <c r="AB182" i="67" s="1"/>
  <c r="V185" i="15"/>
  <c r="W178" i="67" s="1"/>
  <c r="V178" i="67"/>
  <c r="AA185" i="15"/>
  <c r="AB178" i="67" s="1"/>
  <c r="AM188" i="27"/>
  <c r="AW181" i="67"/>
  <c r="AM221" i="27"/>
  <c r="AL199" i="67"/>
  <c r="AO206" i="15"/>
  <c r="AM208" i="27"/>
  <c r="AW201" i="67"/>
  <c r="AM193" i="27"/>
  <c r="AW186" i="67"/>
  <c r="AO220" i="15"/>
  <c r="AP213" i="67" s="1"/>
  <c r="V191" i="15"/>
  <c r="V184" i="67"/>
  <c r="AA191" i="15"/>
  <c r="AB184" i="67" s="1"/>
  <c r="AM179" i="27"/>
  <c r="AW172" i="67"/>
  <c r="AL177" i="67"/>
  <c r="AO184" i="15"/>
  <c r="V210" i="15"/>
  <c r="W203" i="67" s="1"/>
  <c r="AA210" i="15"/>
  <c r="AB203" i="67" s="1"/>
  <c r="V203" i="67"/>
  <c r="AA90" i="15"/>
  <c r="AB83" i="67" s="1"/>
  <c r="AL172" i="67"/>
  <c r="AO179" i="15"/>
  <c r="AW180" i="67"/>
  <c r="AM187" i="27"/>
  <c r="AO195" i="15"/>
  <c r="AL188" i="67"/>
  <c r="AM219" i="27"/>
  <c r="AM184" i="27"/>
  <c r="AW177" i="67"/>
  <c r="V211" i="15"/>
  <c r="W204" i="67" s="1"/>
  <c r="AA211" i="15"/>
  <c r="AB204" i="67" s="1"/>
  <c r="V204" i="67"/>
  <c r="V187" i="67"/>
  <c r="V194" i="15"/>
  <c r="W187" i="67" s="1"/>
  <c r="AA194" i="15"/>
  <c r="AB187" i="67" s="1"/>
  <c r="AO185" i="15"/>
  <c r="AL178" i="67"/>
  <c r="AM190" i="27"/>
  <c r="AW183" i="67"/>
  <c r="V206" i="15"/>
  <c r="W199" i="67" s="1"/>
  <c r="AA206" i="15"/>
  <c r="AB199" i="67" s="1"/>
  <c r="V199" i="67"/>
  <c r="AL179" i="67"/>
  <c r="AO186" i="15"/>
  <c r="AL184" i="67"/>
  <c r="AO191" i="15"/>
  <c r="AA221" i="15"/>
  <c r="AB214" i="67" s="1"/>
  <c r="V221" i="15"/>
  <c r="W214" i="67" s="1"/>
  <c r="AL203" i="67"/>
  <c r="AO210" i="15"/>
  <c r="AW193" i="67"/>
  <c r="AM200" i="27"/>
  <c r="V83" i="67"/>
  <c r="V208" i="15"/>
  <c r="W201" i="67" s="1"/>
  <c r="V201" i="67"/>
  <c r="AA208" i="15"/>
  <c r="AB201" i="67" s="1"/>
  <c r="V223" i="15"/>
  <c r="W216" i="67" s="1"/>
  <c r="AA223" i="15"/>
  <c r="AB216" i="67" s="1"/>
  <c r="AL174" i="67"/>
  <c r="AO181" i="15"/>
  <c r="AM215" i="27"/>
  <c r="AM183" i="27"/>
  <c r="AW176" i="67"/>
  <c r="AL187" i="67"/>
  <c r="AO194" i="15"/>
  <c r="AL191" i="67"/>
  <c r="AO198" i="15"/>
  <c r="AO219" i="15"/>
  <c r="AP212" i="67" s="1"/>
  <c r="V186" i="15"/>
  <c r="W179" i="67" s="1"/>
  <c r="AA186" i="15"/>
  <c r="AB179" i="67" s="1"/>
  <c r="V179" i="67"/>
  <c r="AW191" i="67"/>
  <c r="AM198" i="27"/>
  <c r="V187" i="15"/>
  <c r="W180" i="67" s="1"/>
  <c r="V180" i="67"/>
  <c r="AA187" i="15"/>
  <c r="AB180" i="67" s="1"/>
  <c r="V205" i="15"/>
  <c r="W198" i="67" s="1"/>
  <c r="AA205" i="15"/>
  <c r="AB198" i="67" s="1"/>
  <c r="V198" i="67"/>
  <c r="AM218" i="27"/>
  <c r="AW200" i="67"/>
  <c r="AM207" i="27"/>
  <c r="AO221" i="15"/>
  <c r="AP214" i="67" s="1"/>
  <c r="V199" i="15"/>
  <c r="W192" i="67" s="1"/>
  <c r="AA199" i="15"/>
  <c r="AB192" i="67" s="1"/>
  <c r="V192" i="67"/>
  <c r="AM213" i="27"/>
  <c r="V85" i="67"/>
  <c r="V92" i="15"/>
  <c r="W85" i="67" s="1"/>
  <c r="AA33" i="15"/>
  <c r="AB26" i="67" s="1"/>
  <c r="V33" i="15"/>
  <c r="W26" i="67" s="1"/>
  <c r="V65" i="67"/>
  <c r="V72" i="15"/>
  <c r="W65" i="67" s="1"/>
  <c r="AA28" i="15"/>
  <c r="AB21" i="67" s="1"/>
  <c r="V28" i="15"/>
  <c r="W21" i="67" s="1"/>
  <c r="AA48" i="15"/>
  <c r="AB41" i="67" s="1"/>
  <c r="V48" i="15"/>
  <c r="AA24" i="15"/>
  <c r="AB17" i="67" s="1"/>
  <c r="V24" i="15"/>
  <c r="O17" i="27"/>
  <c r="AW10" i="67" s="1"/>
  <c r="O31" i="27"/>
  <c r="AM31" i="27" s="1"/>
  <c r="O23" i="27"/>
  <c r="AW16" i="67" s="1"/>
  <c r="AW138" i="67"/>
  <c r="AO168" i="15"/>
  <c r="AP161" i="67" s="1"/>
  <c r="AL41" i="67"/>
  <c r="O37" i="27"/>
  <c r="AM37" i="27" s="1"/>
  <c r="V26" i="67"/>
  <c r="O131" i="27"/>
  <c r="AM131" i="27" s="1"/>
  <c r="AM121" i="27"/>
  <c r="W70" i="27"/>
  <c r="Z70" i="27" s="1"/>
  <c r="AX63" i="67" s="1"/>
  <c r="AW63" i="67"/>
  <c r="O141" i="27"/>
  <c r="AM141" i="27" s="1"/>
  <c r="V38" i="67"/>
  <c r="AO33" i="15"/>
  <c r="AP26" i="67" s="1"/>
  <c r="W21" i="27"/>
  <c r="Z21" i="27" s="1"/>
  <c r="AX14" i="67" s="1"/>
  <c r="AA45" i="15"/>
  <c r="AB38" i="67" s="1"/>
  <c r="O107" i="27"/>
  <c r="AM107" i="27" s="1"/>
  <c r="O95" i="27"/>
  <c r="AM95" i="27" s="1"/>
  <c r="V41" i="67"/>
  <c r="AM30" i="27"/>
  <c r="W41" i="67"/>
  <c r="O34" i="27"/>
  <c r="AW27" i="67" s="1"/>
  <c r="W69" i="27"/>
  <c r="Z69" i="27" s="1"/>
  <c r="AX62" i="67" s="1"/>
  <c r="W130" i="27"/>
  <c r="Z130" i="27" s="1"/>
  <c r="AX123" i="67" s="1"/>
  <c r="O19" i="27"/>
  <c r="AW12" i="67" s="1"/>
  <c r="W45" i="27"/>
  <c r="Z45" i="27" s="1"/>
  <c r="AX38" i="67" s="1"/>
  <c r="AO87" i="15"/>
  <c r="AP87" i="15" s="1"/>
  <c r="AQ80" i="67" s="1"/>
  <c r="W124" i="27"/>
  <c r="Z124" i="27" s="1"/>
  <c r="AX117" i="67" s="1"/>
  <c r="O128" i="27"/>
  <c r="AM128" i="27" s="1"/>
  <c r="O14" i="27"/>
  <c r="AW7" i="67" s="1"/>
  <c r="O51" i="27"/>
  <c r="AM51" i="27" s="1"/>
  <c r="AL11" i="67"/>
  <c r="W30" i="27"/>
  <c r="Z30" i="27" s="1"/>
  <c r="AX23" i="67" s="1"/>
  <c r="O132" i="27"/>
  <c r="AM132" i="27" s="1"/>
  <c r="W60" i="27"/>
  <c r="Z60" i="27" s="1"/>
  <c r="AX53" i="67" s="1"/>
  <c r="O89" i="27"/>
  <c r="AW82" i="67" s="1"/>
  <c r="O12" i="27"/>
  <c r="AW5" i="67" s="1"/>
  <c r="AL113" i="67"/>
  <c r="O114" i="27"/>
  <c r="AM114" i="27" s="1"/>
  <c r="V164" i="67"/>
  <c r="V11" i="67"/>
  <c r="O153" i="27"/>
  <c r="AA18" i="15"/>
  <c r="AB11" i="67" s="1"/>
  <c r="O75" i="27"/>
  <c r="AM75" i="27" s="1"/>
  <c r="O98" i="27"/>
  <c r="AW91" i="67" s="1"/>
  <c r="W168" i="27"/>
  <c r="Z168" i="27" s="1"/>
  <c r="AX161" i="67" s="1"/>
  <c r="O106" i="27"/>
  <c r="AW99" i="67" s="1"/>
  <c r="W154" i="27"/>
  <c r="Z154" i="27" s="1"/>
  <c r="AX147" i="67" s="1"/>
  <c r="AM81" i="27"/>
  <c r="AO19" i="15"/>
  <c r="O48" i="27"/>
  <c r="AW41" i="67" s="1"/>
  <c r="V158" i="67"/>
  <c r="AA165" i="15"/>
  <c r="AB158" i="67" s="1"/>
  <c r="AP164" i="67"/>
  <c r="O94" i="27"/>
  <c r="AW87" i="67" s="1"/>
  <c r="AP145" i="15"/>
  <c r="AQ138" i="67" s="1"/>
  <c r="AW85" i="67"/>
  <c r="O97" i="27"/>
  <c r="AW90" i="67" s="1"/>
  <c r="W92" i="27"/>
  <c r="Z92" i="27" s="1"/>
  <c r="AX85" i="67" s="1"/>
  <c r="AL22" i="67"/>
  <c r="O78" i="27"/>
  <c r="AW71" i="67" s="1"/>
  <c r="AL117" i="67"/>
  <c r="AA130" i="15"/>
  <c r="AB123" i="67" s="1"/>
  <c r="V123" i="67"/>
  <c r="W56" i="27"/>
  <c r="Z56" i="27" s="1"/>
  <c r="AX49" i="67" s="1"/>
  <c r="AO10" i="15"/>
  <c r="AP3" i="67" s="1"/>
  <c r="W11" i="27"/>
  <c r="Z11" i="27" s="1"/>
  <c r="AX4" i="67" s="1"/>
  <c r="O55" i="27"/>
  <c r="AW48" i="67" s="1"/>
  <c r="W15" i="27"/>
  <c r="Z15" i="27" s="1"/>
  <c r="AX8" i="67" s="1"/>
  <c r="W157" i="27"/>
  <c r="Z157" i="27" s="1"/>
  <c r="AX150" i="67" s="1"/>
  <c r="W118" i="27"/>
  <c r="Z118" i="27" s="1"/>
  <c r="AX111" i="67" s="1"/>
  <c r="W151" i="27"/>
  <c r="Z151" i="27" s="1"/>
  <c r="AX144" i="67" s="1"/>
  <c r="W155" i="27"/>
  <c r="Z155" i="27" s="1"/>
  <c r="AX148" i="67" s="1"/>
  <c r="W81" i="27"/>
  <c r="Z81" i="27" s="1"/>
  <c r="AX74" i="67" s="1"/>
  <c r="W85" i="27"/>
  <c r="Z85" i="27" s="1"/>
  <c r="AX78" i="67" s="1"/>
  <c r="W22" i="27"/>
  <c r="Z22" i="27" s="1"/>
  <c r="AX15" i="67" s="1"/>
  <c r="W133" i="27"/>
  <c r="Z133" i="27" s="1"/>
  <c r="AX126" i="67" s="1"/>
  <c r="AM26" i="27"/>
  <c r="W87" i="27"/>
  <c r="Z87" i="27" s="1"/>
  <c r="AX80" i="67" s="1"/>
  <c r="O33" i="27"/>
  <c r="AW26" i="67" s="1"/>
  <c r="AO28" i="15"/>
  <c r="AP28" i="15" s="1"/>
  <c r="AQ21" i="67" s="1"/>
  <c r="O10" i="27"/>
  <c r="AW3" i="67" s="1"/>
  <c r="W57" i="27"/>
  <c r="Z57" i="27" s="1"/>
  <c r="AX50" i="67" s="1"/>
  <c r="O59" i="27"/>
  <c r="AW52" i="67" s="1"/>
  <c r="W79" i="27"/>
  <c r="Z79" i="27" s="1"/>
  <c r="AX72" i="67" s="1"/>
  <c r="O54" i="27"/>
  <c r="AM54" i="27" s="1"/>
  <c r="AL35" i="67"/>
  <c r="W149" i="27"/>
  <c r="Z149" i="27" s="1"/>
  <c r="AX142" i="67" s="1"/>
  <c r="W41" i="27"/>
  <c r="Z41" i="27" s="1"/>
  <c r="AX34" i="67" s="1"/>
  <c r="W116" i="27"/>
  <c r="Z116" i="27" s="1"/>
  <c r="AX109" i="67" s="1"/>
  <c r="V17" i="67"/>
  <c r="W65" i="27"/>
  <c r="Z65" i="27" s="1"/>
  <c r="AX58" i="67" s="1"/>
  <c r="O65" i="27"/>
  <c r="W93" i="27"/>
  <c r="Z93" i="27" s="1"/>
  <c r="AX86" i="67" s="1"/>
  <c r="O93" i="27"/>
  <c r="W86" i="27"/>
  <c r="Z86" i="27" s="1"/>
  <c r="AX79" i="67" s="1"/>
  <c r="O86" i="27"/>
  <c r="W158" i="27"/>
  <c r="Z158" i="27" s="1"/>
  <c r="AX151" i="67" s="1"/>
  <c r="O91" i="27"/>
  <c r="AW84" i="67" s="1"/>
  <c r="W169" i="27"/>
  <c r="Z169" i="27" s="1"/>
  <c r="AX162" i="67" s="1"/>
  <c r="O160" i="27"/>
  <c r="AW153" i="67" s="1"/>
  <c r="O127" i="27"/>
  <c r="AW120" i="67" s="1"/>
  <c r="O53" i="27"/>
  <c r="W53" i="27"/>
  <c r="Z53" i="27" s="1"/>
  <c r="AX46" i="67" s="1"/>
  <c r="W164" i="67"/>
  <c r="W169" i="67"/>
  <c r="V169" i="67"/>
  <c r="AA176" i="15"/>
  <c r="AB169" i="67" s="1"/>
  <c r="AW141" i="67"/>
  <c r="O83" i="27"/>
  <c r="AW76" i="67" s="1"/>
  <c r="W38" i="27"/>
  <c r="Z38" i="27" s="1"/>
  <c r="AX31" i="67" s="1"/>
  <c r="W120" i="27"/>
  <c r="Z120" i="27" s="1"/>
  <c r="AX113" i="67" s="1"/>
  <c r="W156" i="27"/>
  <c r="Z156" i="27" s="1"/>
  <c r="AX149" i="67" s="1"/>
  <c r="O35" i="27"/>
  <c r="AW28" i="67" s="1"/>
  <c r="W100" i="27"/>
  <c r="Z100" i="27" s="1"/>
  <c r="AX93" i="67" s="1"/>
  <c r="W76" i="27"/>
  <c r="Z76" i="27" s="1"/>
  <c r="AX69" i="67" s="1"/>
  <c r="O143" i="27"/>
  <c r="AW136" i="67" s="1"/>
  <c r="AL169" i="67"/>
  <c r="AO176" i="15"/>
  <c r="AM84" i="27"/>
  <c r="W176" i="27"/>
  <c r="Z176" i="27" s="1"/>
  <c r="AX169" i="67" s="1"/>
  <c r="O176" i="27"/>
  <c r="AO54" i="15"/>
  <c r="AP54" i="15" s="1"/>
  <c r="AQ47" i="67" s="1"/>
  <c r="W49" i="27"/>
  <c r="Z49" i="27" s="1"/>
  <c r="AX42" i="67" s="1"/>
  <c r="O82" i="27"/>
  <c r="AW75" i="67" s="1"/>
  <c r="AO175" i="15"/>
  <c r="AL168" i="67"/>
  <c r="O172" i="27"/>
  <c r="AW165" i="67" s="1"/>
  <c r="W172" i="27"/>
  <c r="Z172" i="27" s="1"/>
  <c r="AX165" i="67" s="1"/>
  <c r="V168" i="67"/>
  <c r="W168" i="67"/>
  <c r="AA175" i="15"/>
  <c r="AB168" i="67" s="1"/>
  <c r="V166" i="67"/>
  <c r="AA173" i="15"/>
  <c r="AB166" i="67" s="1"/>
  <c r="W166" i="67"/>
  <c r="AA174" i="15"/>
  <c r="AB167" i="67" s="1"/>
  <c r="W167" i="67"/>
  <c r="V167" i="67"/>
  <c r="O62" i="27"/>
  <c r="W62" i="27"/>
  <c r="Z62" i="27" s="1"/>
  <c r="AX55" i="67" s="1"/>
  <c r="O173" i="27"/>
  <c r="AW166" i="67" s="1"/>
  <c r="W173" i="27"/>
  <c r="Z173" i="27" s="1"/>
  <c r="AX166" i="67" s="1"/>
  <c r="AM122" i="27"/>
  <c r="AW115" i="67"/>
  <c r="AM40" i="27"/>
  <c r="AO174" i="15"/>
  <c r="AL167" i="67"/>
  <c r="O61" i="27"/>
  <c r="AM61" i="27" s="1"/>
  <c r="W175" i="27"/>
  <c r="Z175" i="27" s="1"/>
  <c r="AX168" i="67" s="1"/>
  <c r="O175" i="27"/>
  <c r="AW168" i="67" s="1"/>
  <c r="AP173" i="15"/>
  <c r="AQ166" i="67" s="1"/>
  <c r="AP166" i="67"/>
  <c r="AL165" i="67"/>
  <c r="AO172" i="15"/>
  <c r="W174" i="27"/>
  <c r="Z174" i="27" s="1"/>
  <c r="AX167" i="67" s="1"/>
  <c r="O174" i="27"/>
  <c r="AW167" i="67" s="1"/>
  <c r="AA172" i="15"/>
  <c r="AB165" i="67" s="1"/>
  <c r="W165" i="67"/>
  <c r="V165" i="67"/>
  <c r="W25" i="27"/>
  <c r="Z25" i="27" s="1"/>
  <c r="AX18" i="67" s="1"/>
  <c r="O25" i="27"/>
  <c r="W17" i="67"/>
  <c r="AW21" i="67"/>
  <c r="AM28" i="27"/>
  <c r="AO62" i="15"/>
  <c r="AP55" i="67" s="1"/>
  <c r="W39" i="27"/>
  <c r="Z39" i="27" s="1"/>
  <c r="AX32" i="67" s="1"/>
  <c r="W9" i="27"/>
  <c r="Z9" i="27" s="1"/>
  <c r="AX2" i="67" s="1"/>
  <c r="O64" i="27"/>
  <c r="AW57" i="67" s="1"/>
  <c r="O113" i="27"/>
  <c r="W113" i="27"/>
  <c r="Z113" i="27" s="1"/>
  <c r="AX106" i="67" s="1"/>
  <c r="O77" i="27"/>
  <c r="W77" i="27"/>
  <c r="Z77" i="27" s="1"/>
  <c r="AX70" i="67" s="1"/>
  <c r="O171" i="27"/>
  <c r="AW164" i="67" s="1"/>
  <c r="W171" i="27"/>
  <c r="Z171" i="27" s="1"/>
  <c r="AX164" i="67" s="1"/>
  <c r="W108" i="27"/>
  <c r="Z108" i="27" s="1"/>
  <c r="AX101" i="67" s="1"/>
  <c r="O108" i="27"/>
  <c r="O50" i="27"/>
  <c r="W50" i="27"/>
  <c r="Z50" i="27" s="1"/>
  <c r="AX43" i="67" s="1"/>
  <c r="W103" i="27"/>
  <c r="Z103" i="27" s="1"/>
  <c r="AX96" i="67" s="1"/>
  <c r="O103" i="27"/>
  <c r="AM101" i="27"/>
  <c r="AW94" i="67"/>
  <c r="O52" i="27"/>
  <c r="AM52" i="27" s="1"/>
  <c r="O43" i="27"/>
  <c r="W43" i="27"/>
  <c r="Z43" i="27" s="1"/>
  <c r="AX36" i="67" s="1"/>
  <c r="W29" i="27"/>
  <c r="Z29" i="27" s="1"/>
  <c r="AX22" i="67" s="1"/>
  <c r="O29" i="27"/>
  <c r="O44" i="27"/>
  <c r="W44" i="27"/>
  <c r="Z44" i="27" s="1"/>
  <c r="AX37" i="67" s="1"/>
  <c r="W146" i="27"/>
  <c r="Z146" i="27" s="1"/>
  <c r="AX139" i="67" s="1"/>
  <c r="O146" i="27"/>
  <c r="W150" i="27"/>
  <c r="Z150" i="27" s="1"/>
  <c r="AX143" i="67" s="1"/>
  <c r="O150" i="27"/>
  <c r="W117" i="27"/>
  <c r="Z117" i="27" s="1"/>
  <c r="AX110" i="67" s="1"/>
  <c r="O117" i="27"/>
  <c r="AO56" i="15"/>
  <c r="AP49" i="67" s="1"/>
  <c r="W123" i="27"/>
  <c r="Z123" i="27" s="1"/>
  <c r="AX116" i="67" s="1"/>
  <c r="O123" i="27"/>
  <c r="O147" i="27"/>
  <c r="W147" i="27"/>
  <c r="Z147" i="27" s="1"/>
  <c r="AX140" i="67" s="1"/>
  <c r="W161" i="27"/>
  <c r="Z161" i="27" s="1"/>
  <c r="AX154" i="67" s="1"/>
  <c r="O161" i="27"/>
  <c r="O111" i="27"/>
  <c r="W111" i="27"/>
  <c r="Z111" i="27" s="1"/>
  <c r="AX104" i="67" s="1"/>
  <c r="W47" i="27"/>
  <c r="Z47" i="27" s="1"/>
  <c r="AX40" i="67" s="1"/>
  <c r="O47" i="27"/>
  <c r="AX146" i="67"/>
  <c r="W163" i="27"/>
  <c r="Z163" i="27" s="1"/>
  <c r="AX156" i="67" s="1"/>
  <c r="O163" i="27"/>
  <c r="O137" i="27"/>
  <c r="W137" i="27"/>
  <c r="Z137" i="27" s="1"/>
  <c r="AX130" i="67" s="1"/>
  <c r="O136" i="27"/>
  <c r="W136" i="27"/>
  <c r="Z136" i="27" s="1"/>
  <c r="AX129" i="67" s="1"/>
  <c r="W32" i="27"/>
  <c r="Z32" i="27" s="1"/>
  <c r="AX25" i="67" s="1"/>
  <c r="O32" i="27"/>
  <c r="W112" i="27"/>
  <c r="Z112" i="27" s="1"/>
  <c r="AX105" i="67" s="1"/>
  <c r="O112" i="27"/>
  <c r="O67" i="27"/>
  <c r="W67" i="27"/>
  <c r="Z67" i="27" s="1"/>
  <c r="AX60" i="67" s="1"/>
  <c r="O27" i="27"/>
  <c r="W27" i="27"/>
  <c r="Z27" i="27" s="1"/>
  <c r="AX20" i="67" s="1"/>
  <c r="W96" i="27"/>
  <c r="Z96" i="27" s="1"/>
  <c r="AX89" i="67" s="1"/>
  <c r="O96" i="27"/>
  <c r="AW6" i="67"/>
  <c r="AM13" i="27"/>
  <c r="W129" i="27"/>
  <c r="Z129" i="27" s="1"/>
  <c r="AX122" i="67" s="1"/>
  <c r="O129" i="27"/>
  <c r="W159" i="27"/>
  <c r="Z159" i="27" s="1"/>
  <c r="AX152" i="67" s="1"/>
  <c r="O159" i="27"/>
  <c r="O90" i="27"/>
  <c r="W90" i="27"/>
  <c r="Z90" i="27" s="1"/>
  <c r="AX83" i="67" s="1"/>
  <c r="O88" i="27"/>
  <c r="W88" i="27"/>
  <c r="Z88" i="27" s="1"/>
  <c r="AX81" i="67" s="1"/>
  <c r="AM99" i="27"/>
  <c r="AW92" i="67"/>
  <c r="W135" i="27"/>
  <c r="Z135" i="27" s="1"/>
  <c r="AX128" i="67" s="1"/>
  <c r="O135" i="27"/>
  <c r="O104" i="27"/>
  <c r="W104" i="27"/>
  <c r="Z104" i="27" s="1"/>
  <c r="AX97" i="67" s="1"/>
  <c r="O126" i="27"/>
  <c r="W126" i="27"/>
  <c r="Z126" i="27" s="1"/>
  <c r="AX119" i="67" s="1"/>
  <c r="O63" i="27"/>
  <c r="W63" i="27"/>
  <c r="Z63" i="27" s="1"/>
  <c r="AX56" i="67" s="1"/>
  <c r="O144" i="27"/>
  <c r="W144" i="27"/>
  <c r="Z144" i="27" s="1"/>
  <c r="AX137" i="67" s="1"/>
  <c r="W152" i="27"/>
  <c r="Z152" i="27" s="1"/>
  <c r="AX145" i="67" s="1"/>
  <c r="O152" i="27"/>
  <c r="W162" i="27"/>
  <c r="Z162" i="27" s="1"/>
  <c r="AX155" i="67" s="1"/>
  <c r="O162" i="27"/>
  <c r="O140" i="27"/>
  <c r="W140" i="27"/>
  <c r="Z140" i="27" s="1"/>
  <c r="AX133" i="67" s="1"/>
  <c r="O42" i="27"/>
  <c r="W42" i="27"/>
  <c r="Z42" i="27" s="1"/>
  <c r="AX35" i="67" s="1"/>
  <c r="W68" i="27"/>
  <c r="Z68" i="27" s="1"/>
  <c r="AX61" i="67" s="1"/>
  <c r="O68" i="27"/>
  <c r="AW13" i="67"/>
  <c r="AM20" i="27"/>
  <c r="AM170" i="27"/>
  <c r="AO170" i="15"/>
  <c r="AL163" i="67"/>
  <c r="AM169" i="27"/>
  <c r="AP169" i="15"/>
  <c r="AQ162" i="67" s="1"/>
  <c r="AP162" i="67"/>
  <c r="AW142" i="67"/>
  <c r="AM149" i="27"/>
  <c r="AW34" i="67"/>
  <c r="AM41" i="27"/>
  <c r="AM118" i="27"/>
  <c r="AW111" i="67"/>
  <c r="AM69" i="27"/>
  <c r="AW62" i="67"/>
  <c r="AW144" i="67"/>
  <c r="AM151" i="27"/>
  <c r="AM154" i="27"/>
  <c r="AW147" i="67"/>
  <c r="AW93" i="67"/>
  <c r="AM100" i="27"/>
  <c r="AW126" i="67"/>
  <c r="AM133" i="27"/>
  <c r="AW15" i="67"/>
  <c r="AM22" i="27"/>
  <c r="AW9" i="67"/>
  <c r="AM16" i="27"/>
  <c r="AM57" i="27"/>
  <c r="AW50" i="67"/>
  <c r="AA169" i="15"/>
  <c r="AB162" i="67" s="1"/>
  <c r="W162" i="67"/>
  <c r="AM11" i="27"/>
  <c r="AW4" i="67"/>
  <c r="AW31" i="67"/>
  <c r="AM38" i="27"/>
  <c r="AM85" i="27"/>
  <c r="AW78" i="67"/>
  <c r="AM76" i="27"/>
  <c r="AW69" i="67"/>
  <c r="V21" i="67"/>
  <c r="AW109" i="67"/>
  <c r="AM116" i="27"/>
  <c r="AW11" i="67"/>
  <c r="AM18" i="27"/>
  <c r="AA92" i="15"/>
  <c r="AB85" i="67" s="1"/>
  <c r="AW32" i="67"/>
  <c r="AM39" i="27"/>
  <c r="AM21" i="27"/>
  <c r="AW14" i="67"/>
  <c r="AW53" i="67"/>
  <c r="AM60" i="27"/>
  <c r="AM49" i="27"/>
  <c r="AW42" i="67"/>
  <c r="AW150" i="67"/>
  <c r="AM157" i="27"/>
  <c r="AW151" i="67"/>
  <c r="AM158" i="27"/>
  <c r="AW2" i="67"/>
  <c r="AM9" i="27"/>
  <c r="AA170" i="15"/>
  <c r="AB163" i="67" s="1"/>
  <c r="AW148" i="67"/>
  <c r="AM155" i="27"/>
  <c r="V161" i="67"/>
  <c r="W161" i="67"/>
  <c r="AA168" i="15"/>
  <c r="AB161" i="67" s="1"/>
  <c r="AM156" i="27"/>
  <c r="AW149" i="67"/>
  <c r="AO92" i="15"/>
  <c r="AP92" i="15" s="1"/>
  <c r="AQ85" i="67" s="1"/>
  <c r="AM15" i="27"/>
  <c r="AW8" i="67"/>
  <c r="AM168" i="27"/>
  <c r="AW161" i="67"/>
  <c r="AW118" i="67"/>
  <c r="AM125" i="27"/>
  <c r="AW72" i="67"/>
  <c r="AM79" i="27"/>
  <c r="AA56" i="15"/>
  <c r="AB49" i="67" s="1"/>
  <c r="V49" i="67"/>
  <c r="AO130" i="15"/>
  <c r="AP123" i="67" s="1"/>
  <c r="AA124" i="15"/>
  <c r="AB117" i="67" s="1"/>
  <c r="AA72" i="15"/>
  <c r="AB65" i="67" s="1"/>
  <c r="AL17" i="67"/>
  <c r="AO24" i="15"/>
  <c r="V117" i="67"/>
  <c r="AL9" i="67"/>
  <c r="AO16" i="15"/>
  <c r="AP166" i="15"/>
  <c r="AQ159" i="67" s="1"/>
  <c r="AP159" i="67"/>
  <c r="AO165" i="15"/>
  <c r="AP158" i="67" s="1"/>
  <c r="AO167" i="15"/>
  <c r="AL160" i="67"/>
  <c r="AM166" i="27"/>
  <c r="AW159" i="67"/>
  <c r="AM167" i="27"/>
  <c r="AW160" i="67"/>
  <c r="AL157" i="67"/>
  <c r="AO164" i="15"/>
  <c r="V105" i="67"/>
  <c r="AA112" i="15"/>
  <c r="AB105" i="67" s="1"/>
  <c r="AP146" i="67"/>
  <c r="AP153" i="15"/>
  <c r="AQ146" i="67" s="1"/>
  <c r="V74" i="67"/>
  <c r="AA81" i="15"/>
  <c r="AB74" i="67" s="1"/>
  <c r="AO47" i="15"/>
  <c r="AL40" i="67"/>
  <c r="AO55" i="15"/>
  <c r="AL48" i="67"/>
  <c r="V98" i="67"/>
  <c r="AA105" i="15"/>
  <c r="AB98" i="67" s="1"/>
  <c r="AP143" i="67"/>
  <c r="AP150" i="15"/>
  <c r="AQ143" i="67" s="1"/>
  <c r="AW29" i="67"/>
  <c r="AM36" i="27"/>
  <c r="AA14" i="15"/>
  <c r="AB7" i="67" s="1"/>
  <c r="V7" i="67"/>
  <c r="AA159" i="15"/>
  <c r="AB152" i="67" s="1"/>
  <c r="V152" i="67"/>
  <c r="AO158" i="15"/>
  <c r="AL151" i="67"/>
  <c r="AP37" i="67"/>
  <c r="AP44" i="15"/>
  <c r="AQ37" i="67" s="1"/>
  <c r="AO160" i="15"/>
  <c r="AL153" i="67"/>
  <c r="AW102" i="67"/>
  <c r="AM109" i="27"/>
  <c r="AP29" i="15"/>
  <c r="AQ22" i="67" s="1"/>
  <c r="AP22" i="67"/>
  <c r="Y95" i="67"/>
  <c r="W95" i="67"/>
  <c r="AL52" i="67"/>
  <c r="AO59" i="15"/>
  <c r="V81" i="67"/>
  <c r="AA88" i="15"/>
  <c r="AB81" i="67" s="1"/>
  <c r="AL74" i="67"/>
  <c r="AO81" i="15"/>
  <c r="AA99" i="15"/>
  <c r="AB92" i="67" s="1"/>
  <c r="V92" i="67"/>
  <c r="AP146" i="15"/>
  <c r="AQ139" i="67" s="1"/>
  <c r="AP139" i="67"/>
  <c r="AA163" i="15"/>
  <c r="AB156" i="67" s="1"/>
  <c r="V156" i="67"/>
  <c r="W34" i="67"/>
  <c r="Y34" i="67"/>
  <c r="AL50" i="67"/>
  <c r="AO57" i="15"/>
  <c r="V143" i="67"/>
  <c r="AA150" i="15"/>
  <c r="AB143" i="67" s="1"/>
  <c r="V112" i="67"/>
  <c r="AA119" i="15"/>
  <c r="AB112" i="67" s="1"/>
  <c r="AA166" i="15"/>
  <c r="AB159" i="67" s="1"/>
  <c r="AA101" i="15"/>
  <c r="AB94" i="67" s="1"/>
  <c r="V94" i="67"/>
  <c r="V52" i="67"/>
  <c r="AA59" i="15"/>
  <c r="AB52" i="67" s="1"/>
  <c r="AM165" i="27"/>
  <c r="AL141" i="67"/>
  <c r="AO148" i="15"/>
  <c r="AA111" i="15"/>
  <c r="AB104" i="67" s="1"/>
  <c r="V104" i="67"/>
  <c r="V90" i="67"/>
  <c r="AA97" i="15"/>
  <c r="AB90" i="67" s="1"/>
  <c r="V102" i="67"/>
  <c r="AA109" i="15"/>
  <c r="AB102" i="67" s="1"/>
  <c r="AL124" i="67"/>
  <c r="AO131" i="15"/>
  <c r="Y2" i="67"/>
  <c r="W2" i="67"/>
  <c r="V23" i="67"/>
  <c r="AA30" i="15"/>
  <c r="AB23" i="67" s="1"/>
  <c r="V110" i="67"/>
  <c r="AA117" i="15"/>
  <c r="AB110" i="67" s="1"/>
  <c r="AL63" i="67"/>
  <c r="AO70" i="15"/>
  <c r="V40" i="67"/>
  <c r="AA47" i="15"/>
  <c r="AB40" i="67" s="1"/>
  <c r="AP49" i="15"/>
  <c r="AQ42" i="67" s="1"/>
  <c r="AP42" i="67"/>
  <c r="AA125" i="15"/>
  <c r="AB118" i="67" s="1"/>
  <c r="V118" i="67"/>
  <c r="AA140" i="15"/>
  <c r="AB133" i="67" s="1"/>
  <c r="V133" i="67"/>
  <c r="AP108" i="67"/>
  <c r="AP115" i="15"/>
  <c r="AQ108" i="67" s="1"/>
  <c r="AP125" i="67"/>
  <c r="AP132" i="15"/>
  <c r="AQ125" i="67" s="1"/>
  <c r="AA158" i="15"/>
  <c r="AB151" i="67" s="1"/>
  <c r="V151" i="67"/>
  <c r="AL137" i="67"/>
  <c r="AO144" i="15"/>
  <c r="AO151" i="15"/>
  <c r="AL144" i="67"/>
  <c r="AP16" i="67"/>
  <c r="AP23" i="15"/>
  <c r="AQ16" i="67" s="1"/>
  <c r="AL44" i="67"/>
  <c r="AO51" i="15"/>
  <c r="AL76" i="67"/>
  <c r="AO83" i="15"/>
  <c r="AP10" i="67"/>
  <c r="AP17" i="15"/>
  <c r="AQ10" i="67" s="1"/>
  <c r="AP159" i="15"/>
  <c r="AQ152" i="67" s="1"/>
  <c r="AP152" i="67"/>
  <c r="Y35" i="67"/>
  <c r="W35" i="67"/>
  <c r="AP134" i="67"/>
  <c r="AP141" i="15"/>
  <c r="AQ134" i="67" s="1"/>
  <c r="AP87" i="67"/>
  <c r="AP94" i="15"/>
  <c r="AQ87" i="67" s="1"/>
  <c r="AA12" i="15"/>
  <c r="AB5" i="67" s="1"/>
  <c r="V5" i="67"/>
  <c r="AO65" i="15"/>
  <c r="AL58" i="67"/>
  <c r="AA103" i="15"/>
  <c r="AB96" i="67" s="1"/>
  <c r="V96" i="67"/>
  <c r="V44" i="67"/>
  <c r="AA51" i="15"/>
  <c r="AB44" i="67" s="1"/>
  <c r="V37" i="67"/>
  <c r="AA44" i="15"/>
  <c r="AB37" i="67" s="1"/>
  <c r="AL61" i="67"/>
  <c r="AO68" i="15"/>
  <c r="AA53" i="15"/>
  <c r="AB46" i="67" s="1"/>
  <c r="V46" i="67"/>
  <c r="AP122" i="67"/>
  <c r="AP129" i="15"/>
  <c r="AQ122" i="67" s="1"/>
  <c r="AA55" i="15"/>
  <c r="AB48" i="67" s="1"/>
  <c r="V48" i="67"/>
  <c r="AP94" i="67"/>
  <c r="AP101" i="15"/>
  <c r="AQ94" i="67" s="1"/>
  <c r="AL100" i="67"/>
  <c r="AO107" i="15"/>
  <c r="W97" i="67"/>
  <c r="Y97" i="67"/>
  <c r="AO122" i="15"/>
  <c r="AL115" i="67"/>
  <c r="V99" i="67"/>
  <c r="AA106" i="15"/>
  <c r="AB99" i="67" s="1"/>
  <c r="V12" i="67"/>
  <c r="AA19" i="15"/>
  <c r="AB12" i="67" s="1"/>
  <c r="AL15" i="67"/>
  <c r="AO22" i="15"/>
  <c r="AM46" i="27"/>
  <c r="AW39" i="67"/>
  <c r="AA121" i="15"/>
  <c r="AB114" i="67" s="1"/>
  <c r="V114" i="67"/>
  <c r="W76" i="67"/>
  <c r="Y76" i="67"/>
  <c r="AA131" i="15"/>
  <c r="AB124" i="67" s="1"/>
  <c r="V124" i="67"/>
  <c r="V31" i="67"/>
  <c r="AA38" i="15"/>
  <c r="AB31" i="67" s="1"/>
  <c r="V39" i="67"/>
  <c r="AA46" i="15"/>
  <c r="AB39" i="67" s="1"/>
  <c r="AA98" i="15"/>
  <c r="AB91" i="67" s="1"/>
  <c r="V91" i="67"/>
  <c r="V77" i="67"/>
  <c r="AA84" i="15"/>
  <c r="AB77" i="67" s="1"/>
  <c r="AL19" i="67"/>
  <c r="AO26" i="15"/>
  <c r="AA60" i="15"/>
  <c r="AB53" i="67" s="1"/>
  <c r="V53" i="67"/>
  <c r="AL91" i="67"/>
  <c r="AO98" i="15"/>
  <c r="AM164" i="27"/>
  <c r="AW157" i="67"/>
  <c r="V30" i="67"/>
  <c r="AA37" i="15"/>
  <c r="AB30" i="67" s="1"/>
  <c r="AA167" i="15"/>
  <c r="AB160" i="67" s="1"/>
  <c r="W68" i="67"/>
  <c r="AA75" i="15"/>
  <c r="AB68" i="67" s="1"/>
  <c r="V68" i="67"/>
  <c r="V55" i="67"/>
  <c r="AA62" i="15"/>
  <c r="AB55" i="67" s="1"/>
  <c r="Y79" i="67"/>
  <c r="W79" i="67"/>
  <c r="V78" i="67"/>
  <c r="AA85" i="15"/>
  <c r="AB78" i="67" s="1"/>
  <c r="AP97" i="67"/>
  <c r="AP104" i="15"/>
  <c r="AQ97" i="67" s="1"/>
  <c r="V58" i="67"/>
  <c r="AA65" i="15"/>
  <c r="AB58" i="67" s="1"/>
  <c r="V130" i="67"/>
  <c r="AA137" i="15"/>
  <c r="AB130" i="67" s="1"/>
  <c r="AP114" i="67"/>
  <c r="AP121" i="15"/>
  <c r="AQ114" i="67" s="1"/>
  <c r="AL118" i="67"/>
  <c r="AO125" i="15"/>
  <c r="AL51" i="67"/>
  <c r="AO58" i="15"/>
  <c r="Y83" i="67"/>
  <c r="W83" i="67"/>
  <c r="AP89" i="67"/>
  <c r="AP96" i="15"/>
  <c r="AQ89" i="67" s="1"/>
  <c r="AP14" i="67"/>
  <c r="AP21" i="15"/>
  <c r="AQ14" i="67" s="1"/>
  <c r="AL43" i="67"/>
  <c r="AO50" i="15"/>
  <c r="AA50" i="15"/>
  <c r="AB43" i="67" s="1"/>
  <c r="V43" i="67"/>
  <c r="V127" i="67"/>
  <c r="AA134" i="15"/>
  <c r="AB127" i="67" s="1"/>
  <c r="V3" i="67"/>
  <c r="AA10" i="15"/>
  <c r="AB3" i="67" s="1"/>
  <c r="AP106" i="15"/>
  <c r="AQ99" i="67" s="1"/>
  <c r="AP99" i="67"/>
  <c r="AP54" i="67"/>
  <c r="AP61" i="15"/>
  <c r="AQ54" i="67" s="1"/>
  <c r="V88" i="67"/>
  <c r="AA95" i="15"/>
  <c r="AB88" i="67" s="1"/>
  <c r="AP53" i="15"/>
  <c r="AQ46" i="67" s="1"/>
  <c r="AP46" i="67"/>
  <c r="V50" i="67"/>
  <c r="AA57" i="15"/>
  <c r="AB50" i="67" s="1"/>
  <c r="AL27" i="67"/>
  <c r="AO34" i="15"/>
  <c r="V82" i="67"/>
  <c r="AA89" i="15"/>
  <c r="AB82" i="67" s="1"/>
  <c r="V101" i="67"/>
  <c r="AA108" i="15"/>
  <c r="AB101" i="67" s="1"/>
  <c r="AO161" i="15"/>
  <c r="AL154" i="67"/>
  <c r="AL130" i="67"/>
  <c r="AO137" i="15"/>
  <c r="AO116" i="15"/>
  <c r="AL109" i="67"/>
  <c r="V129" i="67"/>
  <c r="AA136" i="15"/>
  <c r="AB129" i="67" s="1"/>
  <c r="W66" i="67"/>
  <c r="V66" i="67"/>
  <c r="AA73" i="15"/>
  <c r="AB66" i="67" s="1"/>
  <c r="AL120" i="67"/>
  <c r="AO127" i="15"/>
  <c r="AA123" i="15"/>
  <c r="AB116" i="67" s="1"/>
  <c r="V116" i="67"/>
  <c r="AM119" i="27"/>
  <c r="AW112" i="67"/>
  <c r="V145" i="67"/>
  <c r="AA152" i="15"/>
  <c r="AB145" i="67" s="1"/>
  <c r="W51" i="67"/>
  <c r="Y51" i="67"/>
  <c r="AL60" i="67"/>
  <c r="AO67" i="15"/>
  <c r="V106" i="67"/>
  <c r="AA113" i="15"/>
  <c r="AB106" i="67" s="1"/>
  <c r="V128" i="67"/>
  <c r="AA135" i="15"/>
  <c r="AB128" i="67" s="1"/>
  <c r="AP71" i="67"/>
  <c r="AP78" i="15"/>
  <c r="AQ71" i="67" s="1"/>
  <c r="AL70" i="67"/>
  <c r="AO77" i="15"/>
  <c r="V29" i="67"/>
  <c r="AA36" i="15"/>
  <c r="AB29" i="67" s="1"/>
  <c r="Y11" i="67"/>
  <c r="W11" i="67"/>
  <c r="AO140" i="15"/>
  <c r="AL133" i="67"/>
  <c r="AA78" i="15"/>
  <c r="AB71" i="67" s="1"/>
  <c r="W71" i="67"/>
  <c r="V71" i="67"/>
  <c r="AP103" i="15"/>
  <c r="AQ96" i="67" s="1"/>
  <c r="AP96" i="67"/>
  <c r="AA133" i="15"/>
  <c r="AB126" i="67" s="1"/>
  <c r="V126" i="67"/>
  <c r="AP86" i="67"/>
  <c r="AP93" i="15"/>
  <c r="AQ86" i="67" s="1"/>
  <c r="AL30" i="67"/>
  <c r="AO37" i="15"/>
  <c r="AA114" i="15"/>
  <c r="AB107" i="67" s="1"/>
  <c r="V107" i="67"/>
  <c r="AA116" i="15"/>
  <c r="AB109" i="67" s="1"/>
  <c r="V109" i="67"/>
  <c r="AA52" i="15"/>
  <c r="AB45" i="67" s="1"/>
  <c r="V45" i="67"/>
  <c r="AP92" i="67"/>
  <c r="AP99" i="15"/>
  <c r="AQ92" i="67" s="1"/>
  <c r="AP29" i="67"/>
  <c r="AP36" i="15"/>
  <c r="AQ29" i="67" s="1"/>
  <c r="AP156" i="15"/>
  <c r="AQ149" i="67" s="1"/>
  <c r="AP149" i="67"/>
  <c r="AL90" i="67"/>
  <c r="AO97" i="15"/>
  <c r="W9" i="67"/>
  <c r="Y9" i="67"/>
  <c r="W69" i="67"/>
  <c r="V69" i="67"/>
  <c r="AA76" i="15"/>
  <c r="AB69" i="67" s="1"/>
  <c r="AO117" i="15"/>
  <c r="AL110" i="67"/>
  <c r="AW108" i="67"/>
  <c r="AM115" i="27"/>
  <c r="V134" i="67"/>
  <c r="AL129" i="67"/>
  <c r="AO136" i="15"/>
  <c r="V54" i="67"/>
  <c r="AA61" i="15"/>
  <c r="AB54" i="67" s="1"/>
  <c r="AL145" i="67"/>
  <c r="AO152" i="15"/>
  <c r="AL6" i="67"/>
  <c r="AO13" i="15"/>
  <c r="AP39" i="67"/>
  <c r="AP46" i="15"/>
  <c r="AQ39" i="67" s="1"/>
  <c r="AO128" i="15"/>
  <c r="AL121" i="67"/>
  <c r="AO162" i="15"/>
  <c r="AL155" i="67"/>
  <c r="AL104" i="67"/>
  <c r="AO111" i="15"/>
  <c r="V154" i="67"/>
  <c r="AA161" i="15"/>
  <c r="AB154" i="67" s="1"/>
  <c r="AA64" i="15"/>
  <c r="AB57" i="67" s="1"/>
  <c r="V57" i="67"/>
  <c r="AA49" i="15"/>
  <c r="AB42" i="67" s="1"/>
  <c r="V42" i="67"/>
  <c r="Y125" i="67"/>
  <c r="W125" i="67"/>
  <c r="AW66" i="67"/>
  <c r="AM73" i="27"/>
  <c r="AA157" i="15"/>
  <c r="AB150" i="67" s="1"/>
  <c r="V150" i="67"/>
  <c r="AP63" i="15"/>
  <c r="AQ56" i="67" s="1"/>
  <c r="AP56" i="67"/>
  <c r="AA154" i="15"/>
  <c r="AB147" i="67" s="1"/>
  <c r="V147" i="67"/>
  <c r="V142" i="67"/>
  <c r="AA149" i="15"/>
  <c r="AB142" i="67" s="1"/>
  <c r="AP101" i="67"/>
  <c r="AP108" i="15"/>
  <c r="AQ101" i="67" s="1"/>
  <c r="AW132" i="67"/>
  <c r="AM139" i="27"/>
  <c r="V13" i="67"/>
  <c r="AA20" i="15"/>
  <c r="AB13" i="67" s="1"/>
  <c r="AL23" i="67"/>
  <c r="AO30" i="15"/>
  <c r="V56" i="67"/>
  <c r="AA63" i="15"/>
  <c r="AB56" i="67" s="1"/>
  <c r="AA26" i="15"/>
  <c r="AB19" i="67" s="1"/>
  <c r="V19" i="67"/>
  <c r="V135" i="67"/>
  <c r="AA142" i="15"/>
  <c r="AB135" i="67" s="1"/>
  <c r="AP131" i="67"/>
  <c r="AP138" i="15"/>
  <c r="AQ131" i="67" s="1"/>
  <c r="AP93" i="67"/>
  <c r="AP100" i="15"/>
  <c r="AQ93" i="67" s="1"/>
  <c r="AP69" i="15"/>
  <c r="AQ62" i="67" s="1"/>
  <c r="AP62" i="67"/>
  <c r="AL28" i="67"/>
  <c r="AO35" i="15"/>
  <c r="AL112" i="67"/>
  <c r="AO119" i="15"/>
  <c r="V139" i="67"/>
  <c r="AA146" i="15"/>
  <c r="AB139" i="67" s="1"/>
  <c r="AP84" i="15"/>
  <c r="AQ77" i="67" s="1"/>
  <c r="AP77" i="67"/>
  <c r="AA27" i="15"/>
  <c r="AB20" i="67" s="1"/>
  <c r="V20" i="67"/>
  <c r="AO123" i="15"/>
  <c r="AL116" i="67"/>
  <c r="AP157" i="15"/>
  <c r="AQ150" i="67" s="1"/>
  <c r="AP150" i="67"/>
  <c r="V103" i="67"/>
  <c r="AA110" i="15"/>
  <c r="AB103" i="67" s="1"/>
  <c r="AA79" i="15"/>
  <c r="AB72" i="67" s="1"/>
  <c r="V72" i="67"/>
  <c r="W72" i="67"/>
  <c r="AP24" i="67"/>
  <c r="AP31" i="15"/>
  <c r="AQ24" i="67" s="1"/>
  <c r="AL82" i="67"/>
  <c r="AO89" i="15"/>
  <c r="AA67" i="15"/>
  <c r="AB60" i="67" s="1"/>
  <c r="V60" i="67"/>
  <c r="AO112" i="15"/>
  <c r="AL105" i="67"/>
  <c r="V157" i="67"/>
  <c r="AA164" i="15"/>
  <c r="AB157" i="67" s="1"/>
  <c r="AO82" i="15"/>
  <c r="AL75" i="67"/>
  <c r="AL132" i="67"/>
  <c r="AO139" i="15"/>
  <c r="AL136" i="67"/>
  <c r="AO143" i="15"/>
  <c r="AP53" i="67"/>
  <c r="AP60" i="15"/>
  <c r="AQ53" i="67" s="1"/>
  <c r="AA31" i="15"/>
  <c r="AB24" i="67" s="1"/>
  <c r="V24" i="67"/>
  <c r="AP149" i="15"/>
  <c r="AQ142" i="67" s="1"/>
  <c r="AP142" i="67"/>
  <c r="V137" i="67"/>
  <c r="AA144" i="15"/>
  <c r="AB137" i="67" s="1"/>
  <c r="AA69" i="15"/>
  <c r="AB62" i="67" s="1"/>
  <c r="V62" i="67"/>
  <c r="V61" i="67"/>
  <c r="AA68" i="15"/>
  <c r="AB61" i="67" s="1"/>
  <c r="V16" i="67"/>
  <c r="AA23" i="15"/>
  <c r="AB16" i="67" s="1"/>
  <c r="Y63" i="67"/>
  <c r="W63" i="67"/>
  <c r="AW131" i="67"/>
  <c r="AM138" i="27"/>
  <c r="V108" i="67"/>
  <c r="AA115" i="15"/>
  <c r="AB108" i="67" s="1"/>
  <c r="AA118" i="15"/>
  <c r="AB111" i="67" s="1"/>
  <c r="V111" i="67"/>
  <c r="AP27" i="15"/>
  <c r="AQ20" i="67" s="1"/>
  <c r="AP20" i="67"/>
  <c r="AA91" i="15"/>
  <c r="AB84" i="67" s="1"/>
  <c r="V84" i="67"/>
  <c r="AP163" i="15"/>
  <c r="AQ156" i="67" s="1"/>
  <c r="AP156" i="67"/>
  <c r="AA162" i="15"/>
  <c r="AB155" i="67" s="1"/>
  <c r="V155" i="67"/>
  <c r="V120" i="67"/>
  <c r="AA127" i="15"/>
  <c r="AB120" i="67" s="1"/>
  <c r="AP11" i="67"/>
  <c r="AP18" i="15"/>
  <c r="AQ11" i="67" s="1"/>
  <c r="AP15" i="15"/>
  <c r="AQ8" i="67" s="1"/>
  <c r="AP8" i="67"/>
  <c r="AP98" i="67"/>
  <c r="AP105" i="15"/>
  <c r="AQ98" i="67" s="1"/>
  <c r="V100" i="67"/>
  <c r="AA107" i="15"/>
  <c r="AB100" i="67" s="1"/>
  <c r="AP103" i="67"/>
  <c r="AP110" i="15"/>
  <c r="AQ103" i="67" s="1"/>
  <c r="AP102" i="67"/>
  <c r="AP109" i="15"/>
  <c r="AQ102" i="67" s="1"/>
  <c r="AL57" i="67"/>
  <c r="AO64" i="15"/>
  <c r="AP48" i="15"/>
  <c r="AQ41" i="67" s="1"/>
  <c r="AP41" i="67"/>
  <c r="AL32" i="67"/>
  <c r="AO39" i="15"/>
  <c r="AW59" i="67"/>
  <c r="AM66" i="27"/>
  <c r="AO126" i="15"/>
  <c r="AL119" i="67"/>
  <c r="V86" i="67"/>
  <c r="AA93" i="15"/>
  <c r="AB86" i="67" s="1"/>
  <c r="AO43" i="15"/>
  <c r="AL36" i="67"/>
  <c r="AW103" i="67"/>
  <c r="AM110" i="27"/>
  <c r="AA34" i="15"/>
  <c r="AB27" i="67" s="1"/>
  <c r="V27" i="67"/>
  <c r="AM134" i="27"/>
  <c r="AW127" i="67"/>
  <c r="AA25" i="15"/>
  <c r="AB18" i="67" s="1"/>
  <c r="V18" i="67"/>
  <c r="AP102" i="15"/>
  <c r="AQ95" i="67" s="1"/>
  <c r="AP95" i="67"/>
  <c r="AL5" i="67"/>
  <c r="AO12" i="15"/>
  <c r="V59" i="67"/>
  <c r="AA66" i="15"/>
  <c r="AB59" i="67" s="1"/>
  <c r="V32" i="67"/>
  <c r="AA39" i="15"/>
  <c r="AB32" i="67" s="1"/>
  <c r="AO133" i="15"/>
  <c r="AL126" i="67"/>
  <c r="V75" i="67"/>
  <c r="AA82" i="15"/>
  <c r="AB75" i="67" s="1"/>
  <c r="AO155" i="15"/>
  <c r="AL148" i="67"/>
  <c r="AO66" i="15"/>
  <c r="AL59" i="67"/>
  <c r="V136" i="67"/>
  <c r="AA143" i="15"/>
  <c r="AB136" i="67" s="1"/>
  <c r="AA22" i="15"/>
  <c r="AB15" i="67" s="1"/>
  <c r="V15" i="67"/>
  <c r="AO88" i="15"/>
  <c r="AL81" i="67"/>
  <c r="AL68" i="67"/>
  <c r="AO75" i="15"/>
  <c r="AA156" i="15"/>
  <c r="AB149" i="67" s="1"/>
  <c r="V149" i="67"/>
  <c r="AL7" i="67"/>
  <c r="AO14" i="15"/>
  <c r="AA160" i="15"/>
  <c r="AB153" i="67" s="1"/>
  <c r="V153" i="67"/>
  <c r="AL84" i="67"/>
  <c r="AO91" i="15"/>
  <c r="AP45" i="67"/>
  <c r="AP52" i="15"/>
  <c r="AQ45" i="67" s="1"/>
  <c r="AO71" i="15"/>
  <c r="AL64" i="67"/>
  <c r="AO72" i="15"/>
  <c r="AL65" i="67"/>
  <c r="AA129" i="15"/>
  <c r="AB122" i="67" s="1"/>
  <c r="V122" i="67"/>
  <c r="AO25" i="15"/>
  <c r="AL18" i="67"/>
  <c r="AO41" i="15"/>
  <c r="AL34" i="67"/>
  <c r="AW98" i="67"/>
  <c r="AM105" i="27"/>
  <c r="V64" i="67"/>
  <c r="AA71" i="15"/>
  <c r="AB64" i="67" s="1"/>
  <c r="V141" i="67"/>
  <c r="AA148" i="15"/>
  <c r="AB141" i="67" s="1"/>
  <c r="AP73" i="67"/>
  <c r="AP80" i="15"/>
  <c r="AQ73" i="67" s="1"/>
  <c r="V6" i="67"/>
  <c r="AA13" i="15"/>
  <c r="AB6" i="67" s="1"/>
  <c r="AO118" i="15"/>
  <c r="AL111" i="67"/>
  <c r="V89" i="67"/>
  <c r="AA96" i="15"/>
  <c r="AB89" i="67" s="1"/>
  <c r="AL69" i="67"/>
  <c r="AO76" i="15"/>
  <c r="AA100" i="15"/>
  <c r="AB93" i="67" s="1"/>
  <c r="V93" i="67"/>
  <c r="AA43" i="15"/>
  <c r="AB36" i="67" s="1"/>
  <c r="V36" i="67"/>
  <c r="AA153" i="15"/>
  <c r="AB146" i="67" s="1"/>
  <c r="V146" i="67"/>
  <c r="V87" i="67"/>
  <c r="AA94" i="15"/>
  <c r="AB87" i="67" s="1"/>
  <c r="V131" i="67"/>
  <c r="AA138" i="15"/>
  <c r="AB131" i="67" s="1"/>
  <c r="W14" i="67"/>
  <c r="Y14" i="67"/>
  <c r="AO90" i="15"/>
  <c r="AL83" i="67"/>
  <c r="W22" i="67"/>
  <c r="Y22" i="67"/>
  <c r="AA139" i="15"/>
  <c r="AB132" i="67" s="1"/>
  <c r="V132" i="67"/>
  <c r="AL79" i="67"/>
  <c r="AO86" i="15"/>
  <c r="AL107" i="67"/>
  <c r="AO114" i="15"/>
  <c r="V28" i="67"/>
  <c r="AA35" i="15"/>
  <c r="AB28" i="67" s="1"/>
  <c r="AA15" i="15"/>
  <c r="AB8" i="67" s="1"/>
  <c r="V8" i="67"/>
  <c r="AO154" i="15"/>
  <c r="AL147" i="67"/>
  <c r="V4" i="67"/>
  <c r="AA11" i="15"/>
  <c r="AB4" i="67" s="1"/>
  <c r="AA155" i="15"/>
  <c r="AB148" i="67" s="1"/>
  <c r="V148" i="67"/>
  <c r="AP35" i="67"/>
  <c r="AP42" i="15"/>
  <c r="AQ35" i="67" s="1"/>
  <c r="AL66" i="67"/>
  <c r="AO73" i="15"/>
  <c r="AA32" i="15"/>
  <c r="AB25" i="67" s="1"/>
  <c r="V25" i="67"/>
  <c r="AL128" i="67"/>
  <c r="AO135" i="15"/>
  <c r="AP79" i="15"/>
  <c r="AQ72" i="67" s="1"/>
  <c r="AP72" i="67"/>
  <c r="AP31" i="67"/>
  <c r="AP38" i="15"/>
  <c r="AQ31" i="67" s="1"/>
  <c r="AL25" i="67"/>
  <c r="AO32" i="15"/>
  <c r="V138" i="67"/>
  <c r="AA145" i="15"/>
  <c r="AB138" i="67" s="1"/>
  <c r="AL13" i="67"/>
  <c r="AO20" i="15"/>
  <c r="AP4" i="67"/>
  <c r="AP11" i="15"/>
  <c r="AQ4" i="67" s="1"/>
  <c r="AA151" i="15"/>
  <c r="AB144" i="67" s="1"/>
  <c r="V144" i="67"/>
  <c r="V47" i="67"/>
  <c r="AA54" i="15"/>
  <c r="AB47" i="67" s="1"/>
  <c r="W10" i="67"/>
  <c r="Y10" i="67"/>
  <c r="V140" i="67"/>
  <c r="AA147" i="15"/>
  <c r="AB140" i="67" s="1"/>
  <c r="W73" i="67"/>
  <c r="V73" i="67"/>
  <c r="AA80" i="15"/>
  <c r="AB73" i="67" s="1"/>
  <c r="AM142" i="27"/>
  <c r="AW135" i="67"/>
  <c r="AA126" i="15"/>
  <c r="AB119" i="67" s="1"/>
  <c r="V119" i="67"/>
  <c r="AP135" i="67"/>
  <c r="AP142" i="15"/>
  <c r="AQ135" i="67" s="1"/>
  <c r="AP88" i="67"/>
  <c r="AP95" i="15"/>
  <c r="AQ88" i="67" s="1"/>
  <c r="AP140" i="67"/>
  <c r="AP147" i="15"/>
  <c r="AQ140" i="67" s="1"/>
  <c r="AP113" i="15"/>
  <c r="AQ106" i="67" s="1"/>
  <c r="AP106" i="67"/>
  <c r="AP9" i="15"/>
  <c r="AQ2" i="67" s="1"/>
  <c r="AP2" i="67"/>
  <c r="W33" i="67"/>
  <c r="Y33" i="67"/>
  <c r="Y38" i="67"/>
  <c r="W38" i="67"/>
  <c r="AW38" i="67"/>
  <c r="AM45" i="27"/>
  <c r="AW95" i="67"/>
  <c r="AM102" i="27"/>
  <c r="AP40" i="15"/>
  <c r="AQ33" i="67" s="1"/>
  <c r="AP33" i="67"/>
  <c r="AP45" i="15"/>
  <c r="AQ38" i="67" s="1"/>
  <c r="AP38" i="67"/>
  <c r="W80" i="67"/>
  <c r="Y80" i="67"/>
  <c r="AW67" i="67"/>
  <c r="AM74" i="27"/>
  <c r="AM87" i="27"/>
  <c r="AW80" i="67"/>
  <c r="Y121" i="67"/>
  <c r="W121" i="67"/>
  <c r="AM56" i="27"/>
  <c r="AW49" i="67"/>
  <c r="AP74" i="15"/>
  <c r="AQ67" i="67" s="1"/>
  <c r="AP67" i="67"/>
  <c r="Y49" i="67"/>
  <c r="W49" i="67"/>
  <c r="W117" i="67"/>
  <c r="Y117" i="67"/>
  <c r="AP113" i="67"/>
  <c r="AP120" i="15"/>
  <c r="AQ113" i="67" s="1"/>
  <c r="Y113" i="67"/>
  <c r="W113" i="67"/>
  <c r="AP117" i="67"/>
  <c r="AP124" i="15"/>
  <c r="AQ117" i="67" s="1"/>
  <c r="AW123" i="67"/>
  <c r="AM130" i="27"/>
  <c r="AM120" i="27"/>
  <c r="AW113" i="67"/>
  <c r="AM124" i="27"/>
  <c r="AW117" i="67"/>
  <c r="Y123" i="67"/>
  <c r="W123" i="67"/>
  <c r="AP224" i="15" l="1"/>
  <c r="AQ217" i="67" s="1"/>
  <c r="AP134" i="15"/>
  <c r="AQ127" i="67" s="1"/>
  <c r="W220" i="67"/>
  <c r="Y220" i="67"/>
  <c r="W206" i="67"/>
  <c r="Y206" i="67"/>
  <c r="AP228" i="15"/>
  <c r="AQ221" i="67" s="1"/>
  <c r="AP221" i="67"/>
  <c r="Y221" i="67"/>
  <c r="W221" i="67"/>
  <c r="Y219" i="67"/>
  <c r="W219" i="67"/>
  <c r="AP220" i="67"/>
  <c r="AP227" i="15"/>
  <c r="AQ220" i="67" s="1"/>
  <c r="AP218" i="67"/>
  <c r="AP225" i="15"/>
  <c r="AQ218" i="67" s="1"/>
  <c r="Y218" i="67"/>
  <c r="W218" i="67"/>
  <c r="Y208" i="67"/>
  <c r="W208" i="67"/>
  <c r="AP226" i="15"/>
  <c r="AQ219" i="67" s="1"/>
  <c r="AP219" i="67"/>
  <c r="W207" i="67"/>
  <c r="Y207" i="67"/>
  <c r="AP181" i="15"/>
  <c r="AQ174" i="67" s="1"/>
  <c r="AP174" i="67"/>
  <c r="W172" i="67"/>
  <c r="Y172" i="67"/>
  <c r="W195" i="67"/>
  <c r="Y195" i="67"/>
  <c r="AP195" i="67"/>
  <c r="AP202" i="15"/>
  <c r="AQ195" i="67" s="1"/>
  <c r="AP215" i="15"/>
  <c r="AQ208" i="67" s="1"/>
  <c r="AP179" i="15"/>
  <c r="AQ172" i="67" s="1"/>
  <c r="AP172" i="67"/>
  <c r="AP214" i="15"/>
  <c r="AQ207" i="67" s="1"/>
  <c r="AP222" i="15"/>
  <c r="AQ215" i="67" s="1"/>
  <c r="AP202" i="67"/>
  <c r="AP209" i="15"/>
  <c r="AQ202" i="67" s="1"/>
  <c r="AP191" i="67"/>
  <c r="AP198" i="15"/>
  <c r="AQ191" i="67" s="1"/>
  <c r="AP187" i="67"/>
  <c r="AP194" i="15"/>
  <c r="AQ187" i="67" s="1"/>
  <c r="AP179" i="67"/>
  <c r="AP186" i="15"/>
  <c r="AQ179" i="67" s="1"/>
  <c r="AP185" i="15"/>
  <c r="AQ178" i="67" s="1"/>
  <c r="AP178" i="67"/>
  <c r="AP213" i="15"/>
  <c r="AQ206" i="67" s="1"/>
  <c r="AP190" i="15"/>
  <c r="AQ183" i="67" s="1"/>
  <c r="AP183" i="67"/>
  <c r="AP199" i="15"/>
  <c r="AQ192" i="67" s="1"/>
  <c r="AP192" i="67"/>
  <c r="AP196" i="15"/>
  <c r="AQ189" i="67" s="1"/>
  <c r="AP189" i="67"/>
  <c r="AP191" i="15"/>
  <c r="AQ184" i="67" s="1"/>
  <c r="AP184" i="67"/>
  <c r="AP187" i="15"/>
  <c r="AQ180" i="67" s="1"/>
  <c r="AP180" i="67"/>
  <c r="AP210" i="15"/>
  <c r="AQ203" i="67" s="1"/>
  <c r="AP203" i="67"/>
  <c r="AP180" i="15"/>
  <c r="AQ173" i="67" s="1"/>
  <c r="AP173" i="67"/>
  <c r="W183" i="67"/>
  <c r="Y183" i="67"/>
  <c r="AP192" i="15"/>
  <c r="AQ185" i="67" s="1"/>
  <c r="AP185" i="67"/>
  <c r="AP183" i="15"/>
  <c r="AQ176" i="67" s="1"/>
  <c r="AP176" i="67"/>
  <c r="AP177" i="15"/>
  <c r="AQ170" i="67" s="1"/>
  <c r="AP170" i="67"/>
  <c r="AP206" i="15"/>
  <c r="AQ199" i="67" s="1"/>
  <c r="AP199" i="67"/>
  <c r="AP211" i="15"/>
  <c r="AQ204" i="67" s="1"/>
  <c r="AP204" i="67"/>
  <c r="AP182" i="67"/>
  <c r="AP189" i="15"/>
  <c r="AQ182" i="67" s="1"/>
  <c r="AP200" i="15"/>
  <c r="AQ193" i="67" s="1"/>
  <c r="AP193" i="67"/>
  <c r="W171" i="67"/>
  <c r="Y171" i="67"/>
  <c r="AP194" i="67"/>
  <c r="AP201" i="15"/>
  <c r="AQ194" i="67" s="1"/>
  <c r="AP223" i="15"/>
  <c r="AQ216" i="67" s="1"/>
  <c r="AP221" i="15"/>
  <c r="AQ214" i="67" s="1"/>
  <c r="Y184" i="67"/>
  <c r="W184" i="67"/>
  <c r="AP188" i="15"/>
  <c r="AQ181" i="67" s="1"/>
  <c r="AP181" i="67"/>
  <c r="AP193" i="15"/>
  <c r="AQ186" i="67" s="1"/>
  <c r="AP186" i="67"/>
  <c r="AP212" i="15"/>
  <c r="AQ205" i="67" s="1"/>
  <c r="AP205" i="67"/>
  <c r="W194" i="67"/>
  <c r="Y194" i="67"/>
  <c r="AP216" i="15"/>
  <c r="AQ209" i="67" s="1"/>
  <c r="W170" i="67"/>
  <c r="Y170" i="67"/>
  <c r="AP219" i="15"/>
  <c r="AQ212" i="67" s="1"/>
  <c r="AP195" i="15"/>
  <c r="AQ188" i="67" s="1"/>
  <c r="AP188" i="67"/>
  <c r="AP220" i="15"/>
  <c r="AQ213" i="67" s="1"/>
  <c r="W196" i="67"/>
  <c r="Y196" i="67"/>
  <c r="AP197" i="67"/>
  <c r="AP204" i="15"/>
  <c r="AQ197" i="67" s="1"/>
  <c r="AP175" i="67"/>
  <c r="AP182" i="15"/>
  <c r="AQ175" i="67" s="1"/>
  <c r="AP205" i="15"/>
  <c r="AQ198" i="67" s="1"/>
  <c r="AP198" i="67"/>
  <c r="AP171" i="67"/>
  <c r="AP178" i="15"/>
  <c r="AQ171" i="67" s="1"/>
  <c r="AP208" i="15"/>
  <c r="AQ201" i="67" s="1"/>
  <c r="AP201" i="67"/>
  <c r="AP177" i="67"/>
  <c r="AP184" i="15"/>
  <c r="AQ177" i="67" s="1"/>
  <c r="Y182" i="67"/>
  <c r="W182" i="67"/>
  <c r="AP218" i="15"/>
  <c r="AQ211" i="67" s="1"/>
  <c r="AP217" i="15"/>
  <c r="AQ210" i="67" s="1"/>
  <c r="AP190" i="67"/>
  <c r="AP197" i="15"/>
  <c r="AQ190" i="67" s="1"/>
  <c r="AP196" i="67"/>
  <c r="AP203" i="15"/>
  <c r="AQ196" i="67" s="1"/>
  <c r="AP200" i="67"/>
  <c r="AP207" i="15"/>
  <c r="AQ200" i="67" s="1"/>
  <c r="AM17" i="27"/>
  <c r="AP168" i="15"/>
  <c r="AQ161" i="67" s="1"/>
  <c r="AW24" i="67"/>
  <c r="AM23" i="27"/>
  <c r="AW30" i="67"/>
  <c r="AW100" i="67"/>
  <c r="AM19" i="27"/>
  <c r="AW134" i="67"/>
  <c r="AP33" i="15"/>
  <c r="AQ26" i="67" s="1"/>
  <c r="AW124" i="67"/>
  <c r="AP80" i="67"/>
  <c r="AW88" i="67"/>
  <c r="Y41" i="67"/>
  <c r="AM14" i="27"/>
  <c r="AM34" i="27"/>
  <c r="AW121" i="67"/>
  <c r="AM98" i="27"/>
  <c r="AM12" i="27"/>
  <c r="AM78" i="27"/>
  <c r="AW125" i="67"/>
  <c r="AW107" i="67"/>
  <c r="AW44" i="67"/>
  <c r="AM94" i="27"/>
  <c r="AM48" i="27"/>
  <c r="AM89" i="27"/>
  <c r="AP21" i="67"/>
  <c r="AP47" i="67"/>
  <c r="AM83" i="27"/>
  <c r="AM97" i="27"/>
  <c r="AW68" i="67"/>
  <c r="AM106" i="27"/>
  <c r="AM127" i="27"/>
  <c r="AP12" i="67"/>
  <c r="AP19" i="15"/>
  <c r="AQ12" i="67" s="1"/>
  <c r="AM10" i="27"/>
  <c r="Y26" i="67"/>
  <c r="AP10" i="15"/>
  <c r="AQ3" i="67" s="1"/>
  <c r="AM55" i="27"/>
  <c r="AM35" i="27"/>
  <c r="AP56" i="15"/>
  <c r="AQ49" i="67" s="1"/>
  <c r="AM33" i="27"/>
  <c r="AW47" i="67"/>
  <c r="AM59" i="27"/>
  <c r="AW54" i="67"/>
  <c r="AW58" i="67"/>
  <c r="AM65" i="27"/>
  <c r="Y17" i="67"/>
  <c r="AM64" i="27"/>
  <c r="AM91" i="27"/>
  <c r="AM160" i="27"/>
  <c r="AM143" i="27"/>
  <c r="AP85" i="67"/>
  <c r="AM86" i="27"/>
  <c r="AW79" i="67"/>
  <c r="AW46" i="67"/>
  <c r="AM53" i="27"/>
  <c r="AW86" i="67"/>
  <c r="AM93" i="27"/>
  <c r="AP169" i="67"/>
  <c r="AP176" i="15"/>
  <c r="AQ169" i="67" s="1"/>
  <c r="AM176" i="27"/>
  <c r="AW169" i="67"/>
  <c r="AM175" i="27"/>
  <c r="AP168" i="67"/>
  <c r="AP175" i="15"/>
  <c r="AQ168" i="67" s="1"/>
  <c r="AM173" i="27"/>
  <c r="AM174" i="27"/>
  <c r="AW55" i="67"/>
  <c r="AM62" i="27"/>
  <c r="Y21" i="67"/>
  <c r="Y85" i="67"/>
  <c r="AM82" i="27"/>
  <c r="AP165" i="67"/>
  <c r="AP172" i="15"/>
  <c r="AQ165" i="67" s="1"/>
  <c r="AP174" i="15"/>
  <c r="AQ167" i="67" s="1"/>
  <c r="AP167" i="67"/>
  <c r="AP62" i="15"/>
  <c r="AQ55" i="67" s="1"/>
  <c r="AM172" i="27"/>
  <c r="AW18" i="67"/>
  <c r="AM25" i="27"/>
  <c r="AM123" i="27"/>
  <c r="AW116" i="67"/>
  <c r="AM104" i="27"/>
  <c r="AW97" i="67"/>
  <c r="AM90" i="27"/>
  <c r="AW83" i="67"/>
  <c r="AW146" i="67"/>
  <c r="AM153" i="27"/>
  <c r="AM147" i="27"/>
  <c r="AW140" i="67"/>
  <c r="AW36" i="67"/>
  <c r="AM43" i="27"/>
  <c r="AW101" i="67"/>
  <c r="AM108" i="27"/>
  <c r="AW152" i="67"/>
  <c r="AM159" i="27"/>
  <c r="AW35" i="67"/>
  <c r="AM42" i="27"/>
  <c r="AW137" i="67"/>
  <c r="AM144" i="27"/>
  <c r="AW20" i="67"/>
  <c r="AM27" i="27"/>
  <c r="AM136" i="27"/>
  <c r="AW129" i="67"/>
  <c r="AM129" i="27"/>
  <c r="AW122" i="67"/>
  <c r="AM171" i="27"/>
  <c r="AW139" i="67"/>
  <c r="AM146" i="27"/>
  <c r="AW133" i="67"/>
  <c r="AM140" i="27"/>
  <c r="AW56" i="67"/>
  <c r="AM63" i="27"/>
  <c r="AM67" i="27"/>
  <c r="AW60" i="67"/>
  <c r="AM137" i="27"/>
  <c r="AW130" i="67"/>
  <c r="AM111" i="27"/>
  <c r="AW104" i="67"/>
  <c r="AM44" i="27"/>
  <c r="AW37" i="67"/>
  <c r="AW96" i="67"/>
  <c r="AM103" i="27"/>
  <c r="AW45" i="67"/>
  <c r="AW155" i="67"/>
  <c r="AM162" i="27"/>
  <c r="AW105" i="67"/>
  <c r="AM112" i="27"/>
  <c r="AM163" i="27"/>
  <c r="AW156" i="67"/>
  <c r="AM161" i="27"/>
  <c r="AW154" i="67"/>
  <c r="AW110" i="67"/>
  <c r="AM117" i="27"/>
  <c r="AW22" i="67"/>
  <c r="AM29" i="27"/>
  <c r="AM77" i="27"/>
  <c r="AW70" i="67"/>
  <c r="AW128" i="67"/>
  <c r="AM135" i="27"/>
  <c r="AW119" i="67"/>
  <c r="AM126" i="27"/>
  <c r="AM88" i="27"/>
  <c r="AW81" i="67"/>
  <c r="AW40" i="67"/>
  <c r="AM47" i="27"/>
  <c r="AP130" i="15"/>
  <c r="AQ123" i="67" s="1"/>
  <c r="AW61" i="67"/>
  <c r="AM68" i="27"/>
  <c r="AM152" i="27"/>
  <c r="AW145" i="67"/>
  <c r="AM96" i="27"/>
  <c r="AW89" i="67"/>
  <c r="AW25" i="67"/>
  <c r="AM32" i="27"/>
  <c r="AM150" i="27"/>
  <c r="AW143" i="67"/>
  <c r="AM50" i="27"/>
  <c r="AW43" i="67"/>
  <c r="AW106" i="67"/>
  <c r="AM113" i="27"/>
  <c r="AP170" i="15"/>
  <c r="AQ163" i="67" s="1"/>
  <c r="AP163" i="67"/>
  <c r="AP165" i="15"/>
  <c r="AQ158" i="67" s="1"/>
  <c r="AP24" i="15"/>
  <c r="AQ17" i="67" s="1"/>
  <c r="AP17" i="67"/>
  <c r="AP9" i="67"/>
  <c r="AP16" i="15"/>
  <c r="AQ9" i="67" s="1"/>
  <c r="Y160" i="67"/>
  <c r="W160" i="67"/>
  <c r="W158" i="67"/>
  <c r="Y158" i="67"/>
  <c r="W159" i="67"/>
  <c r="Y159" i="67"/>
  <c r="AP167" i="15"/>
  <c r="AQ160" i="67" s="1"/>
  <c r="AP160" i="67"/>
  <c r="AP154" i="15"/>
  <c r="AQ147" i="67" s="1"/>
  <c r="AP147" i="67"/>
  <c r="AP34" i="67"/>
  <c r="AP41" i="15"/>
  <c r="AQ34" i="67" s="1"/>
  <c r="Y27" i="67"/>
  <c r="W27" i="67"/>
  <c r="Y111" i="67"/>
  <c r="W111" i="67"/>
  <c r="W56" i="67"/>
  <c r="Y56" i="67"/>
  <c r="Y147" i="67"/>
  <c r="W147" i="67"/>
  <c r="Y54" i="67"/>
  <c r="W54" i="67"/>
  <c r="Y45" i="67"/>
  <c r="W45" i="67"/>
  <c r="W25" i="67"/>
  <c r="Y25" i="67"/>
  <c r="Y8" i="67"/>
  <c r="W8" i="67"/>
  <c r="AP79" i="67"/>
  <c r="AP86" i="15"/>
  <c r="AQ79" i="67" s="1"/>
  <c r="AP83" i="67"/>
  <c r="AP90" i="15"/>
  <c r="AQ83" i="67" s="1"/>
  <c r="Y87" i="67"/>
  <c r="W87" i="67"/>
  <c r="AP111" i="67"/>
  <c r="AP118" i="15"/>
  <c r="AQ111" i="67" s="1"/>
  <c r="AP64" i="67"/>
  <c r="AP71" i="15"/>
  <c r="AQ64" i="67" s="1"/>
  <c r="AP7" i="67"/>
  <c r="AP14" i="15"/>
  <c r="AQ7" i="67" s="1"/>
  <c r="AP81" i="67"/>
  <c r="AP88" i="15"/>
  <c r="AQ81" i="67" s="1"/>
  <c r="AP66" i="15"/>
  <c r="AQ59" i="67" s="1"/>
  <c r="AP59" i="67"/>
  <c r="Y86" i="67"/>
  <c r="W86" i="67"/>
  <c r="W100" i="67"/>
  <c r="Y100" i="67"/>
  <c r="Y84" i="67"/>
  <c r="W84" i="67"/>
  <c r="AP105" i="67"/>
  <c r="AP112" i="15"/>
  <c r="AQ105" i="67" s="1"/>
  <c r="AP37" i="15"/>
  <c r="AQ30" i="67" s="1"/>
  <c r="AP30" i="67"/>
  <c r="W29" i="67"/>
  <c r="Y29" i="67"/>
  <c r="AP161" i="15"/>
  <c r="AQ154" i="67" s="1"/>
  <c r="AP154" i="67"/>
  <c r="Y88" i="67"/>
  <c r="W88" i="67"/>
  <c r="AP125" i="15"/>
  <c r="AQ118" i="67" s="1"/>
  <c r="AP118" i="67"/>
  <c r="AP98" i="15"/>
  <c r="AQ91" i="67" s="1"/>
  <c r="AP91" i="67"/>
  <c r="W77" i="67"/>
  <c r="Y77" i="67"/>
  <c r="W114" i="67"/>
  <c r="Y114" i="67"/>
  <c r="AP151" i="15"/>
  <c r="AQ144" i="67" s="1"/>
  <c r="AP144" i="67"/>
  <c r="W90" i="67"/>
  <c r="Y90" i="67"/>
  <c r="AP50" i="67"/>
  <c r="AP57" i="15"/>
  <c r="AQ50" i="67" s="1"/>
  <c r="AP160" i="15"/>
  <c r="AQ153" i="67" s="1"/>
  <c r="AP153" i="67"/>
  <c r="W7" i="67"/>
  <c r="Y7" i="67"/>
  <c r="AP25" i="15"/>
  <c r="AQ18" i="67" s="1"/>
  <c r="AP18" i="67"/>
  <c r="W32" i="67"/>
  <c r="Y32" i="67"/>
  <c r="AP82" i="15"/>
  <c r="AQ75" i="67" s="1"/>
  <c r="AP75" i="67"/>
  <c r="W139" i="67"/>
  <c r="Y139" i="67"/>
  <c r="W19" i="67"/>
  <c r="Y19" i="67"/>
  <c r="AP117" i="15"/>
  <c r="AQ110" i="67" s="1"/>
  <c r="AP110" i="67"/>
  <c r="Y129" i="67"/>
  <c r="W129" i="67"/>
  <c r="Y31" i="67"/>
  <c r="W31" i="67"/>
  <c r="AP83" i="15"/>
  <c r="AQ76" i="67" s="1"/>
  <c r="AP76" i="67"/>
  <c r="W81" i="67"/>
  <c r="Y81" i="67"/>
  <c r="W47" i="67"/>
  <c r="Y47" i="67"/>
  <c r="W148" i="67"/>
  <c r="Y148" i="67"/>
  <c r="AP76" i="15"/>
  <c r="AQ69" i="67" s="1"/>
  <c r="AP69" i="67"/>
  <c r="Y15" i="67"/>
  <c r="W15" i="67"/>
  <c r="AP155" i="15"/>
  <c r="AQ148" i="67" s="1"/>
  <c r="AP148" i="67"/>
  <c r="AP119" i="67"/>
  <c r="AP126" i="15"/>
  <c r="AQ119" i="67" s="1"/>
  <c r="Y20" i="67"/>
  <c r="W20" i="67"/>
  <c r="AP112" i="67"/>
  <c r="AP119" i="15"/>
  <c r="AQ112" i="67" s="1"/>
  <c r="AP104" i="67"/>
  <c r="AP111" i="15"/>
  <c r="AQ104" i="67" s="1"/>
  <c r="AP13" i="15"/>
  <c r="AQ6" i="67" s="1"/>
  <c r="AP6" i="67"/>
  <c r="Y116" i="67"/>
  <c r="W116" i="67"/>
  <c r="W127" i="67"/>
  <c r="Y127" i="67"/>
  <c r="W91" i="67"/>
  <c r="Y91" i="67"/>
  <c r="AP64" i="15"/>
  <c r="AQ57" i="67" s="1"/>
  <c r="AP57" i="67"/>
  <c r="Y24" i="67"/>
  <c r="W24" i="67"/>
  <c r="AP123" i="15"/>
  <c r="AQ116" i="67" s="1"/>
  <c r="AP116" i="67"/>
  <c r="AP23" i="67"/>
  <c r="AP30" i="15"/>
  <c r="AQ23" i="67" s="1"/>
  <c r="W154" i="67"/>
  <c r="Y154" i="67"/>
  <c r="Y58" i="67"/>
  <c r="W58" i="67"/>
  <c r="Y4" i="67"/>
  <c r="W4" i="67"/>
  <c r="Y132" i="67"/>
  <c r="W132" i="67"/>
  <c r="W146" i="67"/>
  <c r="Y146" i="67"/>
  <c r="W6" i="67"/>
  <c r="Y6" i="67"/>
  <c r="Y122" i="67"/>
  <c r="W122" i="67"/>
  <c r="AP91" i="15"/>
  <c r="AQ84" i="67" s="1"/>
  <c r="AP84" i="67"/>
  <c r="Y18" i="67"/>
  <c r="W18" i="67"/>
  <c r="Y108" i="67"/>
  <c r="W108" i="67"/>
  <c r="Y16" i="67"/>
  <c r="W16" i="67"/>
  <c r="W142" i="67"/>
  <c r="Y142" i="67"/>
  <c r="Y42" i="67"/>
  <c r="W42" i="67"/>
  <c r="Y134" i="67"/>
  <c r="W134" i="67"/>
  <c r="AP70" i="67"/>
  <c r="AP77" i="15"/>
  <c r="AQ70" i="67" s="1"/>
  <c r="Y128" i="67"/>
  <c r="W128" i="67"/>
  <c r="AP127" i="15"/>
  <c r="AQ120" i="67" s="1"/>
  <c r="AP120" i="67"/>
  <c r="Y101" i="67"/>
  <c r="W101" i="67"/>
  <c r="Y124" i="67"/>
  <c r="W124" i="67"/>
  <c r="W99" i="67"/>
  <c r="Y99" i="67"/>
  <c r="AP100" i="67"/>
  <c r="AP107" i="15"/>
  <c r="AQ100" i="67" s="1"/>
  <c r="W37" i="67"/>
  <c r="Y37" i="67"/>
  <c r="AP65" i="15"/>
  <c r="AQ58" i="67" s="1"/>
  <c r="AP58" i="67"/>
  <c r="AP51" i="15"/>
  <c r="AQ44" i="67" s="1"/>
  <c r="AP44" i="67"/>
  <c r="Y110" i="67"/>
  <c r="W110" i="67"/>
  <c r="W104" i="67"/>
  <c r="Y104" i="67"/>
  <c r="Y112" i="67"/>
  <c r="W112" i="67"/>
  <c r="W92" i="67"/>
  <c r="Y92" i="67"/>
  <c r="AP59" i="15"/>
  <c r="AQ52" i="67" s="1"/>
  <c r="AP52" i="67"/>
  <c r="AP48" i="67"/>
  <c r="AP55" i="15"/>
  <c r="AQ48" i="67" s="1"/>
  <c r="AP20" i="15"/>
  <c r="AQ13" i="67" s="1"/>
  <c r="AP13" i="67"/>
  <c r="Y60" i="67"/>
  <c r="W60" i="67"/>
  <c r="AP129" i="67"/>
  <c r="AP136" i="15"/>
  <c r="AQ129" i="67" s="1"/>
  <c r="W50" i="67"/>
  <c r="Y50" i="67"/>
  <c r="Y12" i="67"/>
  <c r="W12" i="67"/>
  <c r="AP137" i="67"/>
  <c r="AP144" i="15"/>
  <c r="AQ137" i="67" s="1"/>
  <c r="AP131" i="15"/>
  <c r="AQ124" i="67" s="1"/>
  <c r="AP124" i="67"/>
  <c r="W98" i="67"/>
  <c r="Y98" i="67"/>
  <c r="AP128" i="67"/>
  <c r="AP135" i="15"/>
  <c r="AQ128" i="67" s="1"/>
  <c r="Y131" i="67"/>
  <c r="W131" i="67"/>
  <c r="Y149" i="67"/>
  <c r="W149" i="67"/>
  <c r="Y75" i="67"/>
  <c r="W75" i="67"/>
  <c r="Y59" i="67"/>
  <c r="W59" i="67"/>
  <c r="Y137" i="67"/>
  <c r="W137" i="67"/>
  <c r="AP136" i="67"/>
  <c r="AP143" i="15"/>
  <c r="AQ136" i="67" s="1"/>
  <c r="AP89" i="15"/>
  <c r="AQ82" i="67" s="1"/>
  <c r="AP82" i="67"/>
  <c r="Y103" i="67"/>
  <c r="W103" i="67"/>
  <c r="AP35" i="15"/>
  <c r="AQ28" i="67" s="1"/>
  <c r="AP28" i="67"/>
  <c r="Y13" i="67"/>
  <c r="W13" i="67"/>
  <c r="Y150" i="67"/>
  <c r="W150" i="67"/>
  <c r="AP145" i="67"/>
  <c r="AP152" i="15"/>
  <c r="AQ145" i="67" s="1"/>
  <c r="W109" i="67"/>
  <c r="Y109" i="67"/>
  <c r="Y126" i="67"/>
  <c r="W126" i="67"/>
  <c r="W106" i="67"/>
  <c r="Y106" i="67"/>
  <c r="W145" i="67"/>
  <c r="Y145" i="67"/>
  <c r="AP116" i="15"/>
  <c r="AQ109" i="67" s="1"/>
  <c r="AP109" i="67"/>
  <c r="Y55" i="67"/>
  <c r="W55" i="67"/>
  <c r="Y53" i="67"/>
  <c r="W53" i="67"/>
  <c r="Y46" i="67"/>
  <c r="W46" i="67"/>
  <c r="W133" i="67"/>
  <c r="Y133" i="67"/>
  <c r="W102" i="67"/>
  <c r="Y102" i="67"/>
  <c r="AP148" i="15"/>
  <c r="AQ141" i="67" s="1"/>
  <c r="AP141" i="67"/>
  <c r="W52" i="67"/>
  <c r="Y52" i="67"/>
  <c r="AP158" i="15"/>
  <c r="AQ151" i="67" s="1"/>
  <c r="AP151" i="67"/>
  <c r="W105" i="67"/>
  <c r="Y105" i="67"/>
  <c r="W62" i="67"/>
  <c r="Y62" i="67"/>
  <c r="W144" i="67"/>
  <c r="Y144" i="67"/>
  <c r="Y89" i="67"/>
  <c r="W89" i="67"/>
  <c r="Y136" i="67"/>
  <c r="W136" i="67"/>
  <c r="W155" i="67"/>
  <c r="Y155" i="67"/>
  <c r="W61" i="67"/>
  <c r="Y61" i="67"/>
  <c r="W157" i="67"/>
  <c r="Y157" i="67"/>
  <c r="AP162" i="15"/>
  <c r="AQ155" i="67" s="1"/>
  <c r="AP155" i="67"/>
  <c r="AP137" i="15"/>
  <c r="AQ130" i="67" s="1"/>
  <c r="AP130" i="67"/>
  <c r="W82" i="67"/>
  <c r="Y82" i="67"/>
  <c r="W43" i="67"/>
  <c r="Y43" i="67"/>
  <c r="Y130" i="67"/>
  <c r="W130" i="67"/>
  <c r="W78" i="67"/>
  <c r="Y78" i="67"/>
  <c r="W30" i="67"/>
  <c r="Y30" i="67"/>
  <c r="AP19" i="67"/>
  <c r="AP26" i="15"/>
  <c r="AQ19" i="67" s="1"/>
  <c r="W39" i="67"/>
  <c r="Y39" i="67"/>
  <c r="AP22" i="15"/>
  <c r="AQ15" i="67" s="1"/>
  <c r="AP15" i="67"/>
  <c r="Y94" i="67"/>
  <c r="W94" i="67"/>
  <c r="AP40" i="67"/>
  <c r="AP47" i="15"/>
  <c r="AQ40" i="67" s="1"/>
  <c r="AP66" i="67"/>
  <c r="AP73" i="15"/>
  <c r="AQ66" i="67" s="1"/>
  <c r="Y120" i="67"/>
  <c r="W120" i="67"/>
  <c r="Y138" i="67"/>
  <c r="W138" i="67"/>
  <c r="W28" i="67"/>
  <c r="Y28" i="67"/>
  <c r="Y36" i="67"/>
  <c r="W36" i="67"/>
  <c r="AP68" i="67"/>
  <c r="AP75" i="15"/>
  <c r="AQ68" i="67" s="1"/>
  <c r="AP43" i="15"/>
  <c r="AQ36" i="67" s="1"/>
  <c r="AP36" i="67"/>
  <c r="AP32" i="67"/>
  <c r="AP39" i="15"/>
  <c r="AQ32" i="67" s="1"/>
  <c r="Y57" i="67"/>
  <c r="W57" i="67"/>
  <c r="AP133" i="67"/>
  <c r="AP140" i="15"/>
  <c r="AQ133" i="67" s="1"/>
  <c r="W119" i="67"/>
  <c r="Y119" i="67"/>
  <c r="W140" i="67"/>
  <c r="Y140" i="67"/>
  <c r="AP32" i="15"/>
  <c r="AQ25" i="67" s="1"/>
  <c r="AP25" i="67"/>
  <c r="AP107" i="67"/>
  <c r="AP114" i="15"/>
  <c r="AQ107" i="67" s="1"/>
  <c r="AP65" i="67"/>
  <c r="AP72" i="15"/>
  <c r="AQ65" i="67" s="1"/>
  <c r="AP12" i="15"/>
  <c r="AQ5" i="67" s="1"/>
  <c r="AP5" i="67"/>
  <c r="AP139" i="15"/>
  <c r="AQ132" i="67" s="1"/>
  <c r="AP132" i="67"/>
  <c r="W107" i="67"/>
  <c r="Y107" i="67"/>
  <c r="W3" i="67"/>
  <c r="Y3" i="67"/>
  <c r="AP43" i="67"/>
  <c r="AP50" i="15"/>
  <c r="AQ43" i="67" s="1"/>
  <c r="AP58" i="15"/>
  <c r="AQ51" i="67" s="1"/>
  <c r="AP51" i="67"/>
  <c r="AP122" i="15"/>
  <c r="AQ115" i="67" s="1"/>
  <c r="AP115" i="67"/>
  <c r="W44" i="67"/>
  <c r="Y44" i="67"/>
  <c r="W5" i="67"/>
  <c r="Y5" i="67"/>
  <c r="Y40" i="67"/>
  <c r="W40" i="67"/>
  <c r="Y23" i="67"/>
  <c r="W23" i="67"/>
  <c r="Y156" i="67"/>
  <c r="W156" i="67"/>
  <c r="AP81" i="15"/>
  <c r="AQ74" i="67" s="1"/>
  <c r="AP74" i="67"/>
  <c r="AP164" i="15"/>
  <c r="AQ157" i="67" s="1"/>
  <c r="AP157" i="67"/>
  <c r="W64" i="67"/>
  <c r="Y64" i="67"/>
  <c r="W93" i="67"/>
  <c r="Y93" i="67"/>
  <c r="Y141" i="67"/>
  <c r="W141" i="67"/>
  <c r="Y153" i="67"/>
  <c r="W153" i="67"/>
  <c r="AP126" i="67"/>
  <c r="AP133" i="15"/>
  <c r="AQ126" i="67" s="1"/>
  <c r="Y135" i="67"/>
  <c r="W135" i="67"/>
  <c r="AP121" i="67"/>
  <c r="AP128" i="15"/>
  <c r="AQ121" i="67" s="1"/>
  <c r="AP90" i="67"/>
  <c r="AP97" i="15"/>
  <c r="AQ90" i="67" s="1"/>
  <c r="AP67" i="15"/>
  <c r="AQ60" i="67" s="1"/>
  <c r="AP60" i="67"/>
  <c r="AP34" i="15"/>
  <c r="AQ27" i="67" s="1"/>
  <c r="AP27" i="67"/>
  <c r="W48" i="67"/>
  <c r="Y48" i="67"/>
  <c r="AP68" i="15"/>
  <c r="AQ61" i="67" s="1"/>
  <c r="AP61" i="67"/>
  <c r="W96" i="67"/>
  <c r="Y96" i="67"/>
  <c r="W151" i="67"/>
  <c r="Y151" i="67"/>
  <c r="W118" i="67"/>
  <c r="Y118" i="67"/>
  <c r="AP63" i="67"/>
  <c r="AP70" i="15"/>
  <c r="AQ63" i="67" s="1"/>
  <c r="W143" i="67"/>
  <c r="Y143" i="67"/>
  <c r="Y152" i="67"/>
  <c r="W152" i="67"/>
  <c r="W74" i="67"/>
  <c r="Y74"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 Johanns</author>
    <author>Ann Holste</author>
    <author>dhof</author>
    <author>Johanns, Ann M [ECONA]</author>
  </authors>
  <commentList>
    <comment ref="D1" authorId="0" shapeId="0" xr:uid="{00000000-0006-0000-0000-000001000000}">
      <text>
        <r>
          <rPr>
            <b/>
            <sz val="8"/>
            <color indexed="81"/>
            <rFont val="Tahoma"/>
            <family val="2"/>
          </rPr>
          <t>Source:</t>
        </r>
        <r>
          <rPr>
            <sz val="8"/>
            <color indexed="81"/>
            <rFont val="Tahoma"/>
            <family val="2"/>
          </rPr>
          <t xml:space="preserve"> USDA SJ_GR113 Report
https://www.ams.usda.gov/mnreports/sj_gr113.txt
</t>
        </r>
        <r>
          <rPr>
            <b/>
            <sz val="8"/>
            <color indexed="81"/>
            <rFont val="Tahoma"/>
            <family val="2"/>
          </rPr>
          <t>Note:</t>
        </r>
        <r>
          <rPr>
            <sz val="8"/>
            <color indexed="81"/>
            <rFont val="Tahoma"/>
            <family val="2"/>
          </rPr>
          <t xml:space="preserve"> prior to report (10-06) series was created based on
relationship with Nebraska FOB prices. Nebraska Ethanol Board, 
Lincoln, NE. Nebraska Energy Office, Lincoln, NE.</t>
        </r>
      </text>
    </comment>
    <comment ref="E1" authorId="1" shapeId="0" xr:uid="{00000000-0006-0000-0000-000002000000}">
      <text>
        <r>
          <rPr>
            <b/>
            <sz val="8"/>
            <color indexed="81"/>
            <rFont val="Tahoma"/>
            <family val="2"/>
          </rPr>
          <t>Source:</t>
        </r>
        <r>
          <rPr>
            <sz val="8"/>
            <color indexed="81"/>
            <rFont val="Tahoma"/>
            <family val="2"/>
          </rPr>
          <t xml:space="preserve"> USDA SJ_GR113 Report, 
USDA Agricultural Marketing Service
</t>
        </r>
        <r>
          <rPr>
            <b/>
            <sz val="8"/>
            <color indexed="81"/>
            <rFont val="Tahoma"/>
            <family val="2"/>
          </rPr>
          <t xml:space="preserve">Note: </t>
        </r>
        <r>
          <rPr>
            <sz val="8"/>
            <color indexed="81"/>
            <rFont val="Tahoma"/>
            <family val="2"/>
          </rPr>
          <t>prior to USDA report (10-06) 
series was created based on relationship 
with Lawrenceburg, IN in the USDA ERS Feed 
Grains Database.</t>
        </r>
      </text>
    </comment>
    <comment ref="G1" authorId="0" shapeId="0" xr:uid="{00000000-0006-0000-0000-000003000000}">
      <text>
        <r>
          <rPr>
            <b/>
            <sz val="8"/>
            <color indexed="81"/>
            <rFont val="Tahoma"/>
            <family val="2"/>
          </rPr>
          <t>Source:</t>
        </r>
        <r>
          <rPr>
            <sz val="8"/>
            <color indexed="81"/>
            <rFont val="Tahoma"/>
            <family val="2"/>
          </rPr>
          <t xml:space="preserve"> USDA SJ_GR113 Report, 
</t>
        </r>
        <r>
          <rPr>
            <b/>
            <sz val="8"/>
            <color indexed="81"/>
            <rFont val="Tahoma"/>
            <family val="2"/>
          </rPr>
          <t>Note:</t>
        </r>
        <r>
          <rPr>
            <sz val="8"/>
            <color indexed="81"/>
            <rFont val="Tahoma"/>
            <family val="2"/>
          </rPr>
          <t xml:space="preserve"> prior to USDA NW_GR111/SJ_GR113 report 
(10-06) series was created based on relationship 
with NW_GR110, Northern prices only.</t>
        </r>
      </text>
    </comment>
    <comment ref="H1" authorId="0" shapeId="0" xr:uid="{00000000-0006-0000-0000-000004000000}">
      <text>
        <r>
          <rPr>
            <b/>
            <sz val="8"/>
            <color indexed="81"/>
            <rFont val="Tahoma"/>
            <family val="2"/>
          </rPr>
          <t xml:space="preserve">Source: </t>
        </r>
        <r>
          <rPr>
            <sz val="8"/>
            <color indexed="81"/>
            <rFont val="Tahoma"/>
            <family val="2"/>
          </rPr>
          <t>Energy Information Administration, 
Iowa Natural Gas Industrial Price</t>
        </r>
      </text>
    </comment>
    <comment ref="AX1" authorId="2" shapeId="0" xr:uid="{00000000-0006-0000-0000-000005000000}">
      <text>
        <r>
          <rPr>
            <sz val="9"/>
            <color indexed="81"/>
            <rFont val="Tahoma"/>
            <family val="2"/>
          </rPr>
          <t xml:space="preserve">Rate of return each month is converted to an annual rate equivalent.
</t>
        </r>
      </text>
    </comment>
    <comment ref="H230" authorId="3" shapeId="0" xr:uid="{71B82F89-979D-405D-A13D-F3FD57823081}">
      <text>
        <r>
          <rPr>
            <sz val="9"/>
            <color indexed="81"/>
            <rFont val="Tahoma"/>
            <family val="2"/>
          </rPr>
          <t>Data not available, used 
value from previous month.</t>
        </r>
      </text>
    </comment>
    <comment ref="H231" authorId="3" shapeId="0" xr:uid="{C8C0BC71-A6CC-4759-8A44-8744110B344B}">
      <text>
        <r>
          <rPr>
            <sz val="9"/>
            <color indexed="81"/>
            <rFont val="Tahoma"/>
            <family val="2"/>
          </rPr>
          <t>Data not available, used 
value from previous month.</t>
        </r>
      </text>
    </comment>
    <comment ref="H232" authorId="3" shapeId="0" xr:uid="{05F58659-8AB9-43B9-A906-C1BFC9D6F9CF}">
      <text>
        <r>
          <rPr>
            <sz val="9"/>
            <color indexed="81"/>
            <rFont val="Tahoma"/>
            <family val="2"/>
          </rPr>
          <t>Data not available, used 
value from previous month.</t>
        </r>
      </text>
    </comment>
    <comment ref="H233" authorId="3" shapeId="0" xr:uid="{B01DCC6D-3A20-479D-AB64-25B491C9C755}">
      <text>
        <r>
          <rPr>
            <sz val="9"/>
            <color indexed="81"/>
            <rFont val="Tahoma"/>
            <family val="2"/>
          </rPr>
          <t>Data not available, used 
value from previous month.</t>
        </r>
      </text>
    </comment>
    <comment ref="H234" authorId="3" shapeId="0" xr:uid="{7496580F-90B4-4293-814D-F84CDA803D09}">
      <text>
        <r>
          <rPr>
            <sz val="9"/>
            <color indexed="81"/>
            <rFont val="Tahoma"/>
            <family val="2"/>
          </rPr>
          <t>Data not available, used 
value from previous month.</t>
        </r>
      </text>
    </comment>
    <comment ref="H235" authorId="3" shapeId="0" xr:uid="{70B14501-365D-4EE0-B3B3-7AD9638F50AB}">
      <text>
        <r>
          <rPr>
            <sz val="9"/>
            <color indexed="81"/>
            <rFont val="Tahoma"/>
            <family val="2"/>
          </rPr>
          <t>Data not available, used 
value from previous month.</t>
        </r>
      </text>
    </comment>
    <comment ref="H236" authorId="3" shapeId="0" xr:uid="{8BC60A92-50F5-4B73-B02F-1CED368A9C08}">
      <text>
        <r>
          <rPr>
            <sz val="9"/>
            <color indexed="81"/>
            <rFont val="Tahoma"/>
            <family val="2"/>
          </rPr>
          <t>Data not available, used 
value from previous month.</t>
        </r>
      </text>
    </comment>
    <comment ref="H237" authorId="3" shapeId="0" xr:uid="{AB8CCE92-1037-462A-90A8-7954F00366E3}">
      <text>
        <r>
          <rPr>
            <sz val="9"/>
            <color indexed="81"/>
            <rFont val="Tahoma"/>
            <family val="2"/>
          </rPr>
          <t>Data not available, used 
value from previous month.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Economics Department</author>
    <author>dhof</author>
    <author>Ann Johanns</author>
    <author>Johanns, Ann M [ECONA]</author>
  </authors>
  <commentList>
    <comment ref="B3" authorId="0" shapeId="0" xr:uid="{00000000-0006-0000-0300-000001000000}">
      <text>
        <r>
          <rPr>
            <sz val="8"/>
            <color indexed="81"/>
            <rFont val="Tahoma"/>
            <family val="2"/>
          </rPr>
          <t>Place the cursor over cells with red triangles to read comments.</t>
        </r>
      </text>
    </comment>
    <comment ref="B4" authorId="1" shapeId="0" xr:uid="{00000000-0006-0000-0300-000002000000}">
      <text>
        <r>
          <rPr>
            <sz val="9"/>
            <color indexed="81"/>
            <rFont val="Tahoma"/>
            <family val="2"/>
          </rPr>
          <t>Source: Doug Tiffany and Vernon Eidman, 
University of Minnesota, www.AgMRC.org;
Paul Ellinger, University of Illinois,
www.farmdoc.uiuc.edu</t>
        </r>
      </text>
    </comment>
    <comment ref="B5" authorId="0" shapeId="0" xr:uid="{00000000-0006-0000-0300-000003000000}">
      <text>
        <r>
          <rPr>
            <sz val="8"/>
            <color indexed="81"/>
            <rFont val="Tahoma"/>
            <family val="2"/>
          </rPr>
          <t>Place the cursor over cells with red triangles to read comments.</t>
        </r>
      </text>
    </comment>
    <comment ref="G8" authorId="1" shapeId="0" xr:uid="{00000000-0006-0000-0300-000004000000}">
      <text>
        <r>
          <rPr>
            <sz val="9"/>
            <color indexed="81"/>
            <rFont val="Tahoma"/>
            <family val="2"/>
          </rPr>
          <t>Including working capital.</t>
        </r>
      </text>
    </comment>
    <comment ref="G15" authorId="2" shapeId="0" xr:uid="{00000000-0006-0000-0300-000005000000}">
      <text>
        <r>
          <rPr>
            <sz val="8"/>
            <color indexed="81"/>
            <rFont val="Tahoma"/>
            <family val="2"/>
          </rPr>
          <t>Does not include working capital.</t>
        </r>
      </text>
    </comment>
    <comment ref="C25" authorId="1" shapeId="0" xr:uid="{00000000-0006-0000-0300-000006000000}">
      <text>
        <r>
          <rPr>
            <sz val="9"/>
            <color indexed="81"/>
            <rFont val="Tahoma"/>
            <family val="2"/>
          </rPr>
          <t>The percent of the combined 
construction cost and working capital 
that consists of debt.</t>
        </r>
      </text>
    </comment>
    <comment ref="C31" authorId="1" shapeId="0" xr:uid="{00000000-0006-0000-0300-000007000000}">
      <text>
        <r>
          <rPr>
            <sz val="9"/>
            <color indexed="81"/>
            <rFont val="Tahoma"/>
            <family val="2"/>
          </rPr>
          <t>The percentage that 
actual annual production is 
of nameplate capacity.</t>
        </r>
      </text>
    </comment>
    <comment ref="D39" authorId="1" shapeId="0" xr:uid="{00000000-0006-0000-0300-000008000000}">
      <text>
        <r>
          <rPr>
            <sz val="9"/>
            <color indexed="81"/>
            <rFont val="Tahoma"/>
            <family val="2"/>
          </rPr>
          <t>Average Salary and Benefits</t>
        </r>
      </text>
    </comment>
    <comment ref="B55" authorId="3" shapeId="0" xr:uid="{00000000-0006-0000-0300-000009000000}">
      <text>
        <r>
          <rPr>
            <sz val="9"/>
            <color indexed="81"/>
            <rFont val="Tahoma"/>
            <family val="2"/>
          </rPr>
          <t>Includes nitrogen, antibiotic, cleaning, and other chemicals.</t>
        </r>
      </text>
    </comment>
    <comment ref="B64" authorId="1" shapeId="0" xr:uid="{00000000-0006-0000-0300-00000A000000}">
      <text>
        <r>
          <rPr>
            <sz val="9"/>
            <color indexed="81"/>
            <rFont val="Tahoma"/>
            <family val="2"/>
          </rPr>
          <t xml:space="preserve">This provides the opportunity to adjust the monthly 
ethanol, corn, DDGS and natural gas prices listed in the 
"Returns per Gallon" and "Returns per Bushel" sheets. 
 For example, entering 10 cents in the corn cell will 
increase all of the monthly corn prices by 10 cents. 
A negative 10 cents will reduce corn price by 10 cents. </t>
        </r>
      </text>
    </comment>
    <comment ref="C65" authorId="1" shapeId="0" xr:uid="{00000000-0006-0000-0300-00000B000000}">
      <text>
        <r>
          <rPr>
            <sz val="9"/>
            <color indexed="81"/>
            <rFont val="Tahoma"/>
            <family val="2"/>
          </rPr>
          <t xml:space="preserve">Use this to adjust the ethanol 
price series up or down to fit 
your individual situation. </t>
        </r>
      </text>
    </comment>
    <comment ref="C66" authorId="1" shapeId="0" xr:uid="{00000000-0006-0000-0300-00000C000000}">
      <text>
        <r>
          <rPr>
            <sz val="9"/>
            <color indexed="81"/>
            <rFont val="Tahoma"/>
            <family val="2"/>
          </rPr>
          <t xml:space="preserve">Use this to adjust the distillers dry 
grains price series up or down to 
fit your individual situation. </t>
        </r>
      </text>
    </comment>
    <comment ref="C67" authorId="1" shapeId="0" xr:uid="{00000000-0006-0000-0300-00000D000000}">
      <text>
        <r>
          <rPr>
            <sz val="9"/>
            <color indexed="81"/>
            <rFont val="Tahoma"/>
            <family val="2"/>
          </rPr>
          <t xml:space="preserve">Use this to adjust the corn oil price 
series up or down to 
fit your individual situation. </t>
        </r>
      </text>
    </comment>
    <comment ref="C68" authorId="1" shapeId="0" xr:uid="{00000000-0006-0000-0300-00000E000000}">
      <text>
        <r>
          <rPr>
            <sz val="9"/>
            <color indexed="81"/>
            <rFont val="Tahoma"/>
            <family val="2"/>
          </rPr>
          <t>Use this to adjust the corn 
price series up or down to 
fit your individual situation.</t>
        </r>
      </text>
    </comment>
    <comment ref="C69" authorId="1" shapeId="0" xr:uid="{00000000-0006-0000-0300-00000F000000}">
      <text>
        <r>
          <rPr>
            <sz val="9"/>
            <color indexed="81"/>
            <rFont val="Tahoma"/>
            <family val="2"/>
          </rPr>
          <t>Use this to adjust the natural gas 
price series up or down to fit your 
individual situation.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 Johanns</author>
    <author>Ann Holste</author>
    <author>dhof</author>
    <author>Johanns, Ann M [ECONA]</author>
  </authors>
  <commentList>
    <comment ref="C6" authorId="0" shapeId="0" xr:uid="{00000000-0006-0000-0400-000001000000}">
      <text>
        <r>
          <rPr>
            <sz val="8"/>
            <color indexed="81"/>
            <rFont val="Tahoma"/>
            <family val="2"/>
          </rPr>
          <t>Iowa ethanol plant FOB ethanol price 
(USDA) plus or minus ethanol price adjustment 
from the economic model.</t>
        </r>
      </text>
    </comment>
    <comment ref="D6" authorId="1" shapeId="0" xr:uid="{00000000-0006-0000-0400-000002000000}">
      <text>
        <r>
          <rPr>
            <sz val="8"/>
            <color indexed="81"/>
            <rFont val="Tahoma"/>
            <family val="2"/>
          </rPr>
          <t>Iowa ethanol plant FOB 
DDGS price (USDA) plus or minus 
DDGS price adjustment from the 
economic model.</t>
        </r>
      </text>
    </comment>
    <comment ref="E6" authorId="1" shapeId="0" xr:uid="{00000000-0006-0000-0400-000003000000}">
      <text>
        <r>
          <rPr>
            <sz val="8"/>
            <color indexed="81"/>
            <rFont val="Tahoma"/>
            <family val="2"/>
          </rPr>
          <t>Iowa ethanol plant FOB 
price (USDA) plus or minus 
price adjustment from the 
economic model.</t>
        </r>
      </text>
    </comment>
    <comment ref="F6" authorId="0" shapeId="0" xr:uid="{00000000-0006-0000-0400-000004000000}">
      <text>
        <r>
          <rPr>
            <sz val="8"/>
            <color indexed="81"/>
            <rFont val="Tahoma"/>
            <family val="2"/>
          </rPr>
          <t>Iowa ethanol plant procurement 
corn price (USDA) plus or minus corn price 
adjustment from the economic model.</t>
        </r>
        <r>
          <rPr>
            <b/>
            <sz val="8"/>
            <color indexed="81"/>
            <rFont val="Tahoma"/>
            <family val="2"/>
          </rPr>
          <t xml:space="preserve"> </t>
        </r>
      </text>
    </comment>
    <comment ref="G6" authorId="0" shapeId="0" xr:uid="{00000000-0006-0000-0400-000005000000}">
      <text>
        <r>
          <rPr>
            <sz val="8"/>
            <color indexed="81"/>
            <rFont val="Tahoma"/>
            <family val="2"/>
          </rPr>
          <t xml:space="preserve">Iowa natural gas industrial price (Energy Information 
Administration) plus or minus the natural gas price 
adjustment factor from the economic model. </t>
        </r>
      </text>
    </comment>
    <comment ref="V6" authorId="2" shapeId="0" xr:uid="{00000000-0006-0000-0400-000006000000}">
      <text>
        <r>
          <rPr>
            <sz val="8"/>
            <color indexed="81"/>
            <rFont val="Tahoma"/>
            <family val="2"/>
          </rPr>
          <t>Includes all costs and the return from 
DDGS and Corn oil is deducted. This number can 
be compared directly to the price of 
ethanol to determine the profitability
of ethanol production</t>
        </r>
      </text>
    </comment>
    <comment ref="S7" authorId="2" shapeId="0" xr:uid="{00000000-0006-0000-0400-000007000000}">
      <text>
        <r>
          <rPr>
            <sz val="8"/>
            <color indexed="81"/>
            <rFont val="Tahoma"/>
            <family val="2"/>
          </rPr>
          <t>Total variable cost is equal to corn 
cost plus natural gas cost plus other 
variable costs.</t>
        </r>
      </text>
    </comment>
    <comment ref="Y7" authorId="2" shapeId="0" xr:uid="{00000000-0006-0000-0400-000008000000}">
      <text>
        <r>
          <rPr>
            <sz val="8"/>
            <color indexed="81"/>
            <rFont val="Tahoma"/>
            <family val="2"/>
          </rPr>
          <t>Grind Margin is computed by subtracting
 corn cost and energy cost (natural gas 
and electricity) from revenue (ethanol 
and DDGS).</t>
        </r>
      </text>
    </comment>
    <comment ref="G237" authorId="3" shapeId="0" xr:uid="{6092E951-9AB4-4D61-A4B2-A0E27D75183B}">
      <text>
        <r>
          <rPr>
            <sz val="9"/>
            <color indexed="81"/>
            <rFont val="Tahoma"/>
            <family val="2"/>
          </rPr>
          <t>Data not available, used 
value from previous month.</t>
        </r>
      </text>
    </comment>
    <comment ref="G238" authorId="3" shapeId="0" xr:uid="{DBC09DC6-DE4D-4153-B617-4E8D3074850D}">
      <text>
        <r>
          <rPr>
            <sz val="9"/>
            <color indexed="81"/>
            <rFont val="Tahoma"/>
            <family val="2"/>
          </rPr>
          <t>Data not available, used 
value from previous month.</t>
        </r>
      </text>
    </comment>
    <comment ref="G239" authorId="3" shapeId="0" xr:uid="{C90AC4D9-AB7B-4A74-84D9-E402A2DBC651}">
      <text>
        <r>
          <rPr>
            <sz val="9"/>
            <color indexed="81"/>
            <rFont val="Tahoma"/>
            <family val="2"/>
          </rPr>
          <t>Data not available, used 
value from previous month.</t>
        </r>
      </text>
    </comment>
    <comment ref="G240" authorId="3" shapeId="0" xr:uid="{1D2CE9A9-9FD8-483B-BDDC-C045BC0FB618}">
      <text>
        <r>
          <rPr>
            <sz val="9"/>
            <color indexed="81"/>
            <rFont val="Tahoma"/>
            <family val="2"/>
          </rPr>
          <t>Data not available, used 
value from previous month.</t>
        </r>
      </text>
    </comment>
    <comment ref="G241" authorId="3" shapeId="0" xr:uid="{A270F20E-B849-4289-83CE-C4CF75E1B441}">
      <text>
        <r>
          <rPr>
            <sz val="9"/>
            <color indexed="81"/>
            <rFont val="Tahoma"/>
            <family val="2"/>
          </rPr>
          <t>Data not available, used 
value from previous month.</t>
        </r>
      </text>
    </comment>
    <comment ref="G242" authorId="3" shapeId="0" xr:uid="{794093E0-5202-4527-94C2-8059566305AE}">
      <text>
        <r>
          <rPr>
            <sz val="9"/>
            <color indexed="81"/>
            <rFont val="Tahoma"/>
            <family val="2"/>
          </rPr>
          <t>Data not available, used 
value from previous month.</t>
        </r>
      </text>
    </comment>
    <comment ref="G243" authorId="3" shapeId="0" xr:uid="{94A14ACB-ADC1-47D5-9BC9-0FEE6DAB8244}">
      <text>
        <r>
          <rPr>
            <sz val="9"/>
            <color indexed="81"/>
            <rFont val="Tahoma"/>
            <family val="2"/>
          </rPr>
          <t>Data not available, used 
value from previous month.</t>
        </r>
      </text>
    </comment>
    <comment ref="G244" authorId="3" shapeId="0" xr:uid="{6D4B7796-A4B3-45AD-A1F9-39EBF80956E6}">
      <text>
        <r>
          <rPr>
            <sz val="9"/>
            <color indexed="81"/>
            <rFont val="Tahoma"/>
            <family val="2"/>
          </rPr>
          <t>Data not available, used 
value from previous month.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Ann Johanns</author>
    <author>Ann Holste</author>
    <author>dhof</author>
    <author>Johanns, Ann M [ECONA]</author>
  </authors>
  <commentList>
    <comment ref="D6" authorId="0" shapeId="0" xr:uid="{00000000-0006-0000-0500-000001000000}">
      <text>
        <r>
          <rPr>
            <sz val="8"/>
            <color indexed="81"/>
            <rFont val="Tahoma"/>
            <family val="2"/>
          </rPr>
          <t>Iowa ethanol plant FOB ethanol price 
(USDA) plus or minus ethanol price adjustment 
from the economic model.</t>
        </r>
      </text>
    </comment>
    <comment ref="E6" authorId="1" shapeId="0" xr:uid="{00000000-0006-0000-0500-000002000000}">
      <text>
        <r>
          <rPr>
            <sz val="8"/>
            <color indexed="81"/>
            <rFont val="Tahoma"/>
            <family val="2"/>
          </rPr>
          <t>Iowa ethanol plant FOB 
DDGS price (USDA) plus or minus 
DDGS price adjustment from the 
economic model.</t>
        </r>
      </text>
    </comment>
    <comment ref="F6" authorId="1" shapeId="0" xr:uid="{00000000-0006-0000-0500-000003000000}">
      <text>
        <r>
          <rPr>
            <sz val="8"/>
            <color indexed="81"/>
            <rFont val="Tahoma"/>
            <family val="2"/>
          </rPr>
          <t>Iowa ethanol plant FOB 
price (USDA) plus or minus 
price adjustment from the 
economic model.</t>
        </r>
      </text>
    </comment>
    <comment ref="G6" authorId="0" shapeId="0" xr:uid="{00000000-0006-0000-0500-000004000000}">
      <text>
        <r>
          <rPr>
            <sz val="8"/>
            <color indexed="81"/>
            <rFont val="Tahoma"/>
            <family val="2"/>
          </rPr>
          <t>Iowa ethanol plant procurement 
corn price (USDA) plus or minus corn price 
adjustment from the economic model.</t>
        </r>
        <r>
          <rPr>
            <b/>
            <sz val="8"/>
            <color indexed="81"/>
            <rFont val="Tahoma"/>
            <family val="2"/>
          </rPr>
          <t xml:space="preserve"> </t>
        </r>
      </text>
    </comment>
    <comment ref="H6" authorId="0" shapeId="0" xr:uid="{00000000-0006-0000-0500-000005000000}">
      <text>
        <r>
          <rPr>
            <sz val="8"/>
            <color indexed="81"/>
            <rFont val="Tahoma"/>
            <family val="2"/>
          </rPr>
          <t xml:space="preserve">Iowa natural gas industrial price (Energy Information 
Administration) plus or minus the natural gas price 
adjustment factor from the economic model. </t>
        </r>
      </text>
    </comment>
    <comment ref="O6" authorId="2" shapeId="0" xr:uid="{00000000-0006-0000-0500-000006000000}">
      <text>
        <r>
          <rPr>
            <sz val="8"/>
            <color indexed="81"/>
            <rFont val="Tahoma"/>
            <family val="2"/>
          </rPr>
          <t>All costs have been subtracted from the returns 
except the cost of corn. This coefficient can be 
compared directly to the price of corn to determine 
profitability of ethanol production.</t>
        </r>
      </text>
    </comment>
    <comment ref="AD7" authorId="3" shapeId="0" xr:uid="{00000000-0006-0000-0500-000007000000}">
      <text>
        <r>
          <rPr>
            <sz val="9"/>
            <color indexed="81"/>
            <rFont val="Tahoma"/>
            <family val="2"/>
          </rPr>
          <t>Source: AgDM A1-85 Corn Profitability</t>
        </r>
      </text>
    </comment>
    <comment ref="Z8" authorId="2" shapeId="0" xr:uid="{00000000-0006-0000-0500-000008000000}">
      <text>
        <r>
          <rPr>
            <sz val="9"/>
            <color indexed="81"/>
            <rFont val="Tahoma"/>
            <family val="2"/>
          </rPr>
          <t>Rate of return each month is converted to an annual rate equivalent.</t>
        </r>
      </text>
    </comment>
    <comment ref="H237" authorId="3" shapeId="0" xr:uid="{1A148C46-83BF-416C-B186-5ADF0403EE2F}">
      <text>
        <r>
          <rPr>
            <sz val="9"/>
            <color indexed="81"/>
            <rFont val="Tahoma"/>
            <family val="2"/>
          </rPr>
          <t>Data not available, used 
value from previous month.</t>
        </r>
      </text>
    </comment>
    <comment ref="H238" authorId="3" shapeId="0" xr:uid="{419FF301-AEAC-420E-BA9F-4FC146E3930E}">
      <text>
        <r>
          <rPr>
            <sz val="9"/>
            <color indexed="81"/>
            <rFont val="Tahoma"/>
            <family val="2"/>
          </rPr>
          <t>Data not available, used 
value from previous month.</t>
        </r>
      </text>
    </comment>
    <comment ref="H239" authorId="3" shapeId="0" xr:uid="{115041AB-9BCC-4498-884D-4FC6F22F05FC}">
      <text>
        <r>
          <rPr>
            <sz val="9"/>
            <color indexed="81"/>
            <rFont val="Tahoma"/>
            <family val="2"/>
          </rPr>
          <t>Data not available, used 
value from previous month.</t>
        </r>
      </text>
    </comment>
    <comment ref="H240" authorId="3" shapeId="0" xr:uid="{8F48FAC0-5196-4289-ABB9-9282FCFA7F6E}">
      <text>
        <r>
          <rPr>
            <sz val="9"/>
            <color indexed="81"/>
            <rFont val="Tahoma"/>
            <family val="2"/>
          </rPr>
          <t>Data not available, used 
value from previous month.</t>
        </r>
      </text>
    </comment>
    <comment ref="H241" authorId="3" shapeId="0" xr:uid="{178473C8-01E2-40C7-8627-2D13EDAC3D5F}">
      <text>
        <r>
          <rPr>
            <sz val="9"/>
            <color indexed="81"/>
            <rFont val="Tahoma"/>
            <family val="2"/>
          </rPr>
          <t>Data not available, used 
value from previous month.</t>
        </r>
      </text>
    </comment>
    <comment ref="H242" authorId="3" shapeId="0" xr:uid="{D31CA7EF-39CD-44E2-9997-477557909899}">
      <text>
        <r>
          <rPr>
            <sz val="9"/>
            <color indexed="81"/>
            <rFont val="Tahoma"/>
            <family val="2"/>
          </rPr>
          <t>Data not available, used 
value from previous month.</t>
        </r>
      </text>
    </comment>
    <comment ref="H243" authorId="3" shapeId="0" xr:uid="{BE5573B1-E9BD-4756-8D95-7DB2F1CDF0B9}">
      <text>
        <r>
          <rPr>
            <sz val="9"/>
            <color indexed="81"/>
            <rFont val="Tahoma"/>
            <family val="2"/>
          </rPr>
          <t>Data not available, used 
value from previous month.</t>
        </r>
      </text>
    </comment>
    <comment ref="H244" authorId="3" shapeId="0" xr:uid="{2713B058-52A0-4F87-8257-417D1DA23A08}">
      <text>
        <r>
          <rPr>
            <sz val="9"/>
            <color indexed="81"/>
            <rFont val="Tahoma"/>
            <family val="2"/>
          </rPr>
          <t>Data not available, used 
value from previous month.</t>
        </r>
      </text>
    </comment>
  </commentList>
</comments>
</file>

<file path=xl/sharedStrings.xml><?xml version="1.0" encoding="utf-8"?>
<sst xmlns="http://schemas.openxmlformats.org/spreadsheetml/2006/main" count="490" uniqueCount="265">
  <si>
    <t xml:space="preserve"> </t>
  </si>
  <si>
    <t>Other</t>
  </si>
  <si>
    <t>Natural Gas</t>
  </si>
  <si>
    <t>Corn</t>
  </si>
  <si>
    <t>Prices</t>
  </si>
  <si>
    <t xml:space="preserve">Water Usage </t>
  </si>
  <si>
    <t xml:space="preserve">Electricity Usage </t>
  </si>
  <si>
    <t xml:space="preserve">Natural Gas Usage </t>
  </si>
  <si>
    <t>DDGS Production</t>
  </si>
  <si>
    <t>Corn Usage</t>
  </si>
  <si>
    <t>Ethanol Production</t>
  </si>
  <si>
    <t>Percent Debt</t>
  </si>
  <si>
    <t>Length of Loan</t>
  </si>
  <si>
    <t>Interest Rate</t>
  </si>
  <si>
    <t>DDGS</t>
  </si>
  <si>
    <t>Depreciation</t>
  </si>
  <si>
    <t>Interest</t>
  </si>
  <si>
    <t>¢/bu.</t>
  </si>
  <si>
    <t>Enzymes</t>
  </si>
  <si>
    <t>Yeasts</t>
  </si>
  <si>
    <t>Denaturants</t>
  </si>
  <si>
    <t>Electricity</t>
  </si>
  <si>
    <t>Water</t>
  </si>
  <si>
    <t>Transportation</t>
  </si>
  <si>
    <t>Nameplate Capacity</t>
  </si>
  <si>
    <t>Ethanol</t>
  </si>
  <si>
    <t>Efficiency Factors</t>
  </si>
  <si>
    <t>Production</t>
  </si>
  <si>
    <t xml:space="preserve">  Total Chemical Cost</t>
  </si>
  <si>
    <t xml:space="preserve">  Total Other Costs</t>
  </si>
  <si>
    <t xml:space="preserve">Water   </t>
  </si>
  <si>
    <t>Other Direct Costs</t>
  </si>
  <si>
    <t xml:space="preserve">  Total Fixed Costs</t>
  </si>
  <si>
    <t xml:space="preserve">Cost per Bushel   </t>
  </si>
  <si>
    <t xml:space="preserve">Cost per Gallon   </t>
  </si>
  <si>
    <t xml:space="preserve">Natural </t>
  </si>
  <si>
    <t>Working Capital</t>
  </si>
  <si>
    <t>Return</t>
  </si>
  <si>
    <t>per</t>
  </si>
  <si>
    <t>Month</t>
  </si>
  <si>
    <t>and</t>
  </si>
  <si>
    <t>Year</t>
  </si>
  <si>
    <t>Economic Model of an Ethanol Production Facility</t>
  </si>
  <si>
    <t>Construction Cost</t>
  </si>
  <si>
    <t>Estimated Life</t>
  </si>
  <si>
    <t>Property Taxes</t>
  </si>
  <si>
    <t>Repairs &amp; Maintenance</t>
  </si>
  <si>
    <t>Price Adjustments (+ or -)</t>
  </si>
  <si>
    <t>Financing</t>
  </si>
  <si>
    <t xml:space="preserve"> gal./yr.</t>
  </si>
  <si>
    <t xml:space="preserve"> years</t>
  </si>
  <si>
    <t xml:space="preserve"> per yr.</t>
  </si>
  <si>
    <t xml:space="preserve"> %</t>
  </si>
  <si>
    <t xml:space="preserve"> gal./bu.</t>
  </si>
  <si>
    <t xml:space="preserve"> % capacity</t>
  </si>
  <si>
    <t xml:space="preserve"> lbs./bu.</t>
  </si>
  <si>
    <t xml:space="preserve"> KwH/gal.</t>
  </si>
  <si>
    <t xml:space="preserve"> gal./gal.</t>
  </si>
  <si>
    <t xml:space="preserve"> ¢/gal.</t>
  </si>
  <si>
    <t xml:space="preserve"> $/gal.</t>
  </si>
  <si>
    <t xml:space="preserve"> $/ton</t>
  </si>
  <si>
    <t xml:space="preserve"> $/bu.</t>
  </si>
  <si>
    <t>Over</t>
  </si>
  <si>
    <t>All</t>
  </si>
  <si>
    <t>Costs</t>
  </si>
  <si>
    <t>Variable</t>
  </si>
  <si>
    <t>Net Return/Gal.</t>
  </si>
  <si>
    <t>Net Return/Bu.</t>
  </si>
  <si>
    <t>Cost per Gallon</t>
  </si>
  <si>
    <t>Total</t>
  </si>
  <si>
    <t>Revenue per Gallon</t>
  </si>
  <si>
    <t>Total Variable Costs</t>
  </si>
  <si>
    <t>Total Variable &amp; Fixed Costs</t>
  </si>
  <si>
    <t>Revenue per Bushel</t>
  </si>
  <si>
    <t>Equity</t>
  </si>
  <si>
    <t>Annual</t>
  </si>
  <si>
    <t>Output</t>
  </si>
  <si>
    <t>Assumptions (inputs)</t>
  </si>
  <si>
    <t>Chemicals</t>
  </si>
  <si>
    <t xml:space="preserve"> cub. ft./gal.</t>
  </si>
  <si>
    <t>***Energy Information Administration</t>
  </si>
  <si>
    <t>Monthly Costs and Returns per Gallon of Ethanol Produced</t>
  </si>
  <si>
    <t>Engineering Expense</t>
  </si>
  <si>
    <t>Construction Mgmt. &amp;</t>
  </si>
  <si>
    <t>Site Preparation</t>
  </si>
  <si>
    <t>Land</t>
  </si>
  <si>
    <t>EPC Contract</t>
  </si>
  <si>
    <t>Organizational Costs</t>
  </si>
  <si>
    <t>Facility Construction</t>
  </si>
  <si>
    <t>Start-up Debt Interest</t>
  </si>
  <si>
    <t>Start-up Operating Costs</t>
  </si>
  <si>
    <t>Const. Contingency</t>
  </si>
  <si>
    <t xml:space="preserve">    Total</t>
  </si>
  <si>
    <t xml:space="preserve">    Nameplate Capacity</t>
  </si>
  <si>
    <t xml:space="preserve">    Operating Capacity</t>
  </si>
  <si>
    <t>Labor &amp; Management</t>
  </si>
  <si>
    <t>Number</t>
  </si>
  <si>
    <t>Salary</t>
  </si>
  <si>
    <t>Maintenance</t>
  </si>
  <si>
    <t>Laboratory</t>
  </si>
  <si>
    <t>Material Handlers</t>
  </si>
  <si>
    <t xml:space="preserve">   Chemicals</t>
  </si>
  <si>
    <t xml:space="preserve">   Other Direct Costs</t>
  </si>
  <si>
    <t xml:space="preserve">   Fixed Costs</t>
  </si>
  <si>
    <t xml:space="preserve">    Per Gallon Nameplate Cap.</t>
  </si>
  <si>
    <t>Labor &amp; Management Cost</t>
  </si>
  <si>
    <t>per year</t>
  </si>
  <si>
    <t>Water Cost</t>
  </si>
  <si>
    <t xml:space="preserve"> ¢/KwH</t>
  </si>
  <si>
    <t>Number of Employees</t>
  </si>
  <si>
    <t>employees</t>
  </si>
  <si>
    <t>Annual Production and Resource Usage</t>
  </si>
  <si>
    <t>Interest Cost</t>
  </si>
  <si>
    <t xml:space="preserve">per year </t>
  </si>
  <si>
    <t>Production Costs (gallon &amp; bushel)</t>
  </si>
  <si>
    <t>Enzyme Cost</t>
  </si>
  <si>
    <t>Yeast Cost</t>
  </si>
  <si>
    <t>Chemicals Cost</t>
  </si>
  <si>
    <t>Denaturant Cost</t>
  </si>
  <si>
    <t>Transportation Cost</t>
  </si>
  <si>
    <t>Other Costs</t>
  </si>
  <si>
    <t>Electricity Cost</t>
  </si>
  <si>
    <t>Procurement Fees</t>
  </si>
  <si>
    <t>&amp; Loan Fees</t>
  </si>
  <si>
    <t xml:space="preserve"> $/1000</t>
  </si>
  <si>
    <t xml:space="preserve"> cubic feet</t>
  </si>
  <si>
    <t>Fixed</t>
  </si>
  <si>
    <t>Gas</t>
  </si>
  <si>
    <t>Natural</t>
  </si>
  <si>
    <t>gallon</t>
  </si>
  <si>
    <t>ton</t>
  </si>
  <si>
    <t>bushel</t>
  </si>
  <si>
    <t>&amp; Fixed</t>
  </si>
  <si>
    <t>Gas/1000</t>
  </si>
  <si>
    <t>cub. ft.</t>
  </si>
  <si>
    <t>Var.</t>
  </si>
  <si>
    <t xml:space="preserve">    Depreciation</t>
  </si>
  <si>
    <t>gallons per year</t>
  </si>
  <si>
    <t>tons per year</t>
  </si>
  <si>
    <t>bushels per year</t>
  </si>
  <si>
    <t>kilowatt hours/year</t>
  </si>
  <si>
    <t>1,000 cubic feet/year</t>
  </si>
  <si>
    <t xml:space="preserve">    Per Gallon Operating Cap.</t>
  </si>
  <si>
    <t xml:space="preserve">    Per Bushel Operating Cap.</t>
  </si>
  <si>
    <t xml:space="preserve">   Total Costs (less corn &amp; natural gas)</t>
  </si>
  <si>
    <t>Place the cursor over cells with red triangles to read comments.</t>
  </si>
  <si>
    <t>Break-</t>
  </si>
  <si>
    <t>even</t>
  </si>
  <si>
    <t xml:space="preserve">Major assumptions and characteristics of the ethanol plant model </t>
  </si>
  <si>
    <t>2)  Facility built in 2007</t>
  </si>
  <si>
    <t>3)  Nameplate capacity of 100 million gallons</t>
  </si>
  <si>
    <t>4)  Facility construction cost (including working capital) of $1.97 per gallon of ethanol nameplate capacity</t>
  </si>
  <si>
    <t>10) Carbon dioxide is vented (no local market)</t>
  </si>
  <si>
    <t>12) Typical input costs for an Iowa corn ethanol facility</t>
  </si>
  <si>
    <t xml:space="preserve">Monthly price variables </t>
  </si>
  <si>
    <t xml:space="preserve">Revenue, costs and net returns (profitability) are shown monthly per gallon of ethanol and per bushel of corn. Also, ethanol and corn price breakeven levels are computed. </t>
  </si>
  <si>
    <t>Ag Decision Maker, D1-10 Ethanol Profitability</t>
  </si>
  <si>
    <t xml:space="preserve">    Equity</t>
  </si>
  <si>
    <t xml:space="preserve">    Debt</t>
  </si>
  <si>
    <t>Updated:</t>
  </si>
  <si>
    <t>11) Natural gas requirement of 30 cubic feet per gallon of ethanol</t>
  </si>
  <si>
    <t>Cash</t>
  </si>
  <si>
    <t>Rent</t>
  </si>
  <si>
    <t>Prod.</t>
  </si>
  <si>
    <t>Inputs</t>
  </si>
  <si>
    <t>Cost</t>
  </si>
  <si>
    <t xml:space="preserve"> Corn at Market Price</t>
  </si>
  <si>
    <t xml:space="preserve"> Corn at Cost of Production</t>
  </si>
  <si>
    <t>Monthly Ethanol Costs and Returns per Bushel of Corn Processed</t>
  </si>
  <si>
    <t>Corn at Cost of Production</t>
  </si>
  <si>
    <t>Production Cost/Bu.</t>
  </si>
  <si>
    <t>Total Cost/Bu.</t>
  </si>
  <si>
    <t>Corn Prod. Cost/Gal.</t>
  </si>
  <si>
    <t>Cost per Gal.</t>
  </si>
  <si>
    <t>on</t>
  </si>
  <si>
    <t>For</t>
  </si>
  <si>
    <t>Producer</t>
  </si>
  <si>
    <t>Farmer</t>
  </si>
  <si>
    <t>Ethanol Profitability</t>
  </si>
  <si>
    <t>Tables:</t>
  </si>
  <si>
    <t>Charts:</t>
  </si>
  <si>
    <t>Corn at Market Price -- the analysis is based on corn at its market price</t>
  </si>
  <si>
    <t>Corn at Cost of Production -- the analysis is based on corn at its cost of production</t>
  </si>
  <si>
    <t>Cash Rent</t>
  </si>
  <si>
    <r>
      <t>Economic Ethanol Facility Model</t>
    </r>
    <r>
      <rPr>
        <sz val="12"/>
        <rFont val="Arial"/>
        <family val="2"/>
      </rPr>
      <t xml:space="preserve"> – The economic model that computes the monthly costs, revenue and profit (loss).</t>
    </r>
  </si>
  <si>
    <r>
      <t>Costs and Returns</t>
    </r>
    <r>
      <rPr>
        <sz val="12"/>
        <rFont val="Arial"/>
        <family val="2"/>
      </rPr>
      <t xml:space="preserve"> – Monthly Results per Gallon of Ethanol</t>
    </r>
  </si>
  <si>
    <r>
      <t>Costs and Returns</t>
    </r>
    <r>
      <rPr>
        <sz val="12"/>
        <rFont val="Arial"/>
        <family val="2"/>
      </rPr>
      <t xml:space="preserve"> – Monthly Results per Bushel of Corn</t>
    </r>
  </si>
  <si>
    <t xml:space="preserve">Overview and Assumptions of Ethanol Profitability </t>
  </si>
  <si>
    <r>
      <t>Overview and Assumptions</t>
    </r>
    <r>
      <rPr>
        <sz val="12"/>
        <rFont val="Arial"/>
        <family val="2"/>
      </rPr>
      <t xml:space="preserve"> – Overview of the model, assumptions and data sources. </t>
    </r>
  </si>
  <si>
    <t>Date</t>
  </si>
  <si>
    <t>Other Variable</t>
  </si>
  <si>
    <t>Total Variable</t>
  </si>
  <si>
    <t>Ethanol Breakeven</t>
  </si>
  <si>
    <t>Return over all costs</t>
  </si>
  <si>
    <t>Production Inputs</t>
  </si>
  <si>
    <t>Total Cost</t>
  </si>
  <si>
    <t>Total Fixed and Variable</t>
  </si>
  <si>
    <t>Return Over Variable Costs</t>
  </si>
  <si>
    <t>For Ethanol producer</t>
  </si>
  <si>
    <t>For corn farmer</t>
  </si>
  <si>
    <t>Ethanol and DDGS</t>
  </si>
  <si>
    <t>Corn Breakeven</t>
  </si>
  <si>
    <t>Return on Equity</t>
  </si>
  <si>
    <t>Other Administrative Expenses</t>
  </si>
  <si>
    <t>Grind</t>
  </si>
  <si>
    <t>Margin</t>
  </si>
  <si>
    <t>Management &amp; Professional Fees</t>
  </si>
  <si>
    <t>Mgmt. &amp; Administrative Staff</t>
  </si>
  <si>
    <t xml:space="preserve">Although these prices are representative of Iowa ethanol plants, they may not be representative of plants in other regions or states. In the economic model the user can increase or decrease any of the price series by a fixed amount to represent a special situation. An adjustment in a price series will be reflected in the analysis tables and graphs. </t>
  </si>
  <si>
    <t>reflected in the analysis.</t>
  </si>
  <si>
    <t>The following inputs (boxes) can be changed &amp; the changes will be</t>
  </si>
  <si>
    <t>Production costs</t>
  </si>
  <si>
    <t>gallon*</t>
  </si>
  <si>
    <t>ton*</t>
  </si>
  <si>
    <t>bushel*</t>
  </si>
  <si>
    <t>cub. ft.***</t>
  </si>
  <si>
    <t>To navigate among the pages in this workbook, use the tabs at the bottom of the spreadsheet or the links in the text on this page.</t>
  </si>
  <si>
    <t>Sources:</t>
  </si>
  <si>
    <t>Corn Oil</t>
  </si>
  <si>
    <t>Corn Oil Production</t>
  </si>
  <si>
    <t>Corn oil</t>
  </si>
  <si>
    <t>lb*</t>
  </si>
  <si>
    <t>Revenue</t>
  </si>
  <si>
    <t>lb.</t>
  </si>
  <si>
    <t>Oil Extraction</t>
  </si>
  <si>
    <t xml:space="preserve"> $/lb</t>
  </si>
  <si>
    <t>8)  Conversion factor of 2.85 gallons of ethanol per bushel of corn</t>
  </si>
  <si>
    <t>*USDA Agricultural Market News Service reports, AMS_3617, (July 2022 forward); SJ_GR113 (Prior to July 2022), https://mymarketnews.ams.usda.gov/viewReport/3617</t>
  </si>
  <si>
    <t>**USDA Agricultural Market News Service reports, AMS_3616, (July 2022 forward); SJ_GR113 (Prior to July 2022), https://mymarketnews.ams.usda.gov/viewReport/3616</t>
  </si>
  <si>
    <r>
      <rPr>
        <sz val="10"/>
        <rFont val="Arial"/>
        <family val="2"/>
      </rPr>
      <t xml:space="preserve">5) </t>
    </r>
    <r>
      <rPr>
        <u/>
        <sz val="10"/>
        <color indexed="12"/>
        <rFont val="Arial"/>
        <family val="2"/>
      </rPr>
      <t>Natural Gas Price</t>
    </r>
    <r>
      <rPr>
        <sz val="10"/>
        <rFont val="Arial"/>
        <family val="2"/>
      </rPr>
      <t xml:space="preserve"> – Monthly Iowa natural gas price for industrial users as reported by the Energy Information Administration (official energy statistics of the U.S. government). </t>
    </r>
  </si>
  <si>
    <r>
      <t>3) Distillers Corn Oil Price (Feed grade)</t>
    </r>
    <r>
      <rPr>
        <sz val="10"/>
        <rFont val="Arial"/>
        <family val="2"/>
      </rPr>
      <t xml:space="preserve"> – Spot bid weekly distillers corn oil price (converted into monthly average prices, starting in 2016) at selected ethanol plants in Iowa as reported by USDA Ag Marketing Service in the National Weekly Ethanol Report, </t>
    </r>
    <r>
      <rPr>
        <u/>
        <sz val="10"/>
        <color indexed="12"/>
        <rFont val="Arial"/>
        <family val="2"/>
      </rPr>
      <t xml:space="preserve"> </t>
    </r>
    <r>
      <rPr>
        <sz val="10"/>
        <rFont val="Arial"/>
        <family val="2"/>
      </rPr>
      <t>https://mymarketnews.ams.usda.gov/viewReport/3616.</t>
    </r>
  </si>
  <si>
    <r>
      <rPr>
        <sz val="10"/>
        <rFont val="Arial"/>
        <family val="2"/>
      </rPr>
      <t xml:space="preserve">2) </t>
    </r>
    <r>
      <rPr>
        <u/>
        <sz val="10"/>
        <color indexed="12"/>
        <rFont val="Arial"/>
        <family val="2"/>
      </rPr>
      <t xml:space="preserve">Corn Price (No. 2 yellow) </t>
    </r>
    <r>
      <rPr>
        <u/>
        <vertAlign val="superscript"/>
        <sz val="10"/>
        <color indexed="12"/>
        <rFont val="Arial"/>
        <family val="2"/>
      </rPr>
      <t>1</t>
    </r>
    <r>
      <rPr>
        <sz val="10"/>
        <rFont val="Arial"/>
        <family val="2"/>
      </rPr>
      <t xml:space="preserve"> – Spot bid daily corn price (converted into monthly average prices) at selected ethanol plants in Iowa as reported by USDA Ag Marketing Service in the National Daily Ethanol Plant Report, https://mymarketnews.ams.usda.gov/viewReport/3617.</t>
    </r>
  </si>
  <si>
    <r>
      <rPr>
        <sz val="10"/>
        <rFont val="Arial"/>
        <family val="2"/>
      </rPr>
      <t>4) </t>
    </r>
    <r>
      <rPr>
        <u/>
        <sz val="10"/>
        <color indexed="12"/>
        <rFont val="Arial"/>
        <family val="2"/>
      </rPr>
      <t xml:space="preserve">DDGS Price </t>
    </r>
    <r>
      <rPr>
        <u/>
        <vertAlign val="superscript"/>
        <sz val="10"/>
        <color indexed="12"/>
        <rFont val="Arial"/>
        <family val="2"/>
      </rPr>
      <t>1</t>
    </r>
    <r>
      <rPr>
        <sz val="10"/>
        <rFont val="Arial"/>
        <family val="2"/>
      </rPr>
      <t xml:space="preserve"> – Distillers Grains with Solubles daily price F.O.B. the plant (converted into monthly average prices) at selected ethanol plants in Iowa as reported by USDA Ag Marketing Service in the National Weekly Ethanol Report.</t>
    </r>
  </si>
  <si>
    <r>
      <rPr>
        <sz val="10"/>
        <rFont val="Arial"/>
        <family val="2"/>
      </rPr>
      <t>1) </t>
    </r>
    <r>
      <rPr>
        <u/>
        <sz val="10"/>
        <color indexed="12"/>
        <rFont val="Arial"/>
        <family val="2"/>
      </rPr>
      <t xml:space="preserve">Ethanol Price </t>
    </r>
    <r>
      <rPr>
        <u/>
        <vertAlign val="superscript"/>
        <sz val="10"/>
        <color indexed="12"/>
        <rFont val="Arial"/>
        <family val="2"/>
      </rPr>
      <t>1</t>
    </r>
    <r>
      <rPr>
        <sz val="10"/>
        <color indexed="12"/>
        <rFont val="Arial"/>
        <family val="2"/>
      </rPr>
      <t xml:space="preserve"> – </t>
    </r>
    <r>
      <rPr>
        <sz val="10"/>
        <rFont val="Arial"/>
        <family val="2"/>
      </rPr>
      <t>Ethanol weekly price F.O.B. (Free on Board) the plant (converted into monthly average prices) at selected ethanol plants in Iowa as reported by USDA Ag Marketing Service in the National Daily Ethanol Plant Report, https://mymarketnews.ams.usda.gov/viewReport/3616</t>
    </r>
  </si>
  <si>
    <t>7)  Plant operates at 110% of nameplate capacity</t>
  </si>
  <si>
    <t>5)  Lender finances 40% of the project</t>
  </si>
  <si>
    <t>6)  Equity financing of 60% of the project</t>
  </si>
  <si>
    <t xml:space="preserve">The monthly profitability of this hypothetical plant is computed by using the monthly market prices for ethanol, corn, distillers corn oil, DDGS and natural gas. Each month the analysis is updated with the previous month’s prices. All other variables are held constant throughout the analysis. </t>
  </si>
  <si>
    <t>To track the profitability of corn ethanol production, an economic model of a typical Iowa corn ethanol plant was created. This is a 100 million gallon facility with construction costs similar to plants built in 2007. The costs and efficiencies are believed to be typical of Iowa ethanol plants. The prices of ethanol, DDGS, corn, distillers corn oil, and natural gas are updated monthly to compute the current profitability of ethanol production.</t>
  </si>
  <si>
    <t>The profitability of ethanol production is extremely variable. Due to the volatile price nature of ethanol and corn, its major feedstock, ethanol profitability can change rapidly from month to month. In addition, price variations of its co-products (distillers grains with solubles, corn oil) and its energy source (natural gas) add to the variability of ethanol profits.</t>
  </si>
  <si>
    <t>Total Revenue</t>
  </si>
  <si>
    <t>Z
Grind Margin</t>
  </si>
  <si>
    <t>AA
Return over variable costs</t>
  </si>
  <si>
    <t>AB
Return over all costs</t>
  </si>
  <si>
    <t>This institution is an equal opportunity provider. For the full non-discrimination statement or accommodation inquiries, go to www.extension.iastate.edu/diversity/ext.</t>
  </si>
  <si>
    <t xml:space="preserve">Breakeven Purchase Cost for Corn and Sale Price for Ethanol – Monthly prices ethanol facility can pay for corn and receive for </t>
  </si>
  <si>
    <t>Ethanol Input and Output Prices – Monthly corn, natural gas, ethanol, corn oil, and DDGS prices – 2016 to present.</t>
  </si>
  <si>
    <t>Ethanol Revenue – Monthly ethanol, corn oil, and DDGS revenue – 2016 to present</t>
  </si>
  <si>
    <t>ethanol just cover costs – 2016 to present.</t>
  </si>
  <si>
    <t>Ethanol Costs – Monthly cost to produce ethanol per gallon (total and divided by category) – 2016 to present.</t>
  </si>
  <si>
    <t>Ethanol Revenue, Costs and Profits – Monthly costs and returns per gallon – 2016 to present.</t>
  </si>
  <si>
    <t>Grind Margin and Return Over Variable and Total Cost – Monthly return over grind margin, variable, total costs – 2016 to present.</t>
  </si>
  <si>
    <t>Return on Equity – Monthly percent return on equity – 2016 to present.</t>
  </si>
  <si>
    <t>Allocation of Ethanol Profits (losses) – Monthly distribution between the ethanol producer and the corn farmer – 2016 to present.</t>
  </si>
  <si>
    <t>Ethanol Costs – Monthly cost to produce ethanol per gallon with corn costs projected into the future – 2016 to present.</t>
  </si>
  <si>
    <t>Ethanol Revenue, Costs and Profit – Monthly costs and returns per gallon – 2016 to present.</t>
  </si>
  <si>
    <t>9)  A bushel of corn produces 16.4 pounds of distillers grains, and .7 pounds of corn oil.</t>
  </si>
  <si>
    <r>
      <t xml:space="preserve">Input coefficient adjustment. </t>
    </r>
    <r>
      <rPr>
        <sz val="10"/>
        <color indexed="63"/>
        <rFont val="Arial"/>
        <family val="2"/>
      </rPr>
      <t xml:space="preserve">Although we believe the coefficients in this model are a good representation of a corn ethanol plant, the user has the ability to change any of the input coefficients in the model to fit a special situation. A change in an input coefficient will be reflected in the analysis tables and graphs. </t>
    </r>
  </si>
  <si>
    <t>1)  Turn-key ethanol production facility</t>
  </si>
  <si>
    <t>Model developer: Don Hofstrand</t>
  </si>
  <si>
    <t>Prices series updates by Ann Johanns</t>
  </si>
  <si>
    <t>Model developed by Don Hofstrand</t>
  </si>
  <si>
    <t>Distillers Corn Oil</t>
  </si>
  <si>
    <r>
      <t>1</t>
    </r>
    <r>
      <rPr>
        <i/>
        <sz val="9"/>
        <color indexed="63"/>
        <rFont val="Arial"/>
        <family val="2"/>
      </rPr>
      <t xml:space="preserve"> The USDA Ethanol report for Iowa began in October of 2006. Price data prior to Oct 2006 was created for ethanol, corn, and dried distillers grains. The Omaha rack ethanol price, the USDA Interior Iowa Grain (corn) prices, and the Lawrenceburg, Indiana distillers grains price from the USDA Feed Grains Database were used to create this series. The pre-Oct. 2006 series was created by comparing the post-Oct. 2006 Iowa Ethanol price series to these databases prices and adjusting the pre-Oct. 2006 Iowa Ethanol series by these differences. Distillers corn oil price data was first publicly reported in 2016. Charts and data tables show the series from 2016 to the present.</t>
    </r>
  </si>
  <si>
    <t>To show how this facility would have performed in the past, the monthly profitability time-series started in January 2005. Although this facility would not have been in production at this time (built in 2007), it provides a perspective on how this facility would have performed historically. Charts and tables show data from 2016 on to show recent 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</si>
</sst>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4" formatCode="_(&quot;$&quot;* #,##0.00_);_(&quot;$&quot;* \(#,##0.00\);_(&quot;$&quot;* &quot;-&quot;??_);_(@_)"/>
    <numFmt numFmtId="164" formatCode="0.000"/>
    <numFmt numFmtId="165" formatCode="&quot;$&quot;#,##0.00"/>
    <numFmt numFmtId="166" formatCode="&quot;$&quot;#,##0"/>
    <numFmt numFmtId="167" formatCode="0.0"/>
    <numFmt numFmtId="168" formatCode="&quot;$&quot;#,##0;[Red]&quot;$&quot;#,##0"/>
    <numFmt numFmtId="169" formatCode="&quot;$&quot;#,##0.00;[Red]&quot;$&quot;#,##0.00"/>
    <numFmt numFmtId="170" formatCode="#,##0.00;[Red]#,##0.00"/>
    <numFmt numFmtId="171" formatCode="_(&quot;$&quot;* #,##0.00_);_(&quot;$&quot;* \(#,##0.00\);_(&quot;$&quot;* &quot;-&quot;_);_(@_)"/>
    <numFmt numFmtId="172" formatCode="_(&quot;$&quot;* #,##0_);_(&quot;$&quot;* \(#,##0\);_(&quot;$&quot;* &quot;-&quot;??_);_(@_)"/>
    <numFmt numFmtId="173" formatCode="_(&quot;$&quot;* #,##0.0000_);_(&quot;$&quot;* \(#,##0.0000\);_(&quot;$&quot;* &quot;-&quot;??_);_(@_)"/>
    <numFmt numFmtId="174" formatCode="0.00000"/>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b/>
      <sz val="10"/>
      <name val="Arial"/>
      <family val="2"/>
    </font>
    <font>
      <b/>
      <sz val="16"/>
      <name val="Arial"/>
      <family val="2"/>
    </font>
    <font>
      <sz val="8"/>
      <name val="Arial"/>
      <family val="2"/>
    </font>
    <font>
      <sz val="10"/>
      <name val="Arial"/>
      <family val="2"/>
    </font>
    <font>
      <b/>
      <i/>
      <sz val="10"/>
      <name val="Arial"/>
      <family val="2"/>
    </font>
    <font>
      <sz val="8"/>
      <color indexed="81"/>
      <name val="Tahoma"/>
      <family val="2"/>
    </font>
    <font>
      <sz val="9"/>
      <color indexed="81"/>
      <name val="Tahoma"/>
      <family val="2"/>
    </font>
    <font>
      <b/>
      <i/>
      <sz val="11"/>
      <name val="Arial"/>
      <family val="2"/>
    </font>
    <font>
      <b/>
      <u/>
      <sz val="11"/>
      <name val="Arial"/>
      <family val="2"/>
    </font>
    <font>
      <u/>
      <sz val="11"/>
      <name val="Arial"/>
      <family val="2"/>
    </font>
    <font>
      <u/>
      <sz val="10"/>
      <name val="Arial"/>
      <family val="2"/>
    </font>
    <font>
      <b/>
      <i/>
      <sz val="14"/>
      <name val="Arial"/>
      <family val="2"/>
    </font>
    <font>
      <sz val="14"/>
      <name val="Arial"/>
      <family val="2"/>
    </font>
    <font>
      <b/>
      <sz val="8"/>
      <color indexed="81"/>
      <name val="Tahoma"/>
      <family val="2"/>
    </font>
    <font>
      <sz val="10"/>
      <name val="Arial"/>
      <family val="2"/>
    </font>
    <font>
      <sz val="10"/>
      <name val="Arial"/>
      <family val="2"/>
    </font>
    <font>
      <u/>
      <sz val="10"/>
      <color indexed="12"/>
      <name val="Arial"/>
      <family val="2"/>
    </font>
    <font>
      <i/>
      <sz val="9"/>
      <name val="Arial"/>
      <family val="2"/>
    </font>
    <font>
      <u/>
      <sz val="10"/>
      <color indexed="45"/>
      <name val="Arial"/>
      <family val="2"/>
    </font>
    <font>
      <b/>
      <sz val="10"/>
      <color indexed="60"/>
      <name val="Arial"/>
      <family val="2"/>
    </font>
    <font>
      <sz val="6"/>
      <color indexed="63"/>
      <name val="Univers"/>
      <family val="2"/>
    </font>
    <font>
      <b/>
      <sz val="12"/>
      <color indexed="45"/>
      <name val="Arial"/>
      <family val="2"/>
    </font>
    <font>
      <sz val="10"/>
      <color indexed="63"/>
      <name val="Arial"/>
      <family val="2"/>
    </font>
    <font>
      <sz val="18"/>
      <name val="Arial"/>
      <family val="2"/>
    </font>
    <font>
      <sz val="11"/>
      <name val="Arial"/>
      <family val="2"/>
    </font>
    <font>
      <b/>
      <sz val="14"/>
      <name val="Arial"/>
      <family val="2"/>
    </font>
    <font>
      <sz val="12"/>
      <name val="Arial"/>
      <family val="2"/>
    </font>
    <font>
      <b/>
      <sz val="12"/>
      <name val="Arial"/>
      <family val="2"/>
    </font>
    <font>
      <b/>
      <i/>
      <sz val="12"/>
      <name val="Arial"/>
      <family val="2"/>
    </font>
    <font>
      <b/>
      <sz val="20"/>
      <name val="Arial"/>
      <family val="2"/>
    </font>
    <font>
      <u/>
      <sz val="12"/>
      <color indexed="12"/>
      <name val="Arial"/>
      <family val="2"/>
    </font>
    <font>
      <b/>
      <u/>
      <sz val="12"/>
      <color indexed="12"/>
      <name val="Arial"/>
      <family val="2"/>
    </font>
    <font>
      <b/>
      <sz val="18"/>
      <name val="Arial"/>
      <family val="2"/>
    </font>
    <font>
      <i/>
      <vertAlign val="superscript"/>
      <sz val="9"/>
      <color indexed="63"/>
      <name val="Arial"/>
      <family val="2"/>
    </font>
    <font>
      <i/>
      <sz val="9"/>
      <color indexed="63"/>
      <name val="Arial"/>
      <family val="2"/>
    </font>
    <font>
      <b/>
      <sz val="10"/>
      <color rgb="FF000080"/>
      <name val="Arial"/>
      <family val="2"/>
    </font>
    <font>
      <b/>
      <sz val="11"/>
      <name val="Arial"/>
      <family val="2"/>
    </font>
    <font>
      <sz val="8"/>
      <color indexed="63"/>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3"/>
      <name val="Calibri"/>
      <family val="2"/>
      <scheme val="minor"/>
    </font>
    <font>
      <b/>
      <sz val="10"/>
      <color rgb="FFC8102E"/>
      <name val="Arial"/>
      <family val="2"/>
    </font>
    <font>
      <b/>
      <sz val="13.5"/>
      <color rgb="FFC8102E"/>
      <name val="Arial"/>
      <family val="2"/>
    </font>
    <font>
      <u/>
      <vertAlign val="superscript"/>
      <sz val="10"/>
      <color indexed="12"/>
      <name val="Arial"/>
      <family val="2"/>
    </font>
    <font>
      <sz val="10"/>
      <color indexed="12"/>
      <name val="Arial"/>
      <family val="2"/>
    </font>
    <font>
      <b/>
      <sz val="10"/>
      <color indexed="63"/>
      <name val="Arial"/>
      <family val="2"/>
    </font>
  </fonts>
  <fills count="2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6">
    <border>
      <left/>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medium">
        <color auto="1"/>
      </right>
      <top/>
      <bottom/>
      <diagonal/>
    </border>
    <border>
      <left style="medium">
        <color auto="1"/>
      </left>
      <right/>
      <top/>
      <bottom/>
      <diagonal/>
    </border>
    <border>
      <left style="thin">
        <color auto="1"/>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bottom style="thin">
        <color indexed="64"/>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6">
    <xf numFmtId="0" fontId="0" fillId="0" borderId="0"/>
    <xf numFmtId="0" fontId="24"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0" fontId="32" fillId="0" borderId="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9" fillId="8" borderId="0" applyNumberFormat="0" applyBorder="0" applyAlignment="0" applyProtection="0"/>
    <xf numFmtId="0" fontId="50" fillId="25" borderId="31" applyNumberFormat="0" applyAlignment="0" applyProtection="0"/>
    <xf numFmtId="0" fontId="51" fillId="26" borderId="32" applyNumberFormat="0" applyAlignment="0" applyProtection="0"/>
    <xf numFmtId="0" fontId="52" fillId="0" borderId="0" applyNumberFormat="0" applyFill="0" applyBorder="0" applyAlignment="0" applyProtection="0"/>
    <xf numFmtId="0" fontId="53" fillId="9" borderId="0" applyNumberFormat="0" applyBorder="0" applyAlignment="0" applyProtection="0"/>
    <xf numFmtId="0" fontId="54" fillId="0" borderId="33" applyNumberFormat="0" applyFill="0" applyAlignment="0" applyProtection="0"/>
    <xf numFmtId="0" fontId="55" fillId="0" borderId="34" applyNumberFormat="0" applyFill="0" applyAlignment="0" applyProtection="0"/>
    <xf numFmtId="0" fontId="56" fillId="0" borderId="35" applyNumberFormat="0" applyFill="0" applyAlignment="0" applyProtection="0"/>
    <xf numFmtId="0" fontId="56" fillId="0" borderId="0" applyNumberFormat="0" applyFill="0" applyBorder="0" applyAlignment="0" applyProtection="0"/>
    <xf numFmtId="0" fontId="57" fillId="12" borderId="31" applyNumberFormat="0" applyAlignment="0" applyProtection="0"/>
    <xf numFmtId="0" fontId="58" fillId="0" borderId="36" applyNumberFormat="0" applyFill="0" applyAlignment="0" applyProtection="0"/>
    <xf numFmtId="0" fontId="59" fillId="27" borderId="0" applyNumberFormat="0" applyBorder="0" applyAlignment="0" applyProtection="0"/>
    <xf numFmtId="0" fontId="4" fillId="0" borderId="0"/>
    <xf numFmtId="0" fontId="4" fillId="0" borderId="0"/>
    <xf numFmtId="0" fontId="46" fillId="0" borderId="0"/>
    <xf numFmtId="0" fontId="32" fillId="28" borderId="37" applyNumberFormat="0" applyFont="0" applyAlignment="0" applyProtection="0"/>
    <xf numFmtId="0" fontId="60" fillId="25" borderId="38" applyNumberFormat="0" applyAlignment="0" applyProtection="0"/>
    <xf numFmtId="0" fontId="61" fillId="0" borderId="0" applyNumberFormat="0" applyFill="0" applyBorder="0" applyAlignment="0" applyProtection="0"/>
    <xf numFmtId="0" fontId="62" fillId="0" borderId="39" applyNumberFormat="0" applyFill="0" applyAlignment="0" applyProtection="0"/>
    <xf numFmtId="0" fontId="63" fillId="0" borderId="0" applyNumberFormat="0" applyFill="0" applyBorder="0" applyAlignment="0" applyProtection="0"/>
    <xf numFmtId="0" fontId="46" fillId="0" borderId="0"/>
    <xf numFmtId="0" fontId="3" fillId="0" borderId="0"/>
    <xf numFmtId="0" fontId="46" fillId="0" borderId="0"/>
    <xf numFmtId="0" fontId="46" fillId="0" borderId="0"/>
    <xf numFmtId="0" fontId="46" fillId="0" borderId="0"/>
    <xf numFmtId="0" fontId="2" fillId="0" borderId="0"/>
    <xf numFmtId="0" fontId="1" fillId="0" borderId="0"/>
  </cellStyleXfs>
  <cellXfs count="433">
    <xf numFmtId="0" fontId="0" fillId="0" borderId="0" xfId="0"/>
    <xf numFmtId="0" fontId="0" fillId="0" borderId="0" xfId="0" applyAlignment="1">
      <alignment horizontal="center"/>
    </xf>
    <xf numFmtId="0" fontId="8" fillId="0" borderId="1"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8" fillId="0" borderId="1" xfId="0" applyFont="1" applyFill="1" applyBorder="1" applyAlignment="1">
      <alignment horizontal="center"/>
    </xf>
    <xf numFmtId="17" fontId="11" fillId="0" borderId="0" xfId="0" applyNumberFormat="1" applyFont="1"/>
    <xf numFmtId="0" fontId="11" fillId="0" borderId="0" xfId="0" applyFont="1"/>
    <xf numFmtId="17" fontId="0" fillId="0" borderId="0" xfId="0" applyNumberFormat="1"/>
    <xf numFmtId="0" fontId="11" fillId="0" borderId="0" xfId="0" applyFont="1" applyFill="1" applyBorder="1"/>
    <xf numFmtId="0" fontId="0" fillId="0" borderId="0" xfId="0" applyAlignment="1"/>
    <xf numFmtId="0" fontId="15" fillId="0" borderId="0" xfId="0" applyFont="1" applyBorder="1" applyAlignment="1">
      <alignment horizontal="center"/>
    </xf>
    <xf numFmtId="40" fontId="11" fillId="0" borderId="0" xfId="0" applyNumberFormat="1" applyFont="1" applyBorder="1" applyAlignment="1">
      <alignment horizontal="right"/>
    </xf>
    <xf numFmtId="0" fontId="8" fillId="0" borderId="2" xfId="0" applyFont="1" applyBorder="1" applyAlignment="1">
      <alignment horizontal="center"/>
    </xf>
    <xf numFmtId="0" fontId="0" fillId="0" borderId="2" xfId="0" applyBorder="1"/>
    <xf numFmtId="44" fontId="0" fillId="0" borderId="0" xfId="0" applyNumberFormat="1"/>
    <xf numFmtId="44" fontId="11" fillId="0" borderId="0" xfId="0" applyNumberFormat="1" applyFont="1" applyBorder="1" applyAlignment="1">
      <alignment horizontal="right"/>
    </xf>
    <xf numFmtId="44" fontId="0" fillId="0" borderId="0" xfId="0" applyNumberFormat="1" applyBorder="1"/>
    <xf numFmtId="44" fontId="0" fillId="0" borderId="2" xfId="0" applyNumberFormat="1" applyBorder="1"/>
    <xf numFmtId="0" fontId="11" fillId="0" borderId="0" xfId="0" applyFont="1" applyBorder="1" applyAlignment="1"/>
    <xf numFmtId="0" fontId="0" fillId="2" borderId="0" xfId="0" applyFill="1" applyBorder="1"/>
    <xf numFmtId="17" fontId="12" fillId="0" borderId="0" xfId="0" applyNumberFormat="1" applyFont="1"/>
    <xf numFmtId="166" fontId="0" fillId="0" borderId="0" xfId="0" applyNumberFormat="1"/>
    <xf numFmtId="166" fontId="11" fillId="0" borderId="0" xfId="0" applyNumberFormat="1" applyFont="1"/>
    <xf numFmtId="0" fontId="8" fillId="0" borderId="0" xfId="0" applyFont="1" applyAlignment="1">
      <alignment horizontal="right"/>
    </xf>
    <xf numFmtId="0" fontId="18" fillId="0" borderId="0" xfId="0" applyFont="1" applyAlignment="1">
      <alignment horizontal="center"/>
    </xf>
    <xf numFmtId="0" fontId="17" fillId="0" borderId="0" xfId="0" applyFont="1" applyAlignment="1">
      <alignment horizontal="center"/>
    </xf>
    <xf numFmtId="0" fontId="0" fillId="0" borderId="0" xfId="0" applyBorder="1"/>
    <xf numFmtId="0" fontId="11" fillId="0" borderId="2" xfId="0" applyFont="1" applyBorder="1"/>
    <xf numFmtId="0" fontId="0" fillId="0" borderId="1" xfId="0" applyBorder="1"/>
    <xf numFmtId="0" fontId="8" fillId="0" borderId="3" xfId="0" applyFont="1" applyBorder="1" applyAlignment="1">
      <alignment horizontal="center"/>
    </xf>
    <xf numFmtId="0" fontId="8" fillId="0" borderId="5" xfId="0" applyFont="1" applyBorder="1" applyAlignment="1">
      <alignment horizontal="center"/>
    </xf>
    <xf numFmtId="0" fontId="7" fillId="0" borderId="0" xfId="0" applyFont="1"/>
    <xf numFmtId="0" fontId="22" fillId="0" borderId="0" xfId="0" applyFont="1"/>
    <xf numFmtId="0" fontId="23" fillId="0" borderId="0" xfId="0" applyFont="1"/>
    <xf numFmtId="0" fontId="0" fillId="0" borderId="0" xfId="0" applyFill="1"/>
    <xf numFmtId="0" fontId="0" fillId="0" borderId="0" xfId="0" applyFill="1" applyAlignment="1">
      <alignment wrapText="1"/>
    </xf>
    <xf numFmtId="0" fontId="29" fillId="0" borderId="0" xfId="1" applyFont="1" applyFill="1" applyAlignment="1" applyProtection="1"/>
    <xf numFmtId="0" fontId="26" fillId="0" borderId="0" xfId="1" applyFont="1" applyFill="1" applyAlignment="1" applyProtection="1"/>
    <xf numFmtId="0" fontId="7" fillId="0" borderId="0" xfId="0" applyFont="1" applyFill="1"/>
    <xf numFmtId="0" fontId="7" fillId="0" borderId="0" xfId="0" applyFont="1" applyFill="1" applyProtection="1"/>
    <xf numFmtId="0" fontId="26" fillId="0" borderId="0" xfId="1" applyFont="1" applyFill="1" applyAlignment="1" applyProtection="1">
      <alignment horizontal="left"/>
    </xf>
    <xf numFmtId="14" fontId="7" fillId="0" borderId="0" xfId="0" applyNumberFormat="1" applyFont="1" applyFill="1" applyAlignment="1" applyProtection="1">
      <alignment horizontal="left"/>
    </xf>
    <xf numFmtId="14" fontId="7" fillId="0" borderId="0" xfId="0" applyNumberFormat="1" applyFont="1" applyFill="1" applyAlignment="1" applyProtection="1"/>
    <xf numFmtId="0" fontId="11" fillId="0" borderId="0" xfId="0" applyFont="1" applyFill="1" applyProtection="1"/>
    <xf numFmtId="0" fontId="27" fillId="0" borderId="0" xfId="0" applyFont="1" applyFill="1"/>
    <xf numFmtId="14" fontId="7" fillId="0" borderId="0" xfId="0" applyNumberFormat="1" applyFont="1" applyFill="1" applyAlignment="1" applyProtection="1">
      <alignment horizontal="center"/>
    </xf>
    <xf numFmtId="0" fontId="28" fillId="0" borderId="0" xfId="0" applyFont="1" applyFill="1" applyAlignment="1">
      <alignment wrapText="1"/>
    </xf>
    <xf numFmtId="0" fontId="9" fillId="0" borderId="0" xfId="0" applyFont="1" applyAlignment="1">
      <alignment horizontal="center"/>
    </xf>
    <xf numFmtId="0" fontId="15" fillId="0" borderId="7" xfId="0" applyFont="1" applyBorder="1" applyAlignment="1">
      <alignment horizontal="center"/>
    </xf>
    <xf numFmtId="0" fontId="8" fillId="0" borderId="8" xfId="0" applyFont="1" applyBorder="1" applyAlignment="1">
      <alignment horizontal="center"/>
    </xf>
    <xf numFmtId="0" fontId="8" fillId="0" borderId="7" xfId="0" applyFont="1" applyBorder="1" applyAlignment="1">
      <alignment horizontal="center"/>
    </xf>
    <xf numFmtId="0" fontId="0" fillId="0" borderId="7" xfId="0" applyBorder="1"/>
    <xf numFmtId="0" fontId="0" fillId="0" borderId="8" xfId="0" applyBorder="1"/>
    <xf numFmtId="0" fontId="0" fillId="0" borderId="0" xfId="0" applyBorder="1" applyAlignment="1"/>
    <xf numFmtId="0" fontId="8" fillId="0" borderId="4" xfId="0" applyFont="1" applyBorder="1" applyAlignment="1">
      <alignment horizontal="center"/>
    </xf>
    <xf numFmtId="0" fontId="0" fillId="0" borderId="10" xfId="0" applyBorder="1"/>
    <xf numFmtId="0" fontId="0" fillId="0" borderId="4" xfId="0" applyBorder="1"/>
    <xf numFmtId="0" fontId="20" fillId="0" borderId="0" xfId="0" applyFont="1" applyBorder="1" applyAlignment="1"/>
    <xf numFmtId="0" fontId="8" fillId="0" borderId="0" xfId="0" applyFont="1" applyFill="1" applyBorder="1" applyAlignment="1">
      <alignment horizontal="center"/>
    </xf>
    <xf numFmtId="0" fontId="8" fillId="0" borderId="7" xfId="0" applyFont="1" applyFill="1" applyBorder="1" applyAlignment="1">
      <alignment horizontal="center"/>
    </xf>
    <xf numFmtId="0" fontId="0" fillId="0" borderId="9" xfId="0" applyBorder="1"/>
    <xf numFmtId="0" fontId="0" fillId="0" borderId="11" xfId="0" applyBorder="1"/>
    <xf numFmtId="0" fontId="9" fillId="0" borderId="0" xfId="0" applyFont="1" applyFill="1" applyAlignment="1">
      <alignment horizontal="center"/>
    </xf>
    <xf numFmtId="0" fontId="0" fillId="0" borderId="12" xfId="0" applyBorder="1"/>
    <xf numFmtId="44" fontId="0" fillId="0" borderId="1" xfId="0" applyNumberFormat="1" applyBorder="1"/>
    <xf numFmtId="44" fontId="0" fillId="0" borderId="4" xfId="0" applyNumberFormat="1" applyBorder="1"/>
    <xf numFmtId="0" fontId="8" fillId="0" borderId="10" xfId="0" applyFont="1" applyBorder="1" applyAlignment="1">
      <alignment horizontal="center"/>
    </xf>
    <xf numFmtId="17" fontId="0" fillId="0" borderId="1" xfId="0" applyNumberFormat="1" applyBorder="1"/>
    <xf numFmtId="17" fontId="0" fillId="0" borderId="12" xfId="0" applyNumberFormat="1" applyBorder="1"/>
    <xf numFmtId="17" fontId="11" fillId="0" borderId="1" xfId="0" applyNumberFormat="1" applyFont="1" applyBorder="1"/>
    <xf numFmtId="44" fontId="11" fillId="0" borderId="1" xfId="0" applyNumberFormat="1" applyFont="1" applyBorder="1" applyAlignment="1">
      <alignment horizontal="right"/>
    </xf>
    <xf numFmtId="9" fontId="0" fillId="0" borderId="0" xfId="3" applyFont="1"/>
    <xf numFmtId="44" fontId="11" fillId="0" borderId="6" xfId="0" applyNumberFormat="1" applyFont="1" applyBorder="1" applyAlignment="1">
      <alignment horizontal="right"/>
    </xf>
    <xf numFmtId="0" fontId="11" fillId="0" borderId="0" xfId="0" applyFont="1" applyBorder="1"/>
    <xf numFmtId="0" fontId="12" fillId="0" borderId="0" xfId="0" applyFont="1" applyBorder="1" applyAlignment="1">
      <alignment horizontal="center"/>
    </xf>
    <xf numFmtId="0" fontId="12" fillId="0" borderId="7" xfId="0" applyFont="1" applyBorder="1" applyAlignment="1">
      <alignment horizontal="center"/>
    </xf>
    <xf numFmtId="0" fontId="11" fillId="0" borderId="8" xfId="0" applyFont="1" applyBorder="1"/>
    <xf numFmtId="0" fontId="11" fillId="0" borderId="7" xfId="0" applyFont="1" applyBorder="1"/>
    <xf numFmtId="0" fontId="12" fillId="0" borderId="1" xfId="0" applyFont="1" applyBorder="1" applyAlignment="1">
      <alignment horizontal="center"/>
    </xf>
    <xf numFmtId="44" fontId="0" fillId="0" borderId="7" xfId="0" applyNumberFormat="1" applyBorder="1"/>
    <xf numFmtId="44" fontId="0" fillId="0" borderId="8" xfId="0" applyNumberFormat="1" applyBorder="1"/>
    <xf numFmtId="44" fontId="0" fillId="0" borderId="12" xfId="0" applyNumberFormat="1" applyBorder="1"/>
    <xf numFmtId="44" fontId="0" fillId="0" borderId="10" xfId="0" applyNumberFormat="1" applyBorder="1"/>
    <xf numFmtId="44" fontId="11" fillId="0" borderId="2" xfId="0" applyNumberFormat="1" applyFont="1" applyBorder="1" applyAlignment="1">
      <alignment horizontal="right"/>
    </xf>
    <xf numFmtId="44" fontId="11" fillId="0" borderId="3" xfId="0" applyNumberFormat="1" applyFont="1" applyBorder="1" applyAlignment="1">
      <alignment horizontal="right"/>
    </xf>
    <xf numFmtId="44" fontId="11" fillId="0" borderId="4" xfId="0" applyNumberFormat="1" applyFont="1" applyBorder="1" applyAlignment="1">
      <alignment horizontal="right"/>
    </xf>
    <xf numFmtId="44" fontId="11" fillId="0" borderId="5" xfId="0" applyNumberFormat="1" applyFont="1" applyBorder="1" applyAlignment="1">
      <alignment horizontal="right"/>
    </xf>
    <xf numFmtId="44" fontId="11" fillId="0" borderId="13" xfId="0" applyNumberFormat="1" applyFont="1" applyBorder="1" applyAlignment="1">
      <alignment horizontal="right"/>
    </xf>
    <xf numFmtId="0" fontId="0" fillId="0" borderId="0" xfId="0" applyFill="1" applyAlignment="1"/>
    <xf numFmtId="44" fontId="11" fillId="0" borderId="6" xfId="0" applyNumberFormat="1" applyFont="1" applyBorder="1" applyAlignment="1">
      <alignment horizontal="left" wrapText="1"/>
    </xf>
    <xf numFmtId="44" fontId="0" fillId="0" borderId="0" xfId="0" applyNumberFormat="1" applyBorder="1" applyAlignment="1"/>
    <xf numFmtId="44" fontId="0" fillId="0" borderId="1" xfId="0" applyNumberFormat="1" applyBorder="1" applyAlignment="1"/>
    <xf numFmtId="44" fontId="0" fillId="0" borderId="0" xfId="0" applyNumberFormat="1" applyBorder="1" applyAlignment="1">
      <alignment horizontal="left"/>
    </xf>
    <xf numFmtId="44" fontId="8" fillId="0" borderId="0" xfId="0" applyNumberFormat="1" applyFont="1" applyBorder="1" applyAlignment="1">
      <alignment horizontal="left"/>
    </xf>
    <xf numFmtId="172" fontId="0" fillId="0" borderId="0" xfId="0" applyNumberFormat="1" applyBorder="1" applyAlignment="1">
      <alignment horizontal="left"/>
    </xf>
    <xf numFmtId="44" fontId="11" fillId="0" borderId="0" xfId="0" applyNumberFormat="1" applyFont="1" applyBorder="1" applyAlignment="1">
      <alignment horizontal="left" wrapText="1"/>
    </xf>
    <xf numFmtId="44" fontId="0" fillId="0" borderId="1" xfId="0" applyNumberFormat="1" applyBorder="1" applyAlignment="1">
      <alignment horizontal="left"/>
    </xf>
    <xf numFmtId="44" fontId="8" fillId="0" borderId="1" xfId="0" applyNumberFormat="1" applyFont="1" applyBorder="1" applyAlignment="1">
      <alignment horizontal="left"/>
    </xf>
    <xf numFmtId="172" fontId="0" fillId="0" borderId="1" xfId="0" applyNumberFormat="1" applyBorder="1" applyAlignment="1">
      <alignment horizontal="left"/>
    </xf>
    <xf numFmtId="44" fontId="11" fillId="0" borderId="1" xfId="0" applyNumberFormat="1" applyFont="1" applyBorder="1" applyAlignment="1">
      <alignment horizontal="left" wrapText="1"/>
    </xf>
    <xf numFmtId="44" fontId="0" fillId="0" borderId="6" xfId="0" applyNumberFormat="1" applyBorder="1" applyAlignment="1">
      <alignment horizontal="left"/>
    </xf>
    <xf numFmtId="44" fontId="8" fillId="0" borderId="6" xfId="0" applyNumberFormat="1" applyFont="1" applyBorder="1" applyAlignment="1">
      <alignment horizontal="left"/>
    </xf>
    <xf numFmtId="172" fontId="0" fillId="0" borderId="6" xfId="0" applyNumberFormat="1" applyBorder="1" applyAlignment="1">
      <alignment horizontal="left"/>
    </xf>
    <xf numFmtId="44" fontId="0" fillId="0" borderId="2" xfId="0" applyNumberFormat="1" applyBorder="1" applyAlignment="1">
      <alignment horizontal="left"/>
    </xf>
    <xf numFmtId="44" fontId="0" fillId="0" borderId="3" xfId="0" applyNumberFormat="1" applyBorder="1" applyAlignment="1">
      <alignment horizontal="left"/>
    </xf>
    <xf numFmtId="44" fontId="0" fillId="0" borderId="4" xfId="0" applyNumberFormat="1" applyBorder="1" applyAlignment="1">
      <alignment horizontal="left"/>
    </xf>
    <xf numFmtId="44" fontId="0" fillId="0" borderId="5" xfId="0" applyNumberFormat="1" applyBorder="1" applyAlignment="1">
      <alignment horizontal="left"/>
    </xf>
    <xf numFmtId="44" fontId="11" fillId="0" borderId="0" xfId="0" applyNumberFormat="1" applyFont="1" applyBorder="1" applyAlignment="1">
      <alignment horizontal="left"/>
    </xf>
    <xf numFmtId="44" fontId="11" fillId="0" borderId="2" xfId="0" applyNumberFormat="1" applyFont="1" applyBorder="1" applyAlignment="1">
      <alignment horizontal="left"/>
    </xf>
    <xf numFmtId="44" fontId="11" fillId="0" borderId="3" xfId="0" applyNumberFormat="1" applyFont="1" applyBorder="1" applyAlignment="1">
      <alignment horizontal="left"/>
    </xf>
    <xf numFmtId="44" fontId="11" fillId="0" borderId="1" xfId="0" applyNumberFormat="1" applyFont="1" applyBorder="1" applyAlignment="1">
      <alignment horizontal="left"/>
    </xf>
    <xf numFmtId="44" fontId="11" fillId="0" borderId="4" xfId="0" applyNumberFormat="1" applyFont="1" applyBorder="1" applyAlignment="1">
      <alignment horizontal="left"/>
    </xf>
    <xf numFmtId="44" fontId="11" fillId="0" borderId="5" xfId="0" applyNumberFormat="1" applyFont="1" applyBorder="1" applyAlignment="1">
      <alignment horizontal="left"/>
    </xf>
    <xf numFmtId="44" fontId="11" fillId="0" borderId="6" xfId="0" applyNumberFormat="1" applyFont="1" applyBorder="1" applyAlignment="1">
      <alignment horizontal="left"/>
    </xf>
    <xf numFmtId="44" fontId="11" fillId="0" borderId="13" xfId="0" applyNumberFormat="1" applyFont="1" applyBorder="1" applyAlignment="1">
      <alignment horizontal="left"/>
    </xf>
    <xf numFmtId="44" fontId="0" fillId="0" borderId="13" xfId="0" applyNumberFormat="1" applyBorder="1" applyAlignment="1">
      <alignment horizontal="left"/>
    </xf>
    <xf numFmtId="44" fontId="0" fillId="0" borderId="9" xfId="0" applyNumberFormat="1" applyBorder="1" applyAlignment="1">
      <alignment horizontal="left"/>
    </xf>
    <xf numFmtId="44" fontId="11" fillId="0" borderId="0" xfId="0" applyNumberFormat="1" applyFont="1" applyFill="1" applyBorder="1" applyAlignment="1">
      <alignment horizontal="left"/>
    </xf>
    <xf numFmtId="42" fontId="11" fillId="0" borderId="0" xfId="0" applyNumberFormat="1" applyFont="1" applyFill="1" applyBorder="1" applyAlignment="1">
      <alignment horizontal="left"/>
    </xf>
    <xf numFmtId="0" fontId="0" fillId="0" borderId="0" xfId="0" applyBorder="1" applyAlignment="1">
      <alignment horizontal="left"/>
    </xf>
    <xf numFmtId="40" fontId="0" fillId="0" borderId="3" xfId="0" applyNumberFormat="1" applyBorder="1" applyAlignment="1">
      <alignment horizontal="left"/>
    </xf>
    <xf numFmtId="165" fontId="0" fillId="0" borderId="0" xfId="0" applyNumberFormat="1" applyBorder="1" applyAlignment="1">
      <alignment horizontal="left"/>
    </xf>
    <xf numFmtId="9" fontId="0" fillId="0" borderId="0" xfId="0" applyNumberFormat="1" applyBorder="1" applyAlignment="1">
      <alignment horizontal="left"/>
    </xf>
    <xf numFmtId="9" fontId="0" fillId="0" borderId="7" xfId="0" applyNumberFormat="1"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0" fillId="0" borderId="7" xfId="0" applyBorder="1" applyAlignment="1">
      <alignment horizontal="left"/>
    </xf>
    <xf numFmtId="44" fontId="11" fillId="0" borderId="1" xfId="0" applyNumberFormat="1" applyFont="1" applyFill="1" applyBorder="1" applyAlignment="1">
      <alignment horizontal="left"/>
    </xf>
    <xf numFmtId="42" fontId="11" fillId="0" borderId="1" xfId="0" applyNumberFormat="1" applyFont="1" applyFill="1" applyBorder="1" applyAlignment="1">
      <alignment horizontal="left"/>
    </xf>
    <xf numFmtId="0" fontId="0" fillId="0" borderId="1" xfId="0" applyBorder="1" applyAlignment="1">
      <alignment horizontal="left"/>
    </xf>
    <xf numFmtId="40" fontId="0" fillId="0" borderId="5" xfId="0" applyNumberFormat="1" applyBorder="1" applyAlignment="1">
      <alignment horizontal="left"/>
    </xf>
    <xf numFmtId="165" fontId="0" fillId="0" borderId="1" xfId="0" applyNumberFormat="1" applyBorder="1" applyAlignment="1">
      <alignment horizontal="left"/>
    </xf>
    <xf numFmtId="9" fontId="0" fillId="0" borderId="12" xfId="0" applyNumberFormat="1" applyBorder="1" applyAlignment="1">
      <alignment horizontal="left"/>
    </xf>
    <xf numFmtId="0" fontId="0" fillId="0" borderId="10" xfId="0" applyBorder="1" applyAlignment="1">
      <alignment horizontal="left"/>
    </xf>
    <xf numFmtId="0" fontId="0" fillId="0" borderId="5" xfId="0" applyBorder="1" applyAlignment="1">
      <alignment horizontal="left"/>
    </xf>
    <xf numFmtId="0" fontId="0" fillId="0" borderId="12" xfId="0" applyBorder="1" applyAlignment="1">
      <alignment horizontal="left"/>
    </xf>
    <xf numFmtId="44" fontId="8" fillId="0" borderId="2" xfId="0" applyNumberFormat="1" applyFont="1" applyBorder="1" applyAlignment="1">
      <alignment horizontal="left"/>
    </xf>
    <xf numFmtId="165" fontId="0" fillId="0" borderId="3" xfId="0" applyNumberFormat="1" applyBorder="1" applyAlignment="1">
      <alignment horizontal="left"/>
    </xf>
    <xf numFmtId="44" fontId="8" fillId="0" borderId="4" xfId="0" applyNumberFormat="1" applyFont="1" applyBorder="1" applyAlignment="1">
      <alignment horizontal="left"/>
    </xf>
    <xf numFmtId="165" fontId="0" fillId="0" borderId="5" xfId="0" applyNumberFormat="1" applyBorder="1" applyAlignment="1">
      <alignment horizontal="left"/>
    </xf>
    <xf numFmtId="44" fontId="11" fillId="0" borderId="6" xfId="0" applyNumberFormat="1" applyFont="1" applyFill="1" applyBorder="1" applyAlignment="1">
      <alignment horizontal="left"/>
    </xf>
    <xf numFmtId="42" fontId="11" fillId="0" borderId="6" xfId="0" applyNumberFormat="1" applyFont="1" applyFill="1" applyBorder="1" applyAlignment="1">
      <alignment horizontal="left"/>
    </xf>
    <xf numFmtId="0" fontId="0" fillId="0" borderId="13" xfId="0" applyBorder="1" applyAlignment="1">
      <alignment horizontal="left"/>
    </xf>
    <xf numFmtId="40" fontId="0" fillId="0" borderId="13" xfId="0" applyNumberFormat="1" applyBorder="1" applyAlignment="1">
      <alignment horizontal="left"/>
    </xf>
    <xf numFmtId="0" fontId="0" fillId="0" borderId="6" xfId="0" applyBorder="1" applyAlignment="1">
      <alignment horizontal="left"/>
    </xf>
    <xf numFmtId="0" fontId="0" fillId="0" borderId="2" xfId="0" applyBorder="1" applyAlignment="1">
      <alignment horizontal="left"/>
    </xf>
    <xf numFmtId="9" fontId="0" fillId="0" borderId="0" xfId="0" applyNumberFormat="1" applyBorder="1" applyAlignment="1">
      <alignment horizontal="right"/>
    </xf>
    <xf numFmtId="9" fontId="0" fillId="0" borderId="1" xfId="0" applyNumberFormat="1" applyBorder="1" applyAlignment="1">
      <alignment horizontal="right"/>
    </xf>
    <xf numFmtId="9" fontId="0" fillId="0" borderId="6" xfId="0" applyNumberFormat="1" applyBorder="1" applyAlignment="1">
      <alignment horizontal="right"/>
    </xf>
    <xf numFmtId="0" fontId="26" fillId="0" borderId="0" xfId="1" applyFont="1" applyFill="1" applyBorder="1" applyAlignment="1" applyProtection="1"/>
    <xf numFmtId="0" fontId="31" fillId="0" borderId="0" xfId="0" applyFont="1" applyAlignment="1"/>
    <xf numFmtId="0" fontId="30" fillId="0" borderId="0" xfId="0" applyFont="1" applyFill="1" applyAlignment="1">
      <alignment horizontal="left" wrapText="1"/>
    </xf>
    <xf numFmtId="0" fontId="0" fillId="2" borderId="0" xfId="0" applyFill="1" applyAlignment="1"/>
    <xf numFmtId="0" fontId="8" fillId="0" borderId="1" xfId="0" applyFont="1" applyBorder="1" applyAlignment="1">
      <alignment horizontal="center" wrapText="1"/>
    </xf>
    <xf numFmtId="0" fontId="8" fillId="0" borderId="0" xfId="0" applyFont="1" applyBorder="1" applyAlignment="1">
      <alignment horizontal="center" wrapText="1"/>
    </xf>
    <xf numFmtId="0" fontId="8" fillId="0" borderId="5" xfId="0" applyFont="1" applyBorder="1" applyAlignment="1">
      <alignment horizontal="center" wrapText="1"/>
    </xf>
    <xf numFmtId="0" fontId="8" fillId="0" borderId="4" xfId="0" applyFont="1" applyBorder="1" applyAlignment="1">
      <alignment horizontal="center" wrapText="1"/>
    </xf>
    <xf numFmtId="0" fontId="0" fillId="0" borderId="7" xfId="0" applyBorder="1" applyAlignment="1">
      <alignment wrapText="1"/>
    </xf>
    <xf numFmtId="0" fontId="0" fillId="0" borderId="0" xfId="0" applyAlignment="1">
      <alignment wrapText="1"/>
    </xf>
    <xf numFmtId="0" fontId="0" fillId="0" borderId="10" xfId="0" applyBorder="1" applyAlignment="1">
      <alignment wrapText="1"/>
    </xf>
    <xf numFmtId="0" fontId="0" fillId="0" borderId="4" xfId="0" applyBorder="1" applyAlignment="1">
      <alignment wrapText="1"/>
    </xf>
    <xf numFmtId="44" fontId="11" fillId="3" borderId="0" xfId="0" applyNumberFormat="1" applyFont="1" applyFill="1" applyBorder="1" applyAlignment="1">
      <alignment horizontal="left"/>
    </xf>
    <xf numFmtId="44" fontId="11" fillId="3" borderId="1" xfId="0" applyNumberFormat="1" applyFont="1" applyFill="1" applyBorder="1" applyAlignment="1">
      <alignment horizontal="left"/>
    </xf>
    <xf numFmtId="0" fontId="0" fillId="3" borderId="1" xfId="0" applyFill="1" applyBorder="1" applyAlignment="1">
      <alignment horizontal="left"/>
    </xf>
    <xf numFmtId="0" fontId="0" fillId="3" borderId="0" xfId="0" applyFill="1" applyBorder="1" applyAlignment="1">
      <alignment horizontal="left"/>
    </xf>
    <xf numFmtId="44" fontId="0" fillId="3" borderId="0" xfId="0" applyNumberFormat="1" applyFill="1" applyBorder="1" applyAlignment="1">
      <alignment horizontal="left"/>
    </xf>
    <xf numFmtId="44" fontId="0" fillId="3" borderId="1" xfId="0" applyNumberFormat="1" applyFill="1" applyBorder="1" applyAlignment="1">
      <alignment horizontal="left"/>
    </xf>
    <xf numFmtId="44" fontId="0" fillId="3" borderId="6" xfId="0" applyNumberFormat="1" applyFill="1" applyBorder="1" applyAlignment="1">
      <alignment horizontal="left"/>
    </xf>
    <xf numFmtId="9" fontId="0" fillId="3" borderId="0" xfId="0" applyNumberFormat="1" applyFill="1" applyBorder="1" applyAlignment="1">
      <alignment horizontal="right"/>
    </xf>
    <xf numFmtId="9" fontId="0" fillId="3" borderId="1" xfId="0" applyNumberFormat="1" applyFill="1" applyBorder="1" applyAlignment="1">
      <alignment horizontal="right"/>
    </xf>
    <xf numFmtId="9" fontId="0" fillId="3" borderId="6" xfId="0" applyNumberFormat="1" applyFill="1" applyBorder="1" applyAlignment="1">
      <alignment horizontal="right"/>
    </xf>
    <xf numFmtId="0" fontId="0" fillId="3" borderId="3" xfId="0" applyFill="1" applyBorder="1" applyAlignment="1">
      <alignment horizontal="left"/>
    </xf>
    <xf numFmtId="0" fontId="0" fillId="3" borderId="5" xfId="0" applyFill="1" applyBorder="1" applyAlignment="1">
      <alignment horizontal="left"/>
    </xf>
    <xf numFmtId="0" fontId="8" fillId="3" borderId="15" xfId="0" applyFont="1" applyFill="1" applyBorder="1" applyAlignment="1">
      <alignment horizontal="center" wrapText="1"/>
    </xf>
    <xf numFmtId="0" fontId="8" fillId="3" borderId="6" xfId="0" applyFont="1" applyFill="1" applyBorder="1" applyAlignment="1">
      <alignment horizontal="center" wrapText="1"/>
    </xf>
    <xf numFmtId="0" fontId="8" fillId="3" borderId="16" xfId="0" applyFont="1" applyFill="1" applyBorder="1" applyAlignment="1">
      <alignment horizontal="center" wrapText="1"/>
    </xf>
    <xf numFmtId="44" fontId="11" fillId="3" borderId="2" xfId="0" applyNumberFormat="1" applyFont="1" applyFill="1" applyBorder="1" applyAlignment="1">
      <alignment horizontal="left"/>
    </xf>
    <xf numFmtId="44" fontId="11" fillId="3" borderId="4" xfId="0" applyNumberFormat="1" applyFont="1" applyFill="1" applyBorder="1" applyAlignment="1">
      <alignment horizontal="left"/>
    </xf>
    <xf numFmtId="44" fontId="11" fillId="3" borderId="9" xfId="0" applyNumberFormat="1" applyFont="1" applyFill="1" applyBorder="1" applyAlignment="1">
      <alignment horizontal="left"/>
    </xf>
    <xf numFmtId="0" fontId="0" fillId="0" borderId="6" xfId="0" applyBorder="1" applyAlignment="1"/>
    <xf numFmtId="0" fontId="8" fillId="0" borderId="6" xfId="0" applyFont="1" applyBorder="1" applyAlignment="1">
      <alignment horizontal="center"/>
    </xf>
    <xf numFmtId="17" fontId="0" fillId="0" borderId="0" xfId="0" applyNumberFormat="1" applyBorder="1"/>
    <xf numFmtId="0" fontId="0" fillId="0" borderId="6" xfId="0" applyBorder="1"/>
    <xf numFmtId="165" fontId="11" fillId="0" borderId="3" xfId="0" applyNumberFormat="1" applyFont="1" applyBorder="1" applyAlignment="1">
      <alignment horizontal="right"/>
    </xf>
    <xf numFmtId="0" fontId="8" fillId="0" borderId="10" xfId="0" applyFont="1" applyBorder="1" applyAlignment="1">
      <alignment horizontal="center" wrapText="1"/>
    </xf>
    <xf numFmtId="171" fontId="0" fillId="0" borderId="0" xfId="0" applyNumberFormat="1" applyBorder="1"/>
    <xf numFmtId="165" fontId="11" fillId="0" borderId="5" xfId="0" applyNumberFormat="1" applyFont="1" applyBorder="1" applyAlignment="1">
      <alignment horizontal="right"/>
    </xf>
    <xf numFmtId="40" fontId="11" fillId="0" borderId="1" xfId="0" applyNumberFormat="1" applyFont="1" applyBorder="1" applyAlignment="1">
      <alignment horizontal="right"/>
    </xf>
    <xf numFmtId="0" fontId="0" fillId="4" borderId="0" xfId="0" applyFill="1" applyBorder="1" applyProtection="1">
      <protection locked="0"/>
    </xf>
    <xf numFmtId="0" fontId="11" fillId="4" borderId="0" xfId="0" applyFont="1" applyFill="1" applyBorder="1"/>
    <xf numFmtId="0" fontId="0" fillId="4" borderId="0" xfId="0" applyFill="1" applyBorder="1"/>
    <xf numFmtId="0" fontId="0" fillId="4" borderId="0" xfId="0" applyFill="1" applyBorder="1" applyProtection="1"/>
    <xf numFmtId="0" fontId="11" fillId="4" borderId="1" xfId="0" applyFont="1" applyFill="1" applyBorder="1"/>
    <xf numFmtId="0" fontId="8" fillId="4" borderId="0" xfId="0" applyFont="1" applyFill="1" applyBorder="1" applyAlignment="1">
      <alignment horizontal="right"/>
    </xf>
    <xf numFmtId="0" fontId="0" fillId="4" borderId="0" xfId="0" applyFill="1" applyBorder="1" applyAlignment="1" applyProtection="1">
      <alignment horizontal="center"/>
    </xf>
    <xf numFmtId="170" fontId="0" fillId="4" borderId="0" xfId="0" applyNumberFormat="1" applyFill="1" applyBorder="1" applyAlignment="1" applyProtection="1">
      <alignment horizontal="right"/>
    </xf>
    <xf numFmtId="0" fontId="11" fillId="4" borderId="0" xfId="0" applyFont="1" applyFill="1" applyBorder="1" applyProtection="1"/>
    <xf numFmtId="2" fontId="0" fillId="4" borderId="0" xfId="0" applyNumberFormat="1" applyFill="1" applyBorder="1" applyProtection="1"/>
    <xf numFmtId="170" fontId="18" fillId="4" borderId="0" xfId="0" applyNumberFormat="1" applyFont="1" applyFill="1" applyBorder="1" applyAlignment="1" applyProtection="1">
      <alignment horizontal="right"/>
    </xf>
    <xf numFmtId="2" fontId="18" fillId="4" borderId="0" xfId="0" applyNumberFormat="1" applyFont="1" applyFill="1" applyBorder="1" applyProtection="1"/>
    <xf numFmtId="0" fontId="8" fillId="4" borderId="0" xfId="0" applyFont="1" applyFill="1" applyBorder="1" applyProtection="1"/>
    <xf numFmtId="2" fontId="8" fillId="4" borderId="0" xfId="0" applyNumberFormat="1" applyFont="1" applyFill="1" applyBorder="1" applyProtection="1"/>
    <xf numFmtId="167" fontId="0" fillId="4" borderId="0" xfId="0" applyNumberFormat="1" applyFill="1" applyBorder="1" applyProtection="1"/>
    <xf numFmtId="2" fontId="0" fillId="4" borderId="0" xfId="0" applyNumberFormat="1" applyFill="1" applyBorder="1" applyAlignment="1" applyProtection="1">
      <alignment horizontal="right"/>
    </xf>
    <xf numFmtId="2" fontId="7" fillId="4" borderId="0" xfId="0" applyNumberFormat="1" applyFont="1" applyFill="1" applyBorder="1" applyAlignment="1" applyProtection="1">
      <alignment horizontal="right"/>
    </xf>
    <xf numFmtId="2" fontId="18" fillId="4" borderId="0" xfId="0" applyNumberFormat="1" applyFont="1" applyFill="1" applyBorder="1" applyAlignment="1" applyProtection="1">
      <alignment horizontal="right"/>
    </xf>
    <xf numFmtId="2" fontId="11" fillId="4" borderId="0" xfId="0" applyNumberFormat="1" applyFont="1" applyFill="1" applyBorder="1" applyProtection="1"/>
    <xf numFmtId="167" fontId="11" fillId="4" borderId="0" xfId="0" applyNumberFormat="1" applyFont="1" applyFill="1" applyBorder="1" applyProtection="1"/>
    <xf numFmtId="165" fontId="11" fillId="0" borderId="13" xfId="0" applyNumberFormat="1" applyFont="1" applyBorder="1" applyAlignment="1">
      <alignment horizontal="right"/>
    </xf>
    <xf numFmtId="0" fontId="0" fillId="0" borderId="0" xfId="0" applyBorder="1" applyAlignment="1">
      <alignment horizontal="center"/>
    </xf>
    <xf numFmtId="0" fontId="25" fillId="0" borderId="0" xfId="0" applyFont="1" applyBorder="1" applyAlignment="1" applyProtection="1">
      <alignment horizontal="left"/>
    </xf>
    <xf numFmtId="0" fontId="0" fillId="0" borderId="8" xfId="0" applyBorder="1" applyAlignment="1">
      <alignment horizontal="center"/>
    </xf>
    <xf numFmtId="0" fontId="0" fillId="4" borderId="8" xfId="0" applyFill="1" applyBorder="1"/>
    <xf numFmtId="0" fontId="0" fillId="4" borderId="7" xfId="0" applyFill="1" applyBorder="1"/>
    <xf numFmtId="0" fontId="11" fillId="4" borderId="7" xfId="0" applyFont="1" applyFill="1" applyBorder="1"/>
    <xf numFmtId="0" fontId="0" fillId="4" borderId="10" xfId="0" applyFill="1" applyBorder="1"/>
    <xf numFmtId="0" fontId="0" fillId="4" borderId="12" xfId="0" applyFill="1" applyBorder="1"/>
    <xf numFmtId="0" fontId="0" fillId="4" borderId="8" xfId="0" applyFill="1" applyBorder="1" applyProtection="1"/>
    <xf numFmtId="0" fontId="0" fillId="4" borderId="7" xfId="0" applyFill="1" applyBorder="1" applyProtection="1"/>
    <xf numFmtId="0" fontId="8" fillId="4" borderId="7" xfId="0" applyFont="1" applyFill="1" applyBorder="1" applyProtection="1"/>
    <xf numFmtId="0" fontId="11" fillId="4" borderId="7" xfId="0" applyFont="1" applyFill="1" applyBorder="1" applyProtection="1"/>
    <xf numFmtId="0" fontId="0" fillId="4" borderId="24" xfId="0" applyFill="1" applyBorder="1" applyProtection="1"/>
    <xf numFmtId="0" fontId="11" fillId="4" borderId="25" xfId="0" applyFont="1" applyFill="1" applyBorder="1" applyProtection="1"/>
    <xf numFmtId="2" fontId="11" fillId="4" borderId="25" xfId="0" applyNumberFormat="1" applyFont="1" applyFill="1" applyBorder="1" applyProtection="1"/>
    <xf numFmtId="167" fontId="11" fillId="4" borderId="25" xfId="0" applyNumberFormat="1" applyFont="1" applyFill="1" applyBorder="1" applyProtection="1"/>
    <xf numFmtId="0" fontId="11" fillId="4" borderId="26" xfId="0" applyFont="1" applyFill="1" applyBorder="1" applyProtection="1"/>
    <xf numFmtId="0" fontId="25" fillId="0" borderId="8" xfId="0" applyFont="1" applyBorder="1" applyAlignment="1" applyProtection="1">
      <alignment horizontal="left"/>
    </xf>
    <xf numFmtId="0" fontId="25" fillId="0" borderId="7" xfId="0" applyFont="1" applyBorder="1" applyAlignment="1" applyProtection="1">
      <alignment horizontal="left"/>
    </xf>
    <xf numFmtId="0" fontId="11" fillId="4" borderId="8" xfId="0" applyFont="1" applyFill="1" applyBorder="1"/>
    <xf numFmtId="0" fontId="11" fillId="4" borderId="8" xfId="0" applyFont="1" applyFill="1" applyBorder="1" applyAlignment="1">
      <alignment horizontal="left" indent="1"/>
    </xf>
    <xf numFmtId="0" fontId="11" fillId="4" borderId="10" xfId="0" applyFont="1" applyFill="1" applyBorder="1"/>
    <xf numFmtId="0" fontId="11" fillId="4" borderId="12" xfId="0" applyFont="1" applyFill="1" applyBorder="1"/>
    <xf numFmtId="0" fontId="8" fillId="4" borderId="7" xfId="0" applyFont="1" applyFill="1" applyBorder="1" applyAlignment="1">
      <alignment horizontal="right"/>
    </xf>
    <xf numFmtId="0" fontId="11" fillId="4" borderId="8" xfId="0" applyFont="1" applyFill="1" applyBorder="1" applyAlignment="1"/>
    <xf numFmtId="0" fontId="11" fillId="4" borderId="24" xfId="0" applyFont="1" applyFill="1" applyBorder="1"/>
    <xf numFmtId="0" fontId="11" fillId="4" borderId="25" xfId="0" applyFont="1" applyFill="1" applyBorder="1"/>
    <xf numFmtId="0" fontId="11" fillId="4" borderId="26" xfId="0" applyFont="1" applyFill="1" applyBorder="1"/>
    <xf numFmtId="0" fontId="25" fillId="0" borderId="0" xfId="0" applyFont="1" applyBorder="1" applyAlignment="1" applyProtection="1"/>
    <xf numFmtId="0" fontId="0" fillId="5" borderId="0" xfId="0" applyFill="1"/>
    <xf numFmtId="3" fontId="0" fillId="6" borderId="14" xfId="0" applyNumberFormat="1" applyFill="1" applyBorder="1" applyProtection="1">
      <protection locked="0"/>
    </xf>
    <xf numFmtId="166" fontId="0" fillId="6" borderId="14" xfId="0" applyNumberFormat="1" applyFill="1" applyBorder="1" applyProtection="1">
      <protection locked="0"/>
    </xf>
    <xf numFmtId="0" fontId="0" fillId="6" borderId="14" xfId="0" applyFill="1" applyBorder="1" applyProtection="1">
      <protection locked="0"/>
    </xf>
    <xf numFmtId="2" fontId="0" fillId="6" borderId="14" xfId="0" applyNumberFormat="1" applyFill="1" applyBorder="1" applyProtection="1">
      <protection locked="0"/>
    </xf>
    <xf numFmtId="1" fontId="0" fillId="6" borderId="14" xfId="0" applyNumberFormat="1" applyFill="1" applyBorder="1" applyProtection="1">
      <protection locked="0"/>
    </xf>
    <xf numFmtId="167" fontId="0" fillId="6" borderId="14" xfId="0" applyNumberFormat="1" applyFill="1" applyBorder="1" applyProtection="1">
      <protection locked="0"/>
    </xf>
    <xf numFmtId="166" fontId="11" fillId="6" borderId="27" xfId="0" applyNumberFormat="1" applyFont="1" applyFill="1" applyBorder="1" applyProtection="1">
      <protection locked="0"/>
    </xf>
    <xf numFmtId="166" fontId="0" fillId="6" borderId="27" xfId="0" applyNumberFormat="1" applyFill="1" applyBorder="1" applyProtection="1">
      <protection locked="0"/>
    </xf>
    <xf numFmtId="164" fontId="0" fillId="6" borderId="14" xfId="0" applyNumberFormat="1" applyFill="1" applyBorder="1" applyProtection="1">
      <protection locked="0"/>
    </xf>
    <xf numFmtId="170" fontId="0" fillId="6" borderId="14" xfId="0" applyNumberFormat="1" applyFill="1" applyBorder="1" applyAlignment="1" applyProtection="1">
      <alignment horizontal="right"/>
      <protection locked="0"/>
    </xf>
    <xf numFmtId="2" fontId="0" fillId="6" borderId="14" xfId="0" applyNumberFormat="1" applyFill="1" applyBorder="1" applyAlignment="1" applyProtection="1">
      <alignment horizontal="right"/>
      <protection locked="0"/>
    </xf>
    <xf numFmtId="165" fontId="0" fillId="6" borderId="14" xfId="0" applyNumberFormat="1" applyFill="1" applyBorder="1" applyProtection="1">
      <protection locked="0"/>
    </xf>
    <xf numFmtId="165" fontId="11" fillId="6" borderId="14" xfId="0" applyNumberFormat="1" applyFont="1" applyFill="1" applyBorder="1" applyAlignment="1" applyProtection="1">
      <alignment horizontal="right"/>
      <protection locked="0"/>
    </xf>
    <xf numFmtId="0" fontId="0" fillId="0" borderId="11" xfId="0" applyBorder="1" applyAlignment="1">
      <alignment horizontal="left"/>
    </xf>
    <xf numFmtId="0" fontId="40" fillId="4" borderId="14" xfId="0" applyFont="1" applyFill="1" applyBorder="1" applyAlignment="1">
      <alignment horizontal="center" wrapText="1"/>
    </xf>
    <xf numFmtId="44" fontId="0" fillId="0" borderId="0" xfId="0" applyNumberFormat="1" applyAlignment="1">
      <alignment horizontal="left"/>
    </xf>
    <xf numFmtId="42" fontId="0" fillId="0" borderId="0" xfId="0" applyNumberFormat="1"/>
    <xf numFmtId="44" fontId="0" fillId="0" borderId="0" xfId="0" applyNumberFormat="1" applyAlignment="1">
      <alignment horizontal="center"/>
    </xf>
    <xf numFmtId="42" fontId="0" fillId="0" borderId="1" xfId="0" applyNumberFormat="1" applyBorder="1"/>
    <xf numFmtId="44" fontId="0" fillId="0" borderId="1" xfId="0" applyNumberFormat="1" applyBorder="1" applyAlignment="1">
      <alignment horizontal="center"/>
    </xf>
    <xf numFmtId="17" fontId="12" fillId="0" borderId="0" xfId="0" applyNumberFormat="1" applyFont="1" applyBorder="1"/>
    <xf numFmtId="40" fontId="0" fillId="0" borderId="0" xfId="0" applyNumberFormat="1" applyBorder="1" applyAlignment="1">
      <alignment horizontal="left"/>
    </xf>
    <xf numFmtId="44" fontId="5" fillId="5" borderId="0" xfId="0" applyNumberFormat="1" applyFont="1" applyFill="1" applyBorder="1" applyAlignment="1">
      <alignment horizontal="right"/>
    </xf>
    <xf numFmtId="44" fontId="5" fillId="5" borderId="1" xfId="0" applyNumberFormat="1" applyFont="1" applyFill="1" applyBorder="1" applyAlignment="1">
      <alignment horizontal="right"/>
    </xf>
    <xf numFmtId="44" fontId="6" fillId="5" borderId="7" xfId="0" applyNumberFormat="1" applyFont="1" applyFill="1" applyBorder="1" applyProtection="1">
      <protection locked="0"/>
    </xf>
    <xf numFmtId="0" fontId="0" fillId="5" borderId="7" xfId="0" applyFill="1" applyBorder="1"/>
    <xf numFmtId="44" fontId="5" fillId="0" borderId="0" xfId="0" applyNumberFormat="1" applyFont="1" applyBorder="1" applyAlignment="1">
      <alignment horizontal="left" wrapText="1"/>
    </xf>
    <xf numFmtId="44" fontId="6" fillId="5" borderId="7" xfId="0" applyNumberFormat="1" applyFont="1" applyFill="1" applyBorder="1" applyAlignment="1">
      <alignment horizontal="right"/>
    </xf>
    <xf numFmtId="44" fontId="6" fillId="5" borderId="12" xfId="0" applyNumberFormat="1" applyFont="1" applyFill="1" applyBorder="1" applyProtection="1">
      <protection locked="0"/>
    </xf>
    <xf numFmtId="0" fontId="8" fillId="0" borderId="0" xfId="0" applyFont="1" applyAlignment="1">
      <alignment wrapText="1"/>
    </xf>
    <xf numFmtId="40" fontId="0" fillId="0" borderId="1" xfId="0" applyNumberFormat="1" applyBorder="1" applyAlignment="1">
      <alignment horizontal="left"/>
    </xf>
    <xf numFmtId="0" fontId="0" fillId="0" borderId="4" xfId="0" applyBorder="1" applyAlignment="1">
      <alignment horizontal="left"/>
    </xf>
    <xf numFmtId="44" fontId="0" fillId="0" borderId="0" xfId="0" applyNumberFormat="1" applyFill="1" applyBorder="1"/>
    <xf numFmtId="2" fontId="0" fillId="0" borderId="0" xfId="0" applyNumberFormat="1"/>
    <xf numFmtId="173" fontId="0" fillId="0" borderId="0" xfId="0" applyNumberFormat="1"/>
    <xf numFmtId="174" fontId="0" fillId="0" borderId="0" xfId="0" applyNumberFormat="1"/>
    <xf numFmtId="0" fontId="0" fillId="0" borderId="17" xfId="0" applyBorder="1"/>
    <xf numFmtId="17" fontId="0" fillId="0" borderId="17" xfId="0" applyNumberFormat="1" applyBorder="1"/>
    <xf numFmtId="0" fontId="0" fillId="0" borderId="0" xfId="0" applyBorder="1" applyAlignment="1"/>
    <xf numFmtId="0" fontId="15" fillId="0" borderId="9" xfId="0" applyFont="1" applyBorder="1" applyAlignment="1">
      <alignment horizontal="center"/>
    </xf>
    <xf numFmtId="0" fontId="15" fillId="0" borderId="0" xfId="0" applyFont="1" applyBorder="1" applyAlignment="1">
      <alignment horizontal="center"/>
    </xf>
    <xf numFmtId="44" fontId="4" fillId="0" borderId="0" xfId="4" applyNumberFormat="1" applyFont="1" applyFill="1"/>
    <xf numFmtId="172" fontId="4" fillId="0" borderId="0" xfId="4" applyNumberFormat="1" applyFont="1" applyFill="1"/>
    <xf numFmtId="44" fontId="8" fillId="0" borderId="9" xfId="0" applyNumberFormat="1" applyFont="1" applyBorder="1" applyAlignment="1">
      <alignment horizontal="left"/>
    </xf>
    <xf numFmtId="44" fontId="4" fillId="0" borderId="1" xfId="4" applyNumberFormat="1" applyFont="1" applyFill="1" applyBorder="1"/>
    <xf numFmtId="172" fontId="4" fillId="0" borderId="1" xfId="4" applyNumberFormat="1" applyFont="1" applyFill="1" applyBorder="1"/>
    <xf numFmtId="44" fontId="5" fillId="0" borderId="1" xfId="0" applyNumberFormat="1" applyFont="1" applyBorder="1" applyAlignment="1">
      <alignment horizontal="left" wrapText="1"/>
    </xf>
    <xf numFmtId="0" fontId="0" fillId="0" borderId="20" xfId="0" applyBorder="1"/>
    <xf numFmtId="44" fontId="0" fillId="0" borderId="6" xfId="0" applyNumberFormat="1" applyBorder="1"/>
    <xf numFmtId="44" fontId="0" fillId="0" borderId="6" xfId="0" applyNumberFormat="1" applyBorder="1" applyAlignment="1"/>
    <xf numFmtId="44" fontId="6" fillId="5" borderId="11" xfId="0" applyNumberFormat="1" applyFont="1" applyFill="1" applyBorder="1" applyProtection="1">
      <protection locked="0"/>
    </xf>
    <xf numFmtId="0" fontId="0" fillId="0" borderId="41" xfId="0" applyFill="1" applyBorder="1"/>
    <xf numFmtId="17" fontId="12" fillId="0" borderId="6" xfId="0" applyNumberFormat="1" applyFont="1" applyBorder="1"/>
    <xf numFmtId="44" fontId="0" fillId="0" borderId="11" xfId="0" applyNumberFormat="1" applyBorder="1"/>
    <xf numFmtId="44" fontId="0" fillId="0" borderId="42" xfId="0" applyNumberFormat="1" applyBorder="1"/>
    <xf numFmtId="0" fontId="0" fillId="0" borderId="13" xfId="0" applyBorder="1"/>
    <xf numFmtId="44" fontId="5" fillId="0" borderId="3" xfId="0" applyNumberFormat="1" applyFont="1" applyBorder="1" applyAlignment="1">
      <alignment horizontal="left" wrapText="1"/>
    </xf>
    <xf numFmtId="0" fontId="0" fillId="0" borderId="3" xfId="0" applyBorder="1"/>
    <xf numFmtId="0" fontId="0" fillId="0" borderId="17" xfId="0" applyBorder="1" applyAlignment="1">
      <alignment horizontal="center"/>
    </xf>
    <xf numFmtId="165" fontId="11" fillId="0" borderId="17" xfId="0" applyNumberFormat="1" applyFont="1" applyBorder="1" applyAlignment="1">
      <alignment horizontal="right"/>
    </xf>
    <xf numFmtId="40" fontId="11" fillId="0" borderId="17" xfId="0" applyNumberFormat="1" applyFont="1" applyBorder="1" applyAlignment="1">
      <alignment horizontal="right"/>
    </xf>
    <xf numFmtId="44" fontId="8" fillId="0" borderId="17" xfId="0" applyNumberFormat="1" applyFont="1" applyBorder="1"/>
    <xf numFmtId="40" fontId="8" fillId="0" borderId="17" xfId="0" applyNumberFormat="1" applyFont="1" applyBorder="1" applyAlignment="1">
      <alignment horizontal="center"/>
    </xf>
    <xf numFmtId="0" fontId="4" fillId="0" borderId="0" xfId="0" applyFont="1"/>
    <xf numFmtId="0" fontId="0" fillId="0" borderId="5" xfId="0" applyBorder="1"/>
    <xf numFmtId="0" fontId="4" fillId="4" borderId="0" xfId="0" applyFont="1" applyFill="1" applyBorder="1"/>
    <xf numFmtId="0" fontId="4" fillId="4" borderId="0" xfId="0" applyFont="1" applyFill="1" applyBorder="1" applyProtection="1"/>
    <xf numFmtId="0" fontId="0" fillId="0" borderId="0" xfId="0" applyAlignment="1"/>
    <xf numFmtId="44" fontId="4" fillId="0" borderId="0" xfId="0" applyNumberFormat="1" applyFont="1" applyBorder="1" applyAlignment="1">
      <alignment horizontal="left" wrapText="1"/>
    </xf>
    <xf numFmtId="44" fontId="4" fillId="0" borderId="1" xfId="0" applyNumberFormat="1" applyFont="1" applyBorder="1" applyAlignment="1">
      <alignment horizontal="left" wrapText="1"/>
    </xf>
    <xf numFmtId="0" fontId="4" fillId="0" borderId="0" xfId="0" applyFont="1" applyFill="1" applyBorder="1" applyAlignment="1"/>
    <xf numFmtId="17" fontId="4" fillId="0" borderId="0" xfId="0" applyNumberFormat="1" applyFont="1" applyBorder="1"/>
    <xf numFmtId="0" fontId="0" fillId="0" borderId="43" xfId="0" applyBorder="1"/>
    <xf numFmtId="0" fontId="0" fillId="0" borderId="43" xfId="0" applyFill="1" applyBorder="1"/>
    <xf numFmtId="44" fontId="11" fillId="4" borderId="44" xfId="0" applyNumberFormat="1" applyFont="1" applyFill="1" applyBorder="1" applyAlignment="1">
      <alignment horizontal="right"/>
    </xf>
    <xf numFmtId="14" fontId="4" fillId="4" borderId="44" xfId="0" applyNumberFormat="1" applyFont="1" applyFill="1" applyBorder="1"/>
    <xf numFmtId="171" fontId="11" fillId="0" borderId="0" xfId="0" applyNumberFormat="1" applyFont="1" applyFill="1" applyBorder="1" applyAlignment="1">
      <alignment horizontal="left"/>
    </xf>
    <xf numFmtId="171" fontId="11" fillId="0" borderId="1" xfId="0" applyNumberFormat="1" applyFont="1" applyFill="1" applyBorder="1" applyAlignment="1">
      <alignment horizontal="left"/>
    </xf>
    <xf numFmtId="171" fontId="11" fillId="0" borderId="6" xfId="0" applyNumberFormat="1" applyFont="1" applyFill="1" applyBorder="1" applyAlignment="1">
      <alignment horizontal="left"/>
    </xf>
    <xf numFmtId="44" fontId="0" fillId="0" borderId="0" xfId="0" applyNumberFormat="1" applyFill="1" applyBorder="1" applyAlignment="1">
      <alignment horizontal="left"/>
    </xf>
    <xf numFmtId="44" fontId="0" fillId="0" borderId="1" xfId="0" applyNumberFormat="1" applyFill="1" applyBorder="1" applyAlignment="1">
      <alignment horizontal="left"/>
    </xf>
    <xf numFmtId="44" fontId="0" fillId="0" borderId="6" xfId="0" applyNumberFormat="1" applyFill="1" applyBorder="1" applyAlignment="1">
      <alignment horizontal="left"/>
    </xf>
    <xf numFmtId="0" fontId="8" fillId="0" borderId="1" xfId="0" applyFont="1" applyFill="1" applyBorder="1" applyAlignment="1">
      <alignment horizontal="center" wrapText="1"/>
    </xf>
    <xf numFmtId="172" fontId="0" fillId="0" borderId="0" xfId="0" applyNumberFormat="1" applyFill="1" applyBorder="1" applyAlignment="1">
      <alignment horizontal="left"/>
    </xf>
    <xf numFmtId="172" fontId="0" fillId="0" borderId="1" xfId="0" applyNumberFormat="1" applyFill="1" applyBorder="1" applyAlignment="1">
      <alignment horizontal="left"/>
    </xf>
    <xf numFmtId="172" fontId="0" fillId="0" borderId="6" xfId="0" applyNumberFormat="1" applyFill="1" applyBorder="1" applyAlignment="1">
      <alignment horizontal="left"/>
    </xf>
    <xf numFmtId="42" fontId="0" fillId="0" borderId="0" xfId="0" applyNumberFormat="1" applyFill="1"/>
    <xf numFmtId="42" fontId="0" fillId="0" borderId="1" xfId="0" applyNumberFormat="1" applyFill="1" applyBorder="1"/>
    <xf numFmtId="0" fontId="0" fillId="0" borderId="17" xfId="0" applyFill="1" applyBorder="1"/>
    <xf numFmtId="44" fontId="8" fillId="0" borderId="17" xfId="0" applyNumberFormat="1" applyFont="1" applyFill="1" applyBorder="1"/>
    <xf numFmtId="0" fontId="37" fillId="4" borderId="45" xfId="0" applyFont="1" applyFill="1" applyBorder="1" applyAlignment="1">
      <alignment horizontal="center"/>
    </xf>
    <xf numFmtId="0" fontId="30" fillId="0" borderId="0" xfId="0" applyFont="1" applyFill="1" applyAlignment="1">
      <alignment horizontal="left" wrapText="1" indent="1"/>
    </xf>
    <xf numFmtId="0" fontId="0" fillId="0" borderId="0" xfId="0" applyFill="1" applyAlignment="1">
      <alignment horizontal="left" wrapText="1" indent="1"/>
    </xf>
    <xf numFmtId="0" fontId="66" fillId="0" borderId="0" xfId="0" applyFont="1" applyFill="1" applyAlignment="1">
      <alignment horizontal="left" wrapText="1" indent="1"/>
    </xf>
    <xf numFmtId="0" fontId="24" fillId="0" borderId="0" xfId="1" applyFill="1" applyAlignment="1" applyProtection="1">
      <alignment horizontal="left" wrapText="1" indent="1"/>
    </xf>
    <xf numFmtId="0" fontId="4" fillId="0" borderId="0" xfId="0" applyFont="1" applyFill="1" applyAlignment="1">
      <alignment horizontal="left" wrapText="1" indent="1"/>
    </xf>
    <xf numFmtId="0" fontId="69" fillId="0" borderId="0" xfId="0" applyFont="1" applyFill="1" applyAlignment="1">
      <alignment horizontal="left" wrapText="1" indent="1"/>
    </xf>
    <xf numFmtId="0" fontId="41" fillId="0" borderId="0" xfId="0" applyFont="1" applyFill="1" applyAlignment="1">
      <alignment horizontal="left" wrapText="1" indent="1"/>
    </xf>
    <xf numFmtId="0" fontId="65" fillId="0" borderId="0" xfId="1" applyFont="1" applyFill="1" applyAlignment="1" applyProtection="1">
      <alignment horizontal="left" indent="1"/>
    </xf>
    <xf numFmtId="0" fontId="24" fillId="0" borderId="0" xfId="1" applyFill="1" applyBorder="1" applyAlignment="1" applyProtection="1">
      <alignment horizontal="left" indent="1"/>
    </xf>
    <xf numFmtId="0" fontId="7" fillId="0" borderId="0" xfId="1" applyFont="1" applyFill="1" applyAlignment="1" applyProtection="1">
      <alignment horizontal="left" indent="1"/>
    </xf>
    <xf numFmtId="0" fontId="8" fillId="0" borderId="0" xfId="1" applyFont="1" applyFill="1" applyAlignment="1" applyProtection="1">
      <alignment horizontal="left" indent="1"/>
    </xf>
    <xf numFmtId="0" fontId="4" fillId="0" borderId="0" xfId="1" applyFont="1" applyFill="1" applyAlignment="1" applyProtection="1">
      <alignment horizontal="left" indent="1"/>
    </xf>
    <xf numFmtId="0" fontId="32" fillId="4" borderId="45" xfId="0" applyFont="1" applyFill="1" applyBorder="1" applyAlignment="1">
      <alignment horizontal="left" vertical="top" wrapText="1" indent="1"/>
    </xf>
    <xf numFmtId="0" fontId="0" fillId="0" borderId="40" xfId="0" applyFill="1" applyBorder="1" applyAlignment="1">
      <alignment horizontal="left" indent="1"/>
    </xf>
    <xf numFmtId="0" fontId="39" fillId="0" borderId="40" xfId="1" applyFont="1" applyFill="1" applyBorder="1" applyAlignment="1" applyProtection="1">
      <alignment horizontal="left" indent="1"/>
    </xf>
    <xf numFmtId="0" fontId="38" fillId="0" borderId="40" xfId="1" applyFont="1" applyFill="1" applyBorder="1" applyAlignment="1" applyProtection="1">
      <alignment horizontal="left" indent="1"/>
    </xf>
    <xf numFmtId="0" fontId="35" fillId="0" borderId="40" xfId="0" applyFont="1" applyFill="1" applyBorder="1" applyAlignment="1">
      <alignment horizontal="left" indent="1"/>
    </xf>
    <xf numFmtId="0" fontId="38" fillId="0" borderId="40" xfId="1" applyFont="1" applyFill="1" applyBorder="1" applyAlignment="1" applyProtection="1">
      <alignment horizontal="left" wrapText="1" indent="3"/>
    </xf>
    <xf numFmtId="0" fontId="34" fillId="0" borderId="40" xfId="0" applyFont="1" applyBorder="1" applyAlignment="1">
      <alignment horizontal="left" indent="3"/>
    </xf>
    <xf numFmtId="0" fontId="36" fillId="0" borderId="40" xfId="0" applyFont="1" applyFill="1" applyBorder="1" applyAlignment="1">
      <alignment horizontal="left" indent="1"/>
    </xf>
    <xf numFmtId="0" fontId="65" fillId="0" borderId="40" xfId="1" applyFont="1" applyFill="1" applyBorder="1" applyAlignment="1" applyProtection="1">
      <alignment horizontal="left" indent="1"/>
    </xf>
    <xf numFmtId="0" fontId="24" fillId="0" borderId="40" xfId="1" applyFill="1" applyBorder="1" applyAlignment="1" applyProtection="1">
      <alignment horizontal="left" indent="1"/>
    </xf>
    <xf numFmtId="0" fontId="18" fillId="0" borderId="40" xfId="1" applyFont="1" applyFill="1" applyBorder="1" applyAlignment="1" applyProtection="1">
      <alignment horizontal="left" indent="1"/>
    </xf>
    <xf numFmtId="0" fontId="26" fillId="0" borderId="40" xfId="1" applyFont="1" applyFill="1" applyBorder="1" applyAlignment="1" applyProtection="1">
      <alignment horizontal="left" indent="1"/>
    </xf>
    <xf numFmtId="0" fontId="7" fillId="0" borderId="40" xfId="1" applyNumberFormat="1" applyFont="1" applyFill="1" applyBorder="1" applyAlignment="1" applyProtection="1">
      <alignment horizontal="left" indent="1"/>
    </xf>
    <xf numFmtId="0" fontId="44" fillId="0" borderId="40" xfId="1" applyNumberFormat="1" applyFont="1" applyFill="1" applyBorder="1" applyAlignment="1" applyProtection="1">
      <alignment horizontal="left" indent="1"/>
    </xf>
    <xf numFmtId="14" fontId="7" fillId="0" borderId="40" xfId="0" applyNumberFormat="1" applyFont="1" applyFill="1" applyBorder="1" applyAlignment="1" applyProtection="1">
      <alignment horizontal="left" indent="1"/>
    </xf>
    <xf numFmtId="0" fontId="45" fillId="0" borderId="40" xfId="0" applyFont="1" applyFill="1" applyBorder="1" applyAlignment="1">
      <alignment horizontal="left" indent="1"/>
    </xf>
    <xf numFmtId="0" fontId="4" fillId="4" borderId="8" xfId="0" applyFont="1" applyFill="1" applyBorder="1"/>
    <xf numFmtId="0" fontId="64" fillId="0" borderId="0" xfId="0" applyFont="1" applyFill="1" applyAlignment="1">
      <alignment horizontal="left" wrapText="1"/>
    </xf>
    <xf numFmtId="0" fontId="30" fillId="0" borderId="40" xfId="0" applyFont="1" applyFill="1" applyBorder="1" applyAlignment="1">
      <alignment horizontal="left" wrapText="1" indent="1"/>
    </xf>
    <xf numFmtId="0" fontId="28" fillId="0" borderId="0" xfId="0" applyFont="1" applyFill="1" applyAlignment="1">
      <alignment horizontal="left" wrapText="1"/>
    </xf>
    <xf numFmtId="3" fontId="0" fillId="4" borderId="0" xfId="0" applyNumberFormat="1" applyFill="1" applyBorder="1" applyAlignment="1" applyProtection="1"/>
    <xf numFmtId="0" fontId="0" fillId="4" borderId="0" xfId="0" applyFill="1" applyBorder="1" applyAlignment="1" applyProtection="1"/>
    <xf numFmtId="0" fontId="11" fillId="4" borderId="0" xfId="0" applyFont="1" applyFill="1" applyBorder="1" applyAlignment="1"/>
    <xf numFmtId="0" fontId="0" fillId="4" borderId="0" xfId="0" applyFill="1" applyBorder="1" applyAlignment="1"/>
    <xf numFmtId="0" fontId="0" fillId="4" borderId="7" xfId="0" applyFill="1" applyBorder="1" applyAlignment="1"/>
    <xf numFmtId="0" fontId="0" fillId="4" borderId="0" xfId="0" applyFont="1" applyFill="1" applyBorder="1" applyAlignment="1"/>
    <xf numFmtId="0" fontId="25" fillId="0" borderId="8" xfId="0" applyFont="1" applyBorder="1" applyAlignment="1" applyProtection="1">
      <alignment horizontal="left"/>
    </xf>
    <xf numFmtId="0" fontId="25" fillId="0" borderId="0" xfId="0" applyFont="1" applyBorder="1" applyAlignment="1" applyProtection="1">
      <alignment horizontal="left"/>
    </xf>
    <xf numFmtId="0" fontId="25" fillId="0" borderId="7" xfId="0" applyFont="1" applyBorder="1" applyAlignment="1" applyProtection="1">
      <alignment horizontal="left"/>
    </xf>
    <xf numFmtId="0" fontId="8" fillId="4" borderId="0" xfId="0" applyFont="1" applyFill="1" applyBorder="1" applyAlignment="1" applyProtection="1"/>
    <xf numFmtId="0" fontId="0" fillId="4" borderId="7" xfId="0" applyFill="1" applyBorder="1" applyAlignment="1" applyProtection="1"/>
    <xf numFmtId="166" fontId="0" fillId="4" borderId="0" xfId="0" applyNumberFormat="1" applyFill="1" applyBorder="1" applyAlignment="1" applyProtection="1"/>
    <xf numFmtId="166" fontId="0" fillId="4" borderId="1" xfId="0" applyNumberFormat="1" applyFill="1" applyBorder="1" applyAlignment="1" applyProtection="1"/>
    <xf numFmtId="0" fontId="11" fillId="4" borderId="1" xfId="0" applyFont="1" applyFill="1" applyBorder="1" applyAlignment="1"/>
    <xf numFmtId="0" fontId="0" fillId="4" borderId="1" xfId="0" applyFill="1" applyBorder="1" applyAlignment="1"/>
    <xf numFmtId="0" fontId="8" fillId="4" borderId="8" xfId="0" applyFont="1" applyFill="1" applyBorder="1" applyAlignment="1" applyProtection="1"/>
    <xf numFmtId="0" fontId="16" fillId="4" borderId="20" xfId="0" applyFont="1" applyFill="1" applyBorder="1" applyAlignment="1">
      <alignment horizontal="center"/>
    </xf>
    <xf numFmtId="0" fontId="0" fillId="4" borderId="6" xfId="0" applyFill="1" applyBorder="1" applyAlignment="1">
      <alignment horizontal="center"/>
    </xf>
    <xf numFmtId="0" fontId="0" fillId="4" borderId="11" xfId="0" applyFill="1" applyBorder="1" applyAlignment="1">
      <alignment horizontal="center"/>
    </xf>
    <xf numFmtId="1" fontId="0" fillId="4" borderId="0" xfId="0" applyNumberFormat="1" applyFill="1" applyBorder="1" applyAlignment="1" applyProtection="1"/>
    <xf numFmtId="0" fontId="16" fillId="4" borderId="20" xfId="0" applyFont="1" applyFill="1" applyBorder="1" applyAlignment="1" applyProtection="1">
      <alignment horizontal="center"/>
    </xf>
    <xf numFmtId="0" fontId="18" fillId="4" borderId="6" xfId="0" applyFont="1" applyFill="1" applyBorder="1" applyAlignment="1" applyProtection="1">
      <alignment horizontal="center"/>
    </xf>
    <xf numFmtId="0" fontId="0" fillId="4" borderId="11" xfId="0" applyFill="1" applyBorder="1" applyAlignment="1" applyProtection="1"/>
    <xf numFmtId="0" fontId="9" fillId="4" borderId="28" xfId="0" applyFont="1"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19" fillId="4" borderId="21" xfId="0" applyFont="1" applyFill="1" applyBorder="1" applyAlignment="1">
      <alignment horizontal="center"/>
    </xf>
    <xf numFmtId="0" fontId="20" fillId="4" borderId="22" xfId="0" applyFont="1" applyFill="1" applyBorder="1" applyAlignment="1"/>
    <xf numFmtId="0" fontId="20" fillId="4" borderId="23" xfId="0" applyFont="1" applyFill="1" applyBorder="1" applyAlignment="1"/>
    <xf numFmtId="0" fontId="0" fillId="4" borderId="6" xfId="0" applyFill="1" applyBorder="1" applyAlignment="1"/>
    <xf numFmtId="0" fontId="0" fillId="4" borderId="11" xfId="0" applyFill="1" applyBorder="1" applyAlignment="1"/>
    <xf numFmtId="168" fontId="0" fillId="4" borderId="0" xfId="0" applyNumberFormat="1" applyFill="1" applyBorder="1" applyAlignment="1" applyProtection="1"/>
    <xf numFmtId="165" fontId="0" fillId="4" borderId="0" xfId="0" applyNumberFormat="1" applyFill="1" applyBorder="1" applyAlignment="1" applyProtection="1"/>
    <xf numFmtId="169" fontId="11" fillId="4" borderId="0" xfId="0" applyNumberFormat="1" applyFont="1" applyFill="1" applyBorder="1" applyAlignment="1" applyProtection="1"/>
    <xf numFmtId="0" fontId="19" fillId="4" borderId="22" xfId="0" applyFont="1" applyFill="1" applyBorder="1" applyAlignment="1">
      <alignment horizontal="center"/>
    </xf>
    <xf numFmtId="0" fontId="19" fillId="4" borderId="23" xfId="0" applyFont="1" applyFill="1" applyBorder="1" applyAlignment="1">
      <alignment horizontal="center"/>
    </xf>
    <xf numFmtId="0" fontId="16" fillId="4" borderId="6" xfId="0" applyFont="1" applyFill="1" applyBorder="1" applyAlignment="1">
      <alignment horizontal="center"/>
    </xf>
    <xf numFmtId="0" fontId="16" fillId="4" borderId="11" xfId="0" applyFont="1" applyFill="1" applyBorder="1" applyAlignment="1">
      <alignment horizontal="center"/>
    </xf>
    <xf numFmtId="169" fontId="0" fillId="4" borderId="0" xfId="0" applyNumberFormat="1" applyFill="1" applyBorder="1" applyAlignment="1" applyProtection="1"/>
    <xf numFmtId="0" fontId="8" fillId="4" borderId="8" xfId="0" applyFont="1" applyFill="1" applyBorder="1" applyAlignment="1" applyProtection="1">
      <alignment horizontal="left"/>
    </xf>
    <xf numFmtId="0" fontId="0" fillId="4" borderId="0" xfId="0" applyFill="1" applyBorder="1" applyAlignment="1" applyProtection="1">
      <alignment horizontal="left"/>
    </xf>
    <xf numFmtId="0" fontId="11" fillId="4" borderId="8" xfId="0" applyFont="1" applyFill="1" applyBorder="1" applyAlignment="1"/>
    <xf numFmtId="0" fontId="11" fillId="4" borderId="10" xfId="0" applyFont="1" applyFill="1" applyBorder="1" applyAlignment="1"/>
    <xf numFmtId="0" fontId="9" fillId="0" borderId="0" xfId="0" applyFont="1" applyBorder="1" applyAlignment="1">
      <alignment horizontal="center"/>
    </xf>
    <xf numFmtId="0" fontId="0" fillId="0" borderId="0" xfId="0" applyBorder="1" applyAlignment="1"/>
    <xf numFmtId="0" fontId="0" fillId="0" borderId="0" xfId="0" applyAlignment="1"/>
    <xf numFmtId="0" fontId="33" fillId="0" borderId="18" xfId="0" applyFont="1" applyBorder="1" applyAlignment="1">
      <alignment horizontal="center"/>
    </xf>
    <xf numFmtId="0" fontId="0" fillId="0" borderId="17" xfId="0" applyBorder="1" applyAlignment="1"/>
    <xf numFmtId="0" fontId="0" fillId="0" borderId="19" xfId="0" applyBorder="1" applyAlignment="1"/>
    <xf numFmtId="0" fontId="15" fillId="0" borderId="16" xfId="0" applyFont="1" applyBorder="1" applyAlignment="1">
      <alignment horizontal="center"/>
    </xf>
    <xf numFmtId="0" fontId="0" fillId="0" borderId="16" xfId="0" applyBorder="1" applyAlignment="1"/>
    <xf numFmtId="0" fontId="15" fillId="0" borderId="20" xfId="0" applyFont="1" applyBorder="1" applyAlignment="1">
      <alignment horizontal="center"/>
    </xf>
    <xf numFmtId="0" fontId="0" fillId="0" borderId="13" xfId="0" applyBorder="1" applyAlignment="1"/>
    <xf numFmtId="0" fontId="15" fillId="0" borderId="9" xfId="0" applyFont="1" applyBorder="1" applyAlignment="1">
      <alignment horizontal="center"/>
    </xf>
    <xf numFmtId="0" fontId="0" fillId="0" borderId="22" xfId="0" applyBorder="1" applyAlignment="1"/>
    <xf numFmtId="0" fontId="0" fillId="0" borderId="23" xfId="0" applyBorder="1" applyAlignment="1"/>
    <xf numFmtId="0" fontId="15" fillId="0" borderId="1" xfId="0" applyFont="1" applyBorder="1" applyAlignment="1">
      <alignment horizontal="center"/>
    </xf>
    <xf numFmtId="0" fontId="0" fillId="0" borderId="3" xfId="0" applyBorder="1" applyAlignment="1">
      <alignment horizontal="center"/>
    </xf>
    <xf numFmtId="0" fontId="15" fillId="0" borderId="2" xfId="0" applyFont="1" applyBorder="1" applyAlignment="1">
      <alignment horizontal="center"/>
    </xf>
    <xf numFmtId="0" fontId="0" fillId="0" borderId="1" xfId="0" applyBorder="1" applyAlignment="1">
      <alignment horizontal="center"/>
    </xf>
    <xf numFmtId="0" fontId="0" fillId="0" borderId="1" xfId="0" applyBorder="1" applyAlignment="1"/>
    <xf numFmtId="0" fontId="0" fillId="0" borderId="3" xfId="0" applyBorder="1" applyAlignment="1"/>
    <xf numFmtId="0" fontId="15" fillId="0" borderId="0" xfId="0" applyFont="1" applyBorder="1" applyAlignment="1">
      <alignment horizontal="center"/>
    </xf>
    <xf numFmtId="0" fontId="0" fillId="0" borderId="7" xfId="0" applyBorder="1" applyAlignment="1"/>
    <xf numFmtId="0" fontId="33" fillId="0" borderId="21" xfId="0" applyFont="1" applyBorder="1" applyAlignment="1">
      <alignment horizontal="center"/>
    </xf>
    <xf numFmtId="0" fontId="11" fillId="0" borderId="22" xfId="0" applyFont="1" applyBorder="1" applyAlignment="1"/>
    <xf numFmtId="0" fontId="0" fillId="0" borderId="0" xfId="0" applyBorder="1" applyAlignment="1">
      <alignment horizontal="center"/>
    </xf>
    <xf numFmtId="0" fontId="32" fillId="0" borderId="16" xfId="0" applyFont="1" applyBorder="1" applyAlignment="1">
      <alignment horizontal="center"/>
    </xf>
    <xf numFmtId="0" fontId="11" fillId="0" borderId="23" xfId="0" applyFont="1" applyBorder="1" applyAlignment="1"/>
    <xf numFmtId="0" fontId="15" fillId="0" borderId="1" xfId="0" applyFont="1" applyFill="1" applyBorder="1" applyAlignment="1">
      <alignment horizontal="center"/>
    </xf>
  </cellXfs>
  <cellStyles count="56">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heck Cell 2" xfId="31" xr:uid="{00000000-0005-0000-0000-00001A000000}"/>
    <cellStyle name="Explanatory Text 2" xfId="32" xr:uid="{00000000-0005-0000-0000-00001B000000}"/>
    <cellStyle name="Good 2" xfId="33" xr:uid="{00000000-0005-0000-0000-00001C000000}"/>
    <cellStyle name="Heading 1 2" xfId="34" xr:uid="{00000000-0005-0000-0000-00001D000000}"/>
    <cellStyle name="Heading 2 2" xfId="35" xr:uid="{00000000-0005-0000-0000-00001E000000}"/>
    <cellStyle name="Heading 3 2" xfId="36" xr:uid="{00000000-0005-0000-0000-00001F000000}"/>
    <cellStyle name="Heading 4 2" xfId="37" xr:uid="{00000000-0005-0000-0000-000020000000}"/>
    <cellStyle name="Hyperlink" xfId="1" builtinId="8"/>
    <cellStyle name="Input 2" xfId="38" xr:uid="{00000000-0005-0000-0000-000022000000}"/>
    <cellStyle name="Linked Cell 2" xfId="39" xr:uid="{00000000-0005-0000-0000-000023000000}"/>
    <cellStyle name="Neutral 2" xfId="40" xr:uid="{00000000-0005-0000-0000-000024000000}"/>
    <cellStyle name="Normal" xfId="0" builtinId="0"/>
    <cellStyle name="Normal 2" xfId="2" xr:uid="{00000000-0005-0000-0000-000026000000}"/>
    <cellStyle name="Normal 2 2" xfId="42" xr:uid="{00000000-0005-0000-0000-000027000000}"/>
    <cellStyle name="Normal 2 3" xfId="41" xr:uid="{00000000-0005-0000-0000-000028000000}"/>
    <cellStyle name="Normal 3" xfId="43" xr:uid="{00000000-0005-0000-0000-000029000000}"/>
    <cellStyle name="Normal 4" xfId="49" xr:uid="{00000000-0005-0000-0000-00002A000000}"/>
    <cellStyle name="Normal 5" xfId="50" xr:uid="{00000000-0005-0000-0000-00002B000000}"/>
    <cellStyle name="Normal 5 2" xfId="54" xr:uid="{00000000-0005-0000-0000-00002C000000}"/>
    <cellStyle name="Normal 5 3" xfId="55" xr:uid="{00000000-0005-0000-0000-00002D000000}"/>
    <cellStyle name="Normal 6" xfId="51" xr:uid="{00000000-0005-0000-0000-00002E000000}"/>
    <cellStyle name="Normal 7" xfId="52" xr:uid="{00000000-0005-0000-0000-00002F000000}"/>
    <cellStyle name="Normal 8" xfId="53" xr:uid="{00000000-0005-0000-0000-000030000000}"/>
    <cellStyle name="Normal 9" xfId="4" xr:uid="{00000000-0005-0000-0000-000031000000}"/>
    <cellStyle name="Note 2" xfId="44" xr:uid="{00000000-0005-0000-0000-000032000000}"/>
    <cellStyle name="Output 2" xfId="45" xr:uid="{00000000-0005-0000-0000-000033000000}"/>
    <cellStyle name="Percent" xfId="3" builtinId="5"/>
    <cellStyle name="Title 2" xfId="46" xr:uid="{00000000-0005-0000-0000-000035000000}"/>
    <cellStyle name="Total 2" xfId="47" xr:uid="{00000000-0005-0000-0000-000036000000}"/>
    <cellStyle name="Warning Text 2" xfId="48" xr:uid="{00000000-0005-0000-0000-00003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3B145"/>
      <rgbColor rgb="000000FF"/>
      <rgbColor rgb="00FFFF00"/>
      <rgbColor rgb="00E5E4C9"/>
      <rgbColor rgb="0000FFFF"/>
      <rgbColor rgb="00800000"/>
      <rgbColor rgb="00008000"/>
      <rgbColor rgb="00000080"/>
      <rgbColor rgb="00808000"/>
      <rgbColor rgb="0099CCFF"/>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0099FF"/>
      <rgbColor rgb="00FFCC99"/>
      <rgbColor rgb="003366FF"/>
      <rgbColor rgb="0033CCCC"/>
      <rgbColor rgb="0099CC00"/>
      <rgbColor rgb="00FFCC00"/>
      <rgbColor rgb="00FF9900"/>
      <rgbColor rgb="00FF6600"/>
      <rgbColor rgb="0084B0F0"/>
      <rgbColor rgb="00969696"/>
      <rgbColor rgb="00003366"/>
      <rgbColor rgb="00339966"/>
      <rgbColor rgb="00003300"/>
      <rgbColor rgb="00333300"/>
      <rgbColor rgb="00993300"/>
      <rgbColor rgb="00CCECFF"/>
      <rgbColor rgb="005F98EB"/>
      <rgbColor rgb="00333333"/>
    </indexedColors>
    <mruColors>
      <color rgb="FF7A99AC"/>
      <color rgb="FFFFFF99"/>
      <color rgb="FFFFFFCC"/>
      <color rgb="FFCC0000"/>
      <color rgb="FFFFCC99"/>
      <color rgb="FFC8102E"/>
      <color rgb="FFBE53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1.xml"/><Relationship Id="rId12" Type="http://schemas.openxmlformats.org/officeDocument/2006/relationships/chartsheet" Target="chartsheets/sheet6.xml"/><Relationship Id="rId17" Type="http://schemas.openxmlformats.org/officeDocument/2006/relationships/chartsheet" Target="chartsheets/sheet11.xml"/><Relationship Id="rId2" Type="http://schemas.openxmlformats.org/officeDocument/2006/relationships/worksheet" Target="worksheets/sheet2.xml"/><Relationship Id="rId16" Type="http://schemas.openxmlformats.org/officeDocument/2006/relationships/chartsheet" Target="chartsheets/sheet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chartsheet" Target="chartsheets/sheet9.xml"/><Relationship Id="rId10" Type="http://schemas.openxmlformats.org/officeDocument/2006/relationships/chartsheet" Target="chartsheets/sheet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3.xml"/><Relationship Id="rId1" Type="http://schemas.microsoft.com/office/2011/relationships/chartStyle" Target="style13.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4.xml"/><Relationship Id="rId1" Type="http://schemas.microsoft.com/office/2011/relationships/chartStyle" Target="style14.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5.xml"/><Relationship Id="rId1" Type="http://schemas.microsoft.com/office/2011/relationships/chartStyle" Target="style15.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6.xml"/><Relationship Id="rId1" Type="http://schemas.microsoft.com/office/2011/relationships/chartStyle" Target="style16.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1"/>
          <c:showCatName val="0"/>
          <c:showSerName val="0"/>
          <c:showPercent val="0"/>
          <c:showBubbleSize val="0"/>
        </c:dLbls>
        <c:gapWidth val="41"/>
        <c:axId val="236865936"/>
        <c:axId val="236866496"/>
      </c:barChart>
      <c:catAx>
        <c:axId val="236865936"/>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236866496"/>
        <c:crosses val="autoZero"/>
        <c:auto val="1"/>
        <c:lblAlgn val="ctr"/>
        <c:lblOffset val="100"/>
        <c:noMultiLvlLbl val="0"/>
      </c:catAx>
      <c:valAx>
        <c:axId val="236866496"/>
        <c:scaling>
          <c:orientation val="minMax"/>
        </c:scaling>
        <c:delete val="1"/>
        <c:axPos val="l"/>
        <c:numFmt formatCode="mmm\-yy" sourceLinked="1"/>
        <c:majorTickMark val="none"/>
        <c:minorTickMark val="none"/>
        <c:tickLblPos val="nextTo"/>
        <c:crossAx val="236865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solidFill>
        <a:schemeClr val="dk1">
          <a:lumMod val="15000"/>
          <a:lumOff val="85000"/>
        </a:schemeClr>
      </a:solidFill>
      <a:round/>
    </a:ln>
    <a:effectLst/>
  </c:spPr>
  <c:txPr>
    <a:bodyPr/>
    <a:lstStyle/>
    <a:p>
      <a:pPr>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Arial Narrow" panose="020B0606020202030204" pitchFamily="34" charset="0"/>
                <a:ea typeface="+mn-ea"/>
                <a:cs typeface="+mn-cs"/>
              </a:defRPr>
            </a:pPr>
            <a:r>
              <a:rPr lang="en-US" sz="2000"/>
              <a:t>Cost of Ethanol Production</a:t>
            </a:r>
            <a:endParaRPr lang="en-US" sz="2000" b="0"/>
          </a:p>
          <a:p>
            <a:pPr>
              <a:defRPr sz="2000"/>
            </a:pPr>
            <a:r>
              <a:rPr lang="en-US" sz="2000" b="0"/>
              <a:t>(corn cost at corn market price)</a:t>
            </a:r>
          </a:p>
        </c:rich>
      </c:tx>
      <c:layout>
        <c:manualLayout>
          <c:xMode val="edge"/>
          <c:yMode val="edge"/>
          <c:x val="0.342103995022014"/>
          <c:y val="1.4392943872670099E-2"/>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3283649565830702"/>
          <c:y val="0.12645277138522801"/>
          <c:w val="0.8395435152103784"/>
          <c:h val="0.65437604390360293"/>
        </c:manualLayout>
      </c:layout>
      <c:areaChart>
        <c:grouping val="stacked"/>
        <c:varyColors val="0"/>
        <c:ser>
          <c:idx val="1"/>
          <c:order val="0"/>
          <c:tx>
            <c:v>Corn</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[0]!Q</c:f>
              <c:numCache>
                <c:formatCode>_("$"* #,##0.00_);_("$"* \(#,##0.00\);_("$"* "-"??_);_(@_)</c:formatCode>
                <c:ptCount val="98"/>
                <c:pt idx="0">
                  <c:v>1.2115535526504588</c:v>
                </c:pt>
                <c:pt idx="1">
                  <c:v>1.2195175436505099</c:v>
                </c:pt>
                <c:pt idx="2">
                  <c:v>1.2063691820469091</c:v>
                </c:pt>
                <c:pt idx="3">
                  <c:v>1.2198412687258613</c:v>
                </c:pt>
                <c:pt idx="4">
                  <c:v>1.2657685925588074</c:v>
                </c:pt>
                <c:pt idx="5">
                  <c:v>1.3270733611245285</c:v>
                </c:pt>
                <c:pt idx="6">
                  <c:v>1.1116008748087967</c:v>
                </c:pt>
                <c:pt idx="7">
                  <c:v>1.0579138025811936</c:v>
                </c:pt>
                <c:pt idx="8">
                  <c:v>1.0536863024272616</c:v>
                </c:pt>
                <c:pt idx="9">
                  <c:v>1.1046365926737789</c:v>
                </c:pt>
                <c:pt idx="10">
                  <c:v>1.1045175414385964</c:v>
                </c:pt>
                <c:pt idx="11">
                  <c:v>1.1392230562100001</c:v>
                </c:pt>
                <c:pt idx="12">
                  <c:v>1.185701750872421</c:v>
                </c:pt>
                <c:pt idx="13">
                  <c:v>1.1981994436491228</c:v>
                </c:pt>
                <c:pt idx="14">
                  <c:v>1.1721109863157895</c:v>
                </c:pt>
                <c:pt idx="15">
                  <c:v>1.180208333751579</c:v>
                </c:pt>
                <c:pt idx="16">
                  <c:v>1.1918460933017545</c:v>
                </c:pt>
                <c:pt idx="17">
                  <c:v>1.1830841306666666</c:v>
                </c:pt>
                <c:pt idx="18">
                  <c:v>1.1936403544315788</c:v>
                </c:pt>
                <c:pt idx="19">
                  <c:v>1.1218102126666667</c:v>
                </c:pt>
                <c:pt idx="20">
                  <c:v>1.1150658005162288</c:v>
                </c:pt>
                <c:pt idx="21">
                  <c:v>1.1069340056544457</c:v>
                </c:pt>
                <c:pt idx="22">
                  <c:v>1.0997149086835092</c:v>
                </c:pt>
                <c:pt idx="23">
                  <c:v>1.1341228129570944</c:v>
                </c:pt>
                <c:pt idx="24">
                  <c:v>1.1521720936025492</c:v>
                </c:pt>
                <c:pt idx="25">
                  <c:v>1.1906971418516348</c:v>
                </c:pt>
                <c:pt idx="26">
                  <c:v>1.2249800615143358</c:v>
                </c:pt>
                <c:pt idx="27">
                  <c:v>1.2528309439928338</c:v>
                </c:pt>
                <c:pt idx="28">
                  <c:v>1.2969597323279252</c:v>
                </c:pt>
                <c:pt idx="29">
                  <c:v>1.1902151241238752</c:v>
                </c:pt>
                <c:pt idx="30">
                  <c:v>1.1259293984450591</c:v>
                </c:pt>
                <c:pt idx="31">
                  <c:v>1.1568039669324932</c:v>
                </c:pt>
                <c:pt idx="32">
                  <c:v>1.1129166693018193</c:v>
                </c:pt>
                <c:pt idx="33">
                  <c:v>1.1543859649122807</c:v>
                </c:pt>
                <c:pt idx="34">
                  <c:v>1.1831798260672051</c:v>
                </c:pt>
                <c:pt idx="35">
                  <c:v>1.212680601852228</c:v>
                </c:pt>
                <c:pt idx="36">
                  <c:v>1.2424394341439331</c:v>
                </c:pt>
                <c:pt idx="37">
                  <c:v>1.2518396700567205</c:v>
                </c:pt>
                <c:pt idx="38">
                  <c:v>1.2462510411303145</c:v>
                </c:pt>
                <c:pt idx="39">
                  <c:v>1.223425037248663</c:v>
                </c:pt>
                <c:pt idx="40">
                  <c:v>1.2721804459093009</c:v>
                </c:pt>
                <c:pt idx="41">
                  <c:v>1.4601315793238188</c:v>
                </c:pt>
                <c:pt idx="42">
                  <c:v>1.4990629961616113</c:v>
                </c:pt>
                <c:pt idx="43">
                  <c:v>1.3266945820676084</c:v>
                </c:pt>
                <c:pt idx="44">
                  <c:v>1.2813267530056467</c:v>
                </c:pt>
                <c:pt idx="45">
                  <c:v>1.3488157924852873</c:v>
                </c:pt>
                <c:pt idx="46">
                  <c:v>1.2804362867677639</c:v>
                </c:pt>
                <c:pt idx="47">
                  <c:v>1.3087499978249533</c:v>
                </c:pt>
                <c:pt idx="48">
                  <c:v>1.338512943302878</c:v>
                </c:pt>
                <c:pt idx="49">
                  <c:v>1.318559556654616</c:v>
                </c:pt>
                <c:pt idx="50">
                  <c:v>1.2093899515827307</c:v>
                </c:pt>
                <c:pt idx="51">
                  <c:v>1.028708134921924</c:v>
                </c:pt>
                <c:pt idx="52">
                  <c:v>1.0336293860485679</c:v>
                </c:pt>
                <c:pt idx="53">
                  <c:v>1.0893065993947195</c:v>
                </c:pt>
                <c:pt idx="54">
                  <c:v>1.0898724117537626</c:v>
                </c:pt>
                <c:pt idx="55">
                  <c:v>1.0849415230173416</c:v>
                </c:pt>
                <c:pt idx="56">
                  <c:v>1.2299916479322646</c:v>
                </c:pt>
                <c:pt idx="57">
                  <c:v>1.3389724268949121</c:v>
                </c:pt>
                <c:pt idx="58">
                  <c:v>1.4312903922900819</c:v>
                </c:pt>
                <c:pt idx="59">
                  <c:v>1.4926482820471028</c:v>
                </c:pt>
                <c:pt idx="60">
                  <c:v>1.7449676838607997</c:v>
                </c:pt>
                <c:pt idx="61">
                  <c:v>1.8782202204618865</c:v>
                </c:pt>
                <c:pt idx="62">
                  <c:v>1.8893592672253454</c:v>
                </c:pt>
                <c:pt idx="63">
                  <c:v>2.1116645812191561</c:v>
                </c:pt>
                <c:pt idx="64">
                  <c:v>2.4734649156269275</c:v>
                </c:pt>
                <c:pt idx="65">
                  <c:v>2.4000897152762284</c:v>
                </c:pt>
                <c:pt idx="66">
                  <c:v>2.2747368415196734</c:v>
                </c:pt>
                <c:pt idx="67">
                  <c:v>2.222268741096606</c:v>
                </c:pt>
                <c:pt idx="68">
                  <c:v>1.9496136102062918</c:v>
                </c:pt>
                <c:pt idx="69">
                  <c:v>1.8604824605740999</c:v>
                </c:pt>
                <c:pt idx="70">
                  <c:v>1.9874605212295264</c:v>
                </c:pt>
                <c:pt idx="71">
                  <c:v>2.0783208008099319</c:v>
                </c:pt>
                <c:pt idx="72">
                  <c:v>2.1200438675127531</c:v>
                </c:pt>
                <c:pt idx="73">
                  <c:v>2.2398083978302479</c:v>
                </c:pt>
                <c:pt idx="74">
                  <c:v>2.5050343346904929</c:v>
                </c:pt>
                <c:pt idx="75">
                  <c:v>2.7073412730281512</c:v>
                </c:pt>
                <c:pt idx="76">
                  <c:v>2.7227389197812144</c:v>
                </c:pt>
                <c:pt idx="77">
                  <c:v>2.7446600930732594</c:v>
                </c:pt>
                <c:pt idx="78">
                  <c:v>2.5402040911133521</c:v>
                </c:pt>
                <c:pt idx="79">
                  <c:v>2.5758886346300529</c:v>
                </c:pt>
                <c:pt idx="80">
                  <c:v>2.58690142021721</c:v>
                </c:pt>
                <c:pt idx="81">
                  <c:v>2.4177517543859648</c:v>
                </c:pt>
                <c:pt idx="82">
                  <c:v>2.388520467836257</c:v>
                </c:pt>
                <c:pt idx="83">
                  <c:v>2.3722773600668337</c:v>
                </c:pt>
                <c:pt idx="84">
                  <c:v>2.409449122807017</c:v>
                </c:pt>
                <c:pt idx="85">
                  <c:v>2.4133831948291782</c:v>
                </c:pt>
                <c:pt idx="86">
                  <c:v>2.3043348588863464</c:v>
                </c:pt>
                <c:pt idx="87">
                  <c:v>2.3682105263157891</c:v>
                </c:pt>
                <c:pt idx="88">
                  <c:v>2.2446969696969692</c:v>
                </c:pt>
                <c:pt idx="89">
                  <c:v>2.2969064327485387</c:v>
                </c:pt>
                <c:pt idx="90">
                  <c:v>2.0807561403508767</c:v>
                </c:pt>
                <c:pt idx="91">
                  <c:v>1.9609138062547673</c:v>
                </c:pt>
                <c:pt idx="92">
                  <c:v>1.7141763157894738</c:v>
                </c:pt>
                <c:pt idx="93">
                  <c:v>1.6784335839598996</c:v>
                </c:pt>
                <c:pt idx="94">
                  <c:v>1.6707105263157891</c:v>
                </c:pt>
                <c:pt idx="95">
                  <c:v>1.6884622807017542</c:v>
                </c:pt>
                <c:pt idx="96">
                  <c:v>1.6041319966583125</c:v>
                </c:pt>
                <c:pt idx="97">
                  <c:v>1.5092815789473686</c:v>
                </c:pt>
              </c:numCache>
            </c:numRef>
          </c:val>
          <c:extLst>
            <c:ext xmlns:c16="http://schemas.microsoft.com/office/drawing/2014/chart" uri="{C3380CC4-5D6E-409C-BE32-E72D297353CC}">
              <c16:uniqueId val="{00000000-4D16-4BDC-828D-7461F0AD0E31}"/>
            </c:ext>
          </c:extLst>
        </c:ser>
        <c:ser>
          <c:idx val="2"/>
          <c:order val="1"/>
          <c:tx>
            <c:v>Natural gas</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[0]!RR</c:f>
              <c:numCache>
                <c:formatCode>_("$"* #,##0.00_);_("$"* \(#,##0.00\);_("$"* "-"??_);_(@_)</c:formatCode>
                <c:ptCount val="98"/>
                <c:pt idx="0">
                  <c:v>0.15029999999999999</c:v>
                </c:pt>
                <c:pt idx="1">
                  <c:v>0.1308</c:v>
                </c:pt>
                <c:pt idx="2">
                  <c:v>0.14580000000000001</c:v>
                </c:pt>
                <c:pt idx="3">
                  <c:v>0.13320000000000001</c:v>
                </c:pt>
                <c:pt idx="4">
                  <c:v>0.12210000000000001</c:v>
                </c:pt>
                <c:pt idx="5">
                  <c:v>0.13320000000000001</c:v>
                </c:pt>
                <c:pt idx="6">
                  <c:v>0.13980000000000001</c:v>
                </c:pt>
                <c:pt idx="7">
                  <c:v>0.12989999999999999</c:v>
                </c:pt>
                <c:pt idx="8">
                  <c:v>0.14879999999999999</c:v>
                </c:pt>
                <c:pt idx="9">
                  <c:v>0.14820000000000003</c:v>
                </c:pt>
                <c:pt idx="10">
                  <c:v>0.1404</c:v>
                </c:pt>
                <c:pt idx="11">
                  <c:v>0.1545</c:v>
                </c:pt>
                <c:pt idx="12">
                  <c:v>0.15659999999999999</c:v>
                </c:pt>
                <c:pt idx="13">
                  <c:v>0.15419999999999998</c:v>
                </c:pt>
                <c:pt idx="14">
                  <c:v>0.14070000000000002</c:v>
                </c:pt>
                <c:pt idx="15">
                  <c:v>0.15179999999999999</c:v>
                </c:pt>
                <c:pt idx="16">
                  <c:v>0.1593</c:v>
                </c:pt>
                <c:pt idx="17">
                  <c:v>0.1653</c:v>
                </c:pt>
                <c:pt idx="18">
                  <c:v>0.16289999999999999</c:v>
                </c:pt>
                <c:pt idx="19">
                  <c:v>0.15539999999999998</c:v>
                </c:pt>
                <c:pt idx="20">
                  <c:v>0.15989999999999999</c:v>
                </c:pt>
                <c:pt idx="21">
                  <c:v>0.15179999999999999</c:v>
                </c:pt>
                <c:pt idx="22">
                  <c:v>0.15360000000000001</c:v>
                </c:pt>
                <c:pt idx="23">
                  <c:v>0.16650000000000001</c:v>
                </c:pt>
                <c:pt idx="24">
                  <c:v>0.16650000000000001</c:v>
                </c:pt>
                <c:pt idx="25">
                  <c:v>0.18240000000000001</c:v>
                </c:pt>
                <c:pt idx="26">
                  <c:v>0.15839999999999999</c:v>
                </c:pt>
                <c:pt idx="27">
                  <c:v>0.15539999999999998</c:v>
                </c:pt>
                <c:pt idx="28">
                  <c:v>0.13109999999999999</c:v>
                </c:pt>
                <c:pt idx="29">
                  <c:v>0.12989999999999999</c:v>
                </c:pt>
                <c:pt idx="30">
                  <c:v>0.13379999999999997</c:v>
                </c:pt>
                <c:pt idx="31">
                  <c:v>0.14369999999999999</c:v>
                </c:pt>
                <c:pt idx="32">
                  <c:v>0.16140000000000002</c:v>
                </c:pt>
                <c:pt idx="33">
                  <c:v>0.1515</c:v>
                </c:pt>
                <c:pt idx="34">
                  <c:v>0.17460000000000001</c:v>
                </c:pt>
                <c:pt idx="35">
                  <c:v>0.1905</c:v>
                </c:pt>
                <c:pt idx="36">
                  <c:v>0.14789999999999998</c:v>
                </c:pt>
                <c:pt idx="37">
                  <c:v>0.1401</c:v>
                </c:pt>
                <c:pt idx="38">
                  <c:v>0.14580000000000001</c:v>
                </c:pt>
                <c:pt idx="39">
                  <c:v>0.129</c:v>
                </c:pt>
                <c:pt idx="40">
                  <c:v>0.1239</c:v>
                </c:pt>
                <c:pt idx="41">
                  <c:v>0.12419999999999999</c:v>
                </c:pt>
                <c:pt idx="42">
                  <c:v>0.1137</c:v>
                </c:pt>
                <c:pt idx="43">
                  <c:v>0.10740000000000001</c:v>
                </c:pt>
                <c:pt idx="44">
                  <c:v>0.12059999999999998</c:v>
                </c:pt>
                <c:pt idx="45">
                  <c:v>0.1227</c:v>
                </c:pt>
                <c:pt idx="46">
                  <c:v>0.12360000000000002</c:v>
                </c:pt>
                <c:pt idx="47">
                  <c:v>0.12659999999999999</c:v>
                </c:pt>
                <c:pt idx="48">
                  <c:v>0.14399999999999999</c:v>
                </c:pt>
                <c:pt idx="49">
                  <c:v>0.1239</c:v>
                </c:pt>
                <c:pt idx="50">
                  <c:v>0.12509999999999999</c:v>
                </c:pt>
                <c:pt idx="51">
                  <c:v>0.1179</c:v>
                </c:pt>
                <c:pt idx="52">
                  <c:v>0.12360000000000002</c:v>
                </c:pt>
                <c:pt idx="53">
                  <c:v>0.10740000000000001</c:v>
                </c:pt>
                <c:pt idx="54">
                  <c:v>0.1089</c:v>
                </c:pt>
                <c:pt idx="55">
                  <c:v>0.12480000000000002</c:v>
                </c:pt>
                <c:pt idx="56">
                  <c:v>0.14700000000000002</c:v>
                </c:pt>
                <c:pt idx="57">
                  <c:v>0.1368</c:v>
                </c:pt>
                <c:pt idx="58">
                  <c:v>0.16950000000000001</c:v>
                </c:pt>
                <c:pt idx="59">
                  <c:v>0.15480000000000002</c:v>
                </c:pt>
                <c:pt idx="60">
                  <c:v>0.1341</c:v>
                </c:pt>
                <c:pt idx="61">
                  <c:v>0.22140000000000001</c:v>
                </c:pt>
                <c:pt idx="62">
                  <c:v>0.19109999999999999</c:v>
                </c:pt>
                <c:pt idx="63">
                  <c:v>0.1764</c:v>
                </c:pt>
                <c:pt idx="64">
                  <c:v>0.17909999999999998</c:v>
                </c:pt>
                <c:pt idx="65">
                  <c:v>0.17760000000000001</c:v>
                </c:pt>
                <c:pt idx="66">
                  <c:v>0.18870000000000001</c:v>
                </c:pt>
                <c:pt idx="67">
                  <c:v>0.21690000000000001</c:v>
                </c:pt>
                <c:pt idx="68">
                  <c:v>0.22020000000000001</c:v>
                </c:pt>
                <c:pt idx="69">
                  <c:v>0.2364</c:v>
                </c:pt>
                <c:pt idx="70">
                  <c:v>0.26250000000000001</c:v>
                </c:pt>
                <c:pt idx="71">
                  <c:v>0.29849999999999999</c:v>
                </c:pt>
                <c:pt idx="72">
                  <c:v>0.25259999999999999</c:v>
                </c:pt>
                <c:pt idx="73">
                  <c:v>0.26280000000000003</c:v>
                </c:pt>
                <c:pt idx="74">
                  <c:v>0.28259999999999996</c:v>
                </c:pt>
                <c:pt idx="75">
                  <c:v>0.25740000000000002</c:v>
                </c:pt>
                <c:pt idx="76">
                  <c:v>0.26759999999999995</c:v>
                </c:pt>
                <c:pt idx="77">
                  <c:v>0.2757</c:v>
                </c:pt>
                <c:pt idx="78">
                  <c:v>0.23549999999999999</c:v>
                </c:pt>
                <c:pt idx="79">
                  <c:v>0.24569999999999997</c:v>
                </c:pt>
                <c:pt idx="80">
                  <c:v>0.28589999999999993</c:v>
                </c:pt>
                <c:pt idx="81">
                  <c:v>0.24569999999999997</c:v>
                </c:pt>
                <c:pt idx="82">
                  <c:v>0.23399999999999999</c:v>
                </c:pt>
                <c:pt idx="83">
                  <c:v>0.27749999999999997</c:v>
                </c:pt>
                <c:pt idx="84">
                  <c:v>0.32520000000000004</c:v>
                </c:pt>
                <c:pt idx="85">
                  <c:v>0.29339999999999994</c:v>
                </c:pt>
                <c:pt idx="86">
                  <c:v>0.2286</c:v>
                </c:pt>
                <c:pt idx="87">
                  <c:v>0.18510000000000001</c:v>
                </c:pt>
                <c:pt idx="88">
                  <c:v>0.17789999999999997</c:v>
                </c:pt>
                <c:pt idx="89">
                  <c:v>0.17909999999999998</c:v>
                </c:pt>
                <c:pt idx="90">
                  <c:v>0.18779999999999999</c:v>
                </c:pt>
                <c:pt idx="91">
                  <c:v>0.18149999999999999</c:v>
                </c:pt>
                <c:pt idx="92">
                  <c:v>0.15329999999999999</c:v>
                </c:pt>
                <c:pt idx="93">
                  <c:v>0.1449</c:v>
                </c:pt>
                <c:pt idx="94">
                  <c:v>0.16470000000000001</c:v>
                </c:pt>
                <c:pt idx="95">
                  <c:v>0.17369999999999999</c:v>
                </c:pt>
                <c:pt idx="96">
                  <c:v>0.17369999999999999</c:v>
                </c:pt>
                <c:pt idx="97">
                  <c:v>0.17369999999999999</c:v>
                </c:pt>
              </c:numCache>
            </c:numRef>
          </c:val>
          <c:extLst>
            <c:ext xmlns:c16="http://schemas.microsoft.com/office/drawing/2014/chart" uri="{C3380CC4-5D6E-409C-BE32-E72D297353CC}">
              <c16:uniqueId val="{00000001-4D16-4BDC-828D-7461F0AD0E31}"/>
            </c:ext>
          </c:extLst>
        </c:ser>
        <c:ser>
          <c:idx val="3"/>
          <c:order val="2"/>
          <c:tx>
            <c:v>Other variable</c:v>
          </c:tx>
          <c:spPr>
            <a:solidFill>
              <a:schemeClr val="accent1"/>
            </a:soli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[0]!S</c:f>
              <c:numCache>
                <c:formatCode>_("$"* #,##0.00_);_("$"* \(#,##0.00\);_("$"* "-"??_);_(@_)</c:formatCode>
                <c:ptCount val="98"/>
                <c:pt idx="0">
                  <c:v>0.21939999999999998</c:v>
                </c:pt>
                <c:pt idx="1">
                  <c:v>0.21939999999999998</c:v>
                </c:pt>
                <c:pt idx="2">
                  <c:v>0.21939999999999998</c:v>
                </c:pt>
                <c:pt idx="3">
                  <c:v>0.21939999999999998</c:v>
                </c:pt>
                <c:pt idx="4">
                  <c:v>0.21939999999999998</c:v>
                </c:pt>
                <c:pt idx="5">
                  <c:v>0.21939999999999998</c:v>
                </c:pt>
                <c:pt idx="6">
                  <c:v>0.21939999999999998</c:v>
                </c:pt>
                <c:pt idx="7">
                  <c:v>0.21939999999999998</c:v>
                </c:pt>
                <c:pt idx="8">
                  <c:v>0.21939999999999998</c:v>
                </c:pt>
                <c:pt idx="9">
                  <c:v>0.21939999999999998</c:v>
                </c:pt>
                <c:pt idx="10">
                  <c:v>0.21939999999999998</c:v>
                </c:pt>
                <c:pt idx="11">
                  <c:v>0.21939999999999998</c:v>
                </c:pt>
                <c:pt idx="12">
                  <c:v>0.21939999999999998</c:v>
                </c:pt>
                <c:pt idx="13">
                  <c:v>0.21939999999999998</c:v>
                </c:pt>
                <c:pt idx="14">
                  <c:v>0.21939999999999998</c:v>
                </c:pt>
                <c:pt idx="15">
                  <c:v>0.21939999999999998</c:v>
                </c:pt>
                <c:pt idx="16">
                  <c:v>0.21939999999999998</c:v>
                </c:pt>
                <c:pt idx="17">
                  <c:v>0.21939999999999998</c:v>
                </c:pt>
                <c:pt idx="18">
                  <c:v>0.21939999999999998</c:v>
                </c:pt>
                <c:pt idx="19">
                  <c:v>0.21939999999999998</c:v>
                </c:pt>
                <c:pt idx="20">
                  <c:v>0.21939999999999998</c:v>
                </c:pt>
                <c:pt idx="21">
                  <c:v>0.21939999999999998</c:v>
                </c:pt>
                <c:pt idx="22">
                  <c:v>0.21939999999999998</c:v>
                </c:pt>
                <c:pt idx="23">
                  <c:v>0.21939999999999998</c:v>
                </c:pt>
                <c:pt idx="24">
                  <c:v>0.21939999999999998</c:v>
                </c:pt>
                <c:pt idx="25">
                  <c:v>0.21939999999999998</c:v>
                </c:pt>
                <c:pt idx="26">
                  <c:v>0.21939999999999998</c:v>
                </c:pt>
                <c:pt idx="27">
                  <c:v>0.21939999999999998</c:v>
                </c:pt>
                <c:pt idx="28">
                  <c:v>0.21939999999999998</c:v>
                </c:pt>
                <c:pt idx="29">
                  <c:v>0.21939999999999998</c:v>
                </c:pt>
                <c:pt idx="30">
                  <c:v>0.21939999999999998</c:v>
                </c:pt>
                <c:pt idx="31">
                  <c:v>0.21939999999999998</c:v>
                </c:pt>
                <c:pt idx="32">
                  <c:v>0.21939999999999998</c:v>
                </c:pt>
                <c:pt idx="33">
                  <c:v>0.21939999999999998</c:v>
                </c:pt>
                <c:pt idx="34">
                  <c:v>0.21939999999999998</c:v>
                </c:pt>
                <c:pt idx="35">
                  <c:v>0.21939999999999998</c:v>
                </c:pt>
                <c:pt idx="36">
                  <c:v>0.21939999999999998</c:v>
                </c:pt>
                <c:pt idx="37">
                  <c:v>0.21939999999999998</c:v>
                </c:pt>
                <c:pt idx="38">
                  <c:v>0.21939999999999998</c:v>
                </c:pt>
                <c:pt idx="39">
                  <c:v>0.21939999999999998</c:v>
                </c:pt>
                <c:pt idx="40">
                  <c:v>0.21939999999999998</c:v>
                </c:pt>
                <c:pt idx="41">
                  <c:v>0.21939999999999998</c:v>
                </c:pt>
                <c:pt idx="42">
                  <c:v>0.21939999999999998</c:v>
                </c:pt>
                <c:pt idx="43">
                  <c:v>0.21939999999999998</c:v>
                </c:pt>
                <c:pt idx="44">
                  <c:v>0.21939999999999998</c:v>
                </c:pt>
                <c:pt idx="45">
                  <c:v>0.21939999999999998</c:v>
                </c:pt>
                <c:pt idx="46">
                  <c:v>0.21939999999999998</c:v>
                </c:pt>
                <c:pt idx="47">
                  <c:v>0.21939999999999998</c:v>
                </c:pt>
                <c:pt idx="48">
                  <c:v>0.21939999999999998</c:v>
                </c:pt>
                <c:pt idx="49">
                  <c:v>0.21939999999999998</c:v>
                </c:pt>
                <c:pt idx="50">
                  <c:v>0.21939999999999998</c:v>
                </c:pt>
                <c:pt idx="51">
                  <c:v>0.21939999999999998</c:v>
                </c:pt>
                <c:pt idx="52">
                  <c:v>0.21939999999999998</c:v>
                </c:pt>
                <c:pt idx="53">
                  <c:v>0.21939999999999998</c:v>
                </c:pt>
                <c:pt idx="54">
                  <c:v>0.21939999999999998</c:v>
                </c:pt>
                <c:pt idx="55">
                  <c:v>0.21939999999999998</c:v>
                </c:pt>
                <c:pt idx="56">
                  <c:v>0.21939999999999998</c:v>
                </c:pt>
                <c:pt idx="57">
                  <c:v>0.21939999999999998</c:v>
                </c:pt>
                <c:pt idx="58">
                  <c:v>0.21939999999999998</c:v>
                </c:pt>
                <c:pt idx="59">
                  <c:v>0.21939999999999998</c:v>
                </c:pt>
                <c:pt idx="60">
                  <c:v>0.21939999999999998</c:v>
                </c:pt>
                <c:pt idx="61">
                  <c:v>0.21939999999999998</c:v>
                </c:pt>
                <c:pt idx="62">
                  <c:v>0.21939999999999998</c:v>
                </c:pt>
                <c:pt idx="63">
                  <c:v>0.21939999999999998</c:v>
                </c:pt>
                <c:pt idx="64">
                  <c:v>0.21939999999999998</c:v>
                </c:pt>
                <c:pt idx="65">
                  <c:v>0.21939999999999998</c:v>
                </c:pt>
                <c:pt idx="66">
                  <c:v>0.21939999999999998</c:v>
                </c:pt>
                <c:pt idx="67">
                  <c:v>0.21939999999999998</c:v>
                </c:pt>
                <c:pt idx="68">
                  <c:v>0.21939999999999998</c:v>
                </c:pt>
                <c:pt idx="69">
                  <c:v>0.21939999999999998</c:v>
                </c:pt>
                <c:pt idx="70">
                  <c:v>0.21939999999999998</c:v>
                </c:pt>
                <c:pt idx="71">
                  <c:v>0.21939999999999998</c:v>
                </c:pt>
                <c:pt idx="72">
                  <c:v>0.21939999999999998</c:v>
                </c:pt>
                <c:pt idx="73">
                  <c:v>0.21939999999999998</c:v>
                </c:pt>
                <c:pt idx="74">
                  <c:v>0.21939999999999998</c:v>
                </c:pt>
                <c:pt idx="75">
                  <c:v>0.21939999999999998</c:v>
                </c:pt>
                <c:pt idx="76">
                  <c:v>0.21939999999999998</c:v>
                </c:pt>
                <c:pt idx="77">
                  <c:v>0.21939999999999998</c:v>
                </c:pt>
                <c:pt idx="78">
                  <c:v>0.21939999999999998</c:v>
                </c:pt>
                <c:pt idx="79">
                  <c:v>0.21939999999999998</c:v>
                </c:pt>
                <c:pt idx="80">
                  <c:v>0.21939999999999998</c:v>
                </c:pt>
                <c:pt idx="81">
                  <c:v>0.21939999999999998</c:v>
                </c:pt>
                <c:pt idx="82">
                  <c:v>0.21939999999999998</c:v>
                </c:pt>
                <c:pt idx="83">
                  <c:v>0.21939999999999998</c:v>
                </c:pt>
                <c:pt idx="84">
                  <c:v>0.21939999999999998</c:v>
                </c:pt>
                <c:pt idx="85">
                  <c:v>0.21939999999999998</c:v>
                </c:pt>
                <c:pt idx="86">
                  <c:v>0.21939999999999998</c:v>
                </c:pt>
                <c:pt idx="87">
                  <c:v>0.21939999999999998</c:v>
                </c:pt>
                <c:pt idx="88">
                  <c:v>0.21939999999999998</c:v>
                </c:pt>
                <c:pt idx="89">
                  <c:v>0.21939999999999998</c:v>
                </c:pt>
                <c:pt idx="90">
                  <c:v>0.21939999999999998</c:v>
                </c:pt>
                <c:pt idx="91">
                  <c:v>0.21939999999999998</c:v>
                </c:pt>
                <c:pt idx="92">
                  <c:v>0.21939999999999998</c:v>
                </c:pt>
                <c:pt idx="93">
                  <c:v>0.21939999999999998</c:v>
                </c:pt>
                <c:pt idx="94">
                  <c:v>0.21939999999999998</c:v>
                </c:pt>
                <c:pt idx="95">
                  <c:v>0.21939999999999998</c:v>
                </c:pt>
                <c:pt idx="96">
                  <c:v>0.21939999999999998</c:v>
                </c:pt>
                <c:pt idx="97">
                  <c:v>0.21939999999999998</c:v>
                </c:pt>
              </c:numCache>
            </c:numRef>
          </c:val>
          <c:extLst>
            <c:ext xmlns:c16="http://schemas.microsoft.com/office/drawing/2014/chart" uri="{C3380CC4-5D6E-409C-BE32-E72D297353CC}">
              <c16:uniqueId val="{00000002-4D16-4BDC-828D-7461F0AD0E31}"/>
            </c:ext>
          </c:extLst>
        </c:ser>
        <c:ser>
          <c:idx val="5"/>
          <c:order val="3"/>
          <c:tx>
            <c:v>Fixed costs</c:v>
          </c:tx>
          <c:spPr>
            <a:solidFill>
              <a:srgbClr val="BE531C">
                <a:alpha val="69804"/>
              </a:srgbClr>
            </a:soli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[0]!U</c:f>
              <c:numCache>
                <c:formatCode>_("$"* #,##0.00_);_("$"* \(#,##0.00\);_("$"* "-"??_);_(@_)</c:formatCode>
                <c:ptCount val="98"/>
                <c:pt idx="0">
                  <c:v>0.19624601212121212</c:v>
                </c:pt>
                <c:pt idx="1">
                  <c:v>0.19624601212121212</c:v>
                </c:pt>
                <c:pt idx="2">
                  <c:v>0.19624601212121212</c:v>
                </c:pt>
                <c:pt idx="3">
                  <c:v>0.19624601212121212</c:v>
                </c:pt>
                <c:pt idx="4">
                  <c:v>0.19624601212121212</c:v>
                </c:pt>
                <c:pt idx="5">
                  <c:v>0.19624601212121212</c:v>
                </c:pt>
                <c:pt idx="6">
                  <c:v>0.19624601212121212</c:v>
                </c:pt>
                <c:pt idx="7">
                  <c:v>0.19624601212121212</c:v>
                </c:pt>
                <c:pt idx="8">
                  <c:v>0.19624601212121212</c:v>
                </c:pt>
                <c:pt idx="9">
                  <c:v>0.19624601212121212</c:v>
                </c:pt>
                <c:pt idx="10">
                  <c:v>0.19624601212121212</c:v>
                </c:pt>
                <c:pt idx="11">
                  <c:v>0.19624601212121212</c:v>
                </c:pt>
                <c:pt idx="12">
                  <c:v>0.19624601212121212</c:v>
                </c:pt>
                <c:pt idx="13">
                  <c:v>0.19624601212121212</c:v>
                </c:pt>
                <c:pt idx="14">
                  <c:v>0.19624601212121212</c:v>
                </c:pt>
                <c:pt idx="15">
                  <c:v>0.19624601212121212</c:v>
                </c:pt>
                <c:pt idx="16">
                  <c:v>0.19624601212121212</c:v>
                </c:pt>
                <c:pt idx="17">
                  <c:v>0.19624601212121212</c:v>
                </c:pt>
                <c:pt idx="18">
                  <c:v>0.19624601212121212</c:v>
                </c:pt>
                <c:pt idx="19">
                  <c:v>0.19624601212121212</c:v>
                </c:pt>
                <c:pt idx="20">
                  <c:v>0.19624601212121212</c:v>
                </c:pt>
                <c:pt idx="21">
                  <c:v>0.19624601212121212</c:v>
                </c:pt>
                <c:pt idx="22">
                  <c:v>0.19624601212121212</c:v>
                </c:pt>
                <c:pt idx="23">
                  <c:v>0.19624601212121212</c:v>
                </c:pt>
                <c:pt idx="24">
                  <c:v>0.19624601212121212</c:v>
                </c:pt>
                <c:pt idx="25">
                  <c:v>0.19624601212121212</c:v>
                </c:pt>
                <c:pt idx="26">
                  <c:v>0.19624601212121212</c:v>
                </c:pt>
                <c:pt idx="27">
                  <c:v>0.19624601212121212</c:v>
                </c:pt>
                <c:pt idx="28">
                  <c:v>0.19624601212121212</c:v>
                </c:pt>
                <c:pt idx="29">
                  <c:v>0.19624601212121212</c:v>
                </c:pt>
                <c:pt idx="30">
                  <c:v>0.19624601212121212</c:v>
                </c:pt>
                <c:pt idx="31">
                  <c:v>0.19624601212121212</c:v>
                </c:pt>
                <c:pt idx="32">
                  <c:v>0.19624601212121212</c:v>
                </c:pt>
                <c:pt idx="33">
                  <c:v>0.19624601212121212</c:v>
                </c:pt>
                <c:pt idx="34">
                  <c:v>0.19624601212121212</c:v>
                </c:pt>
                <c:pt idx="35">
                  <c:v>0.19624601212121212</c:v>
                </c:pt>
                <c:pt idx="36">
                  <c:v>0.19624601212121212</c:v>
                </c:pt>
                <c:pt idx="37">
                  <c:v>0.19624601212121212</c:v>
                </c:pt>
                <c:pt idx="38">
                  <c:v>0.19624601212121212</c:v>
                </c:pt>
                <c:pt idx="39">
                  <c:v>0.19624601212121212</c:v>
                </c:pt>
                <c:pt idx="40">
                  <c:v>0.19624601212121212</c:v>
                </c:pt>
                <c:pt idx="41">
                  <c:v>0.19624601212121212</c:v>
                </c:pt>
                <c:pt idx="42">
                  <c:v>0.19624601212121212</c:v>
                </c:pt>
                <c:pt idx="43">
                  <c:v>0.19624601212121212</c:v>
                </c:pt>
                <c:pt idx="44">
                  <c:v>0.19624601212121212</c:v>
                </c:pt>
                <c:pt idx="45">
                  <c:v>0.19624601212121212</c:v>
                </c:pt>
                <c:pt idx="46">
                  <c:v>0.19624601212121212</c:v>
                </c:pt>
                <c:pt idx="47">
                  <c:v>0.19624601212121212</c:v>
                </c:pt>
                <c:pt idx="48">
                  <c:v>0.19624601212121212</c:v>
                </c:pt>
                <c:pt idx="49">
                  <c:v>0.19624601212121212</c:v>
                </c:pt>
                <c:pt idx="50">
                  <c:v>0.19624601212121212</c:v>
                </c:pt>
                <c:pt idx="51">
                  <c:v>0.19624601212121212</c:v>
                </c:pt>
                <c:pt idx="52">
                  <c:v>0.19624601212121212</c:v>
                </c:pt>
                <c:pt idx="53">
                  <c:v>0.19624601212121212</c:v>
                </c:pt>
                <c:pt idx="54">
                  <c:v>0.19624601212121212</c:v>
                </c:pt>
                <c:pt idx="55">
                  <c:v>0.19624601212121212</c:v>
                </c:pt>
                <c:pt idx="56">
                  <c:v>0.19624601212121212</c:v>
                </c:pt>
                <c:pt idx="57">
                  <c:v>0.19624601212121212</c:v>
                </c:pt>
                <c:pt idx="58">
                  <c:v>0.19624601212121212</c:v>
                </c:pt>
                <c:pt idx="59">
                  <c:v>0.19624601212121212</c:v>
                </c:pt>
                <c:pt idx="60">
                  <c:v>0.19624601212121212</c:v>
                </c:pt>
                <c:pt idx="61">
                  <c:v>0.19624601212121212</c:v>
                </c:pt>
                <c:pt idx="62">
                  <c:v>0.19624601212121212</c:v>
                </c:pt>
                <c:pt idx="63">
                  <c:v>0.19624601212121212</c:v>
                </c:pt>
                <c:pt idx="64">
                  <c:v>0.19624601212121212</c:v>
                </c:pt>
                <c:pt idx="65">
                  <c:v>0.19624601212121212</c:v>
                </c:pt>
                <c:pt idx="66">
                  <c:v>0.19624601212121212</c:v>
                </c:pt>
                <c:pt idx="67">
                  <c:v>0.19624601212121212</c:v>
                </c:pt>
                <c:pt idx="68">
                  <c:v>0.19624601212121212</c:v>
                </c:pt>
                <c:pt idx="69">
                  <c:v>0.19624601212121212</c:v>
                </c:pt>
                <c:pt idx="70">
                  <c:v>0.19624601212121212</c:v>
                </c:pt>
                <c:pt idx="71">
                  <c:v>0.19624601212121212</c:v>
                </c:pt>
                <c:pt idx="72">
                  <c:v>0.19624601212121212</c:v>
                </c:pt>
                <c:pt idx="73">
                  <c:v>0.19624601212121212</c:v>
                </c:pt>
                <c:pt idx="74">
                  <c:v>0.19624601212121212</c:v>
                </c:pt>
                <c:pt idx="75">
                  <c:v>0.19624601212121212</c:v>
                </c:pt>
                <c:pt idx="76">
                  <c:v>0.19624601212121212</c:v>
                </c:pt>
                <c:pt idx="77">
                  <c:v>0.19624601212121212</c:v>
                </c:pt>
                <c:pt idx="78">
                  <c:v>0.19624601212121212</c:v>
                </c:pt>
                <c:pt idx="79">
                  <c:v>0.19624601212121212</c:v>
                </c:pt>
                <c:pt idx="80">
                  <c:v>0.19624601212121212</c:v>
                </c:pt>
                <c:pt idx="81">
                  <c:v>0.19624601212121212</c:v>
                </c:pt>
                <c:pt idx="82">
                  <c:v>0.19624601212121212</c:v>
                </c:pt>
                <c:pt idx="83">
                  <c:v>0.19624601212121212</c:v>
                </c:pt>
                <c:pt idx="84">
                  <c:v>0.19624601212121212</c:v>
                </c:pt>
                <c:pt idx="85">
                  <c:v>0.19624601212121212</c:v>
                </c:pt>
                <c:pt idx="86">
                  <c:v>0.19624601212121212</c:v>
                </c:pt>
                <c:pt idx="87">
                  <c:v>0.19624601212121212</c:v>
                </c:pt>
                <c:pt idx="88">
                  <c:v>0.19624601212121212</c:v>
                </c:pt>
                <c:pt idx="89">
                  <c:v>0.19624601212121212</c:v>
                </c:pt>
                <c:pt idx="90">
                  <c:v>0.19624601212121212</c:v>
                </c:pt>
                <c:pt idx="91">
                  <c:v>0.19624601212121212</c:v>
                </c:pt>
                <c:pt idx="92">
                  <c:v>0.19624601212121212</c:v>
                </c:pt>
                <c:pt idx="93">
                  <c:v>0.19624601212121212</c:v>
                </c:pt>
                <c:pt idx="94">
                  <c:v>0.19624601212121212</c:v>
                </c:pt>
                <c:pt idx="95">
                  <c:v>0.19624601212121212</c:v>
                </c:pt>
                <c:pt idx="96">
                  <c:v>0.19624601212121212</c:v>
                </c:pt>
                <c:pt idx="97">
                  <c:v>0.19624601212121212</c:v>
                </c:pt>
              </c:numCache>
            </c:numRef>
          </c:val>
          <c:extLst>
            <c:ext xmlns:c16="http://schemas.microsoft.com/office/drawing/2014/chart" uri="{C3380CC4-5D6E-409C-BE32-E72D297353CC}">
              <c16:uniqueId val="{00000003-4D16-4BDC-828D-7461F0AD0E31}"/>
            </c:ext>
          </c:extLst>
        </c:ser>
        <c:dLbls>
          <c:showLegendKey val="0"/>
          <c:showVal val="0"/>
          <c:showCatName val="0"/>
          <c:showSerName val="0"/>
          <c:showPercent val="0"/>
          <c:showBubbleSize val="0"/>
        </c:dLbls>
        <c:axId val="286236656"/>
        <c:axId val="286237216"/>
      </c:areaChart>
      <c:dateAx>
        <c:axId val="286236656"/>
        <c:scaling>
          <c:orientation val="minMax"/>
        </c:scaling>
        <c:delete val="0"/>
        <c:axPos val="b"/>
        <c:numFmt formatCode="mmm\-yy" sourceLinked="0"/>
        <c:majorTickMark val="out"/>
        <c:minorTickMark val="none"/>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crossAx val="286237216"/>
        <c:crosses val="autoZero"/>
        <c:auto val="1"/>
        <c:lblOffset val="100"/>
        <c:baseTimeUnit val="months"/>
        <c:majorUnit val="5"/>
        <c:majorTimeUnit val="months"/>
        <c:minorUnit val="1"/>
        <c:minorTimeUnit val="months"/>
      </c:dateAx>
      <c:valAx>
        <c:axId val="286237216"/>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2"/>
                    </a:solidFill>
                    <a:latin typeface="Arial Narrow" panose="020B0606020202030204" pitchFamily="34" charset="0"/>
                    <a:ea typeface="+mn-ea"/>
                    <a:cs typeface="+mn-cs"/>
                  </a:defRPr>
                </a:pPr>
                <a:r>
                  <a:rPr lang="en-US" sz="1400"/>
                  <a:t>$ per gallon</a:t>
                </a:r>
              </a:p>
            </c:rich>
          </c:tx>
          <c:layout>
            <c:manualLayout>
              <c:xMode val="edge"/>
              <c:yMode val="edge"/>
              <c:x val="5.5494734281209702E-3"/>
              <c:y val="0.357259723375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crossAx val="286236656"/>
        <c:crosses val="autoZero"/>
        <c:crossBetween val="midCat"/>
      </c:valAx>
      <c:spPr>
        <a:noFill/>
        <a:ln>
          <a:noFill/>
        </a:ln>
        <a:effectLst/>
      </c:spPr>
    </c:plotArea>
    <c:legend>
      <c:legendPos val="b"/>
      <c:layout>
        <c:manualLayout>
          <c:xMode val="edge"/>
          <c:yMode val="edge"/>
          <c:x val="0.23787228138332928"/>
          <c:y val="0.90922468782311305"/>
          <c:w val="0.54539213985916957"/>
          <c:h val="4.8351069752644554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200">
          <a:latin typeface="Arial Narrow" panose="020B0606020202030204" pitchFamily="34" charset="0"/>
        </a:defRPr>
      </a:pPr>
      <a:endParaRPr lang="en-US"/>
    </a:p>
  </c:txPr>
  <c:printSettings>
    <c:headerFooter alignWithMargins="0"/>
    <c:pageMargins b="1" l="0.750000000000002" r="0.750000000000002" t="1" header="0.5" footer="0.5"/>
    <c:pageSetup orientation="landscape"/>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00"/>
        <c:overlap val="-24"/>
        <c:axId val="286239456"/>
        <c:axId val="286240016"/>
      </c:barChart>
      <c:catAx>
        <c:axId val="2862394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86240016"/>
        <c:crosses val="autoZero"/>
        <c:auto val="1"/>
        <c:lblAlgn val="ctr"/>
        <c:lblOffset val="100"/>
        <c:noMultiLvlLbl val="0"/>
      </c:catAx>
      <c:valAx>
        <c:axId val="286240016"/>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286239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Arial Narrow" panose="020B0606020202030204" pitchFamily="34" charset="0"/>
                <a:ea typeface="+mn-ea"/>
                <a:cs typeface="+mn-cs"/>
              </a:defRPr>
            </a:pPr>
            <a:r>
              <a:rPr lang="en-US" sz="2000"/>
              <a:t>Ethanol Production Revenue, Costs, and Profit</a:t>
            </a:r>
            <a:endParaRPr lang="en-US" sz="2000" b="0"/>
          </a:p>
          <a:p>
            <a:pPr>
              <a:defRPr sz="2000"/>
            </a:pPr>
            <a:r>
              <a:rPr lang="en-US" sz="2000" b="0"/>
              <a:t>(corn cost at corn market price)</a:t>
            </a:r>
          </a:p>
        </c:rich>
      </c:tx>
      <c:layout>
        <c:manualLayout>
          <c:xMode val="edge"/>
          <c:yMode val="edge"/>
          <c:x val="0.25524017190158926"/>
          <c:y val="1.5206387139857291E-2"/>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3690321502660599"/>
          <c:y val="0.13751304695187955"/>
          <c:w val="0.83519847083645404"/>
          <c:h val="0.79211930764704597"/>
        </c:manualLayout>
      </c:layout>
      <c:lineChart>
        <c:grouping val="standard"/>
        <c:varyColors val="0"/>
        <c:ser>
          <c:idx val="1"/>
          <c:order val="0"/>
          <c:tx>
            <c:v>Total cost per gallon</c:v>
          </c:tx>
          <c:spPr>
            <a:ln w="31750" cap="rnd">
              <a:solidFill>
                <a:schemeClr val="accent2"/>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[0]!V</c:f>
              <c:numCache>
                <c:formatCode>_("$"* #,##0.00_);_("$"* \(#,##0.00\);_("$"* "-"??_);_(@_)</c:formatCode>
                <c:ptCount val="98"/>
                <c:pt idx="0">
                  <c:v>1.7774995647716709</c:v>
                </c:pt>
                <c:pt idx="1">
                  <c:v>1.7659635557717221</c:v>
                </c:pt>
                <c:pt idx="2">
                  <c:v>1.7678151941681213</c:v>
                </c:pt>
                <c:pt idx="3">
                  <c:v>1.7686872808470735</c:v>
                </c:pt>
                <c:pt idx="4">
                  <c:v>1.8035146046800197</c:v>
                </c:pt>
                <c:pt idx="5">
                  <c:v>1.8759193732457407</c:v>
                </c:pt>
                <c:pt idx="6">
                  <c:v>1.6670468869300088</c:v>
                </c:pt>
                <c:pt idx="7">
                  <c:v>1.6034598147024057</c:v>
                </c:pt>
                <c:pt idx="8">
                  <c:v>1.6181323145484738</c:v>
                </c:pt>
                <c:pt idx="9">
                  <c:v>1.6684826047949912</c:v>
                </c:pt>
                <c:pt idx="10">
                  <c:v>1.6605635535598087</c:v>
                </c:pt>
                <c:pt idx="11">
                  <c:v>1.7093690683312124</c:v>
                </c:pt>
                <c:pt idx="12">
                  <c:v>1.7579477629936333</c:v>
                </c:pt>
                <c:pt idx="13">
                  <c:v>1.7680454557703349</c:v>
                </c:pt>
                <c:pt idx="14">
                  <c:v>1.7284569984370017</c:v>
                </c:pt>
                <c:pt idx="15">
                  <c:v>1.7476543458727911</c:v>
                </c:pt>
                <c:pt idx="16">
                  <c:v>1.7667921054229667</c:v>
                </c:pt>
                <c:pt idx="17">
                  <c:v>1.7640301427878788</c:v>
                </c:pt>
                <c:pt idx="18">
                  <c:v>1.772186366552791</c:v>
                </c:pt>
                <c:pt idx="19">
                  <c:v>1.6928562247878789</c:v>
                </c:pt>
                <c:pt idx="20">
                  <c:v>1.690611812637441</c:v>
                </c:pt>
                <c:pt idx="21">
                  <c:v>1.6743800177756578</c:v>
                </c:pt>
                <c:pt idx="22">
                  <c:v>1.6689609208047214</c:v>
                </c:pt>
                <c:pt idx="23">
                  <c:v>1.7162688250783067</c:v>
                </c:pt>
                <c:pt idx="24">
                  <c:v>1.7343181057237615</c:v>
                </c:pt>
                <c:pt idx="25">
                  <c:v>1.7887431539728471</c:v>
                </c:pt>
                <c:pt idx="26">
                  <c:v>1.7990260736355479</c:v>
                </c:pt>
                <c:pt idx="27">
                  <c:v>1.823876956114046</c:v>
                </c:pt>
                <c:pt idx="28">
                  <c:v>1.8437057444491374</c:v>
                </c:pt>
                <c:pt idx="29">
                  <c:v>1.7357611362450873</c:v>
                </c:pt>
                <c:pt idx="30">
                  <c:v>1.6753754105662713</c:v>
                </c:pt>
                <c:pt idx="31">
                  <c:v>1.7161499790537054</c:v>
                </c:pt>
                <c:pt idx="32">
                  <c:v>1.6899626814230315</c:v>
                </c:pt>
                <c:pt idx="33">
                  <c:v>1.7215319770334929</c:v>
                </c:pt>
                <c:pt idx="34">
                  <c:v>1.7734258381884174</c:v>
                </c:pt>
                <c:pt idx="35">
                  <c:v>1.8188266139734401</c:v>
                </c:pt>
                <c:pt idx="36">
                  <c:v>1.8059854462651452</c:v>
                </c:pt>
                <c:pt idx="37">
                  <c:v>1.8075856821779328</c:v>
                </c:pt>
                <c:pt idx="38">
                  <c:v>1.8076970532515266</c:v>
                </c:pt>
                <c:pt idx="39">
                  <c:v>1.7680710493698752</c:v>
                </c:pt>
                <c:pt idx="40">
                  <c:v>1.811726458030513</c:v>
                </c:pt>
                <c:pt idx="41">
                  <c:v>1.9999775914450311</c:v>
                </c:pt>
                <c:pt idx="42">
                  <c:v>2.0284090082828232</c:v>
                </c:pt>
                <c:pt idx="43">
                  <c:v>1.8497405941888205</c:v>
                </c:pt>
                <c:pt idx="44">
                  <c:v>1.8175727651268589</c:v>
                </c:pt>
                <c:pt idx="45">
                  <c:v>1.8871618046064995</c:v>
                </c:pt>
                <c:pt idx="46">
                  <c:v>1.819682298888976</c:v>
                </c:pt>
                <c:pt idx="47">
                  <c:v>1.8509960099461655</c:v>
                </c:pt>
                <c:pt idx="48">
                  <c:v>1.8981589554240901</c:v>
                </c:pt>
                <c:pt idx="49">
                  <c:v>1.8581055687758281</c:v>
                </c:pt>
                <c:pt idx="50">
                  <c:v>1.7501359637039429</c:v>
                </c:pt>
                <c:pt idx="51">
                  <c:v>1.5622541470431361</c:v>
                </c:pt>
                <c:pt idx="52">
                  <c:v>1.5728753981697801</c:v>
                </c:pt>
                <c:pt idx="53">
                  <c:v>1.6123526115159317</c:v>
                </c:pt>
                <c:pt idx="54">
                  <c:v>1.6144184238749748</c:v>
                </c:pt>
                <c:pt idx="55">
                  <c:v>1.6253875351385538</c:v>
                </c:pt>
                <c:pt idx="56">
                  <c:v>1.7926376600534768</c:v>
                </c:pt>
                <c:pt idx="57">
                  <c:v>1.8914184390161244</c:v>
                </c:pt>
                <c:pt idx="58">
                  <c:v>2.0164364044112939</c:v>
                </c:pt>
                <c:pt idx="59">
                  <c:v>2.063094294168315</c:v>
                </c:pt>
                <c:pt idx="60">
                  <c:v>2.2947136959820114</c:v>
                </c:pt>
                <c:pt idx="61">
                  <c:v>2.5152662325830981</c:v>
                </c:pt>
                <c:pt idx="62">
                  <c:v>2.496105279346557</c:v>
                </c:pt>
                <c:pt idx="63">
                  <c:v>2.703710593340368</c:v>
                </c:pt>
                <c:pt idx="64">
                  <c:v>3.0682109277481393</c:v>
                </c:pt>
                <c:pt idx="65">
                  <c:v>2.9933357273974401</c:v>
                </c:pt>
                <c:pt idx="66">
                  <c:v>2.879082853640885</c:v>
                </c:pt>
                <c:pt idx="67">
                  <c:v>2.8548147532178176</c:v>
                </c:pt>
                <c:pt idx="68">
                  <c:v>2.5854596223275035</c:v>
                </c:pt>
                <c:pt idx="69">
                  <c:v>2.5125284726953119</c:v>
                </c:pt>
                <c:pt idx="70">
                  <c:v>2.6656065333507382</c:v>
                </c:pt>
                <c:pt idx="71">
                  <c:v>2.7924668129311434</c:v>
                </c:pt>
                <c:pt idx="72">
                  <c:v>2.788289879633965</c:v>
                </c:pt>
                <c:pt idx="73">
                  <c:v>2.9182544099514596</c:v>
                </c:pt>
                <c:pt idx="74">
                  <c:v>3.2032803468117046</c:v>
                </c:pt>
                <c:pt idx="75">
                  <c:v>3.380387285149363</c:v>
                </c:pt>
                <c:pt idx="76">
                  <c:v>3.405984931902426</c:v>
                </c:pt>
                <c:pt idx="77">
                  <c:v>3.4360061051944712</c:v>
                </c:pt>
                <c:pt idx="78">
                  <c:v>3.1913501032345639</c:v>
                </c:pt>
                <c:pt idx="79">
                  <c:v>3.2372346467512645</c:v>
                </c:pt>
                <c:pt idx="80">
                  <c:v>3.2884474323384216</c:v>
                </c:pt>
                <c:pt idx="81">
                  <c:v>3.0790977665071764</c:v>
                </c:pt>
                <c:pt idx="82">
                  <c:v>3.0381664799574688</c:v>
                </c:pt>
                <c:pt idx="83">
                  <c:v>3.0654233721880453</c:v>
                </c:pt>
                <c:pt idx="84">
                  <c:v>3.1502951349282289</c:v>
                </c:pt>
                <c:pt idx="85">
                  <c:v>3.1224292069503901</c:v>
                </c:pt>
                <c:pt idx="86">
                  <c:v>2.9485808710075583</c:v>
                </c:pt>
                <c:pt idx="87">
                  <c:v>2.9689565384370007</c:v>
                </c:pt>
                <c:pt idx="88">
                  <c:v>2.8382429818181811</c:v>
                </c:pt>
                <c:pt idx="89">
                  <c:v>2.8916524448697505</c:v>
                </c:pt>
                <c:pt idx="90">
                  <c:v>2.6842021524720887</c:v>
                </c:pt>
                <c:pt idx="91">
                  <c:v>2.5580598183759791</c:v>
                </c:pt>
                <c:pt idx="92">
                  <c:v>2.2831223279106858</c:v>
                </c:pt>
                <c:pt idx="93">
                  <c:v>2.2389795960811116</c:v>
                </c:pt>
                <c:pt idx="94">
                  <c:v>2.2510565384370009</c:v>
                </c:pt>
                <c:pt idx="95">
                  <c:v>2.2778082928229662</c:v>
                </c:pt>
                <c:pt idx="96">
                  <c:v>2.1934780087795245</c:v>
                </c:pt>
                <c:pt idx="97">
                  <c:v>2.0986275910685808</c:v>
                </c:pt>
              </c:numCache>
            </c:numRef>
          </c:val>
          <c:smooth val="0"/>
          <c:extLst>
            <c:ext xmlns:c16="http://schemas.microsoft.com/office/drawing/2014/chart" uri="{C3380CC4-5D6E-409C-BE32-E72D297353CC}">
              <c16:uniqueId val="{00000000-CA17-4766-B798-6D2BBDB1C70F}"/>
            </c:ext>
          </c:extLst>
        </c:ser>
        <c:ser>
          <c:idx val="0"/>
          <c:order val="1"/>
          <c:tx>
            <c:v>Revenue per gallon</c:v>
          </c:tx>
          <c:spPr>
            <a:ln w="31750" cap="rnd">
              <a:solidFill>
                <a:schemeClr val="accent1"/>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[0]!N</c:f>
              <c:numCache>
                <c:formatCode>_("$"* #,##0.00_);_("$"* \(#,##0.00\);_("$"* "-"??_);_(@_)</c:formatCode>
                <c:ptCount val="98"/>
                <c:pt idx="0">
                  <c:v>1.6404744180054986</c:v>
                </c:pt>
                <c:pt idx="1">
                  <c:v>1.7146517627306153</c:v>
                </c:pt>
                <c:pt idx="2">
                  <c:v>1.6934035834946766</c:v>
                </c:pt>
                <c:pt idx="3">
                  <c:v>1.818646190088395</c:v>
                </c:pt>
                <c:pt idx="4">
                  <c:v>1.9164083383243085</c:v>
                </c:pt>
                <c:pt idx="5">
                  <c:v>2.0891877195149893</c:v>
                </c:pt>
                <c:pt idx="6">
                  <c:v>1.9438070421009732</c:v>
                </c:pt>
                <c:pt idx="7">
                  <c:v>1.7331740533668698</c:v>
                </c:pt>
                <c:pt idx="8">
                  <c:v>1.8155933027739115</c:v>
                </c:pt>
                <c:pt idx="9">
                  <c:v>1.8779576476297895</c:v>
                </c:pt>
                <c:pt idx="10">
                  <c:v>1.9024473851210526</c:v>
                </c:pt>
                <c:pt idx="11">
                  <c:v>1.9970883044338665</c:v>
                </c:pt>
                <c:pt idx="12">
                  <c:v>1.740361388130772</c:v>
                </c:pt>
                <c:pt idx="13">
                  <c:v>1.722328698443937</c:v>
                </c:pt>
                <c:pt idx="14">
                  <c:v>1.7180005460736141</c:v>
                </c:pt>
                <c:pt idx="15">
                  <c:v>1.8736035047189299</c:v>
                </c:pt>
                <c:pt idx="16">
                  <c:v>1.7812554943745615</c:v>
                </c:pt>
                <c:pt idx="17">
                  <c:v>1.8582768747031844</c:v>
                </c:pt>
                <c:pt idx="18">
                  <c:v>1.8349289440304211</c:v>
                </c:pt>
                <c:pt idx="19">
                  <c:v>1.8630594919967578</c:v>
                </c:pt>
                <c:pt idx="20">
                  <c:v>1.8753947181262467</c:v>
                </c:pt>
                <c:pt idx="21">
                  <c:v>1.779237680592533</c:v>
                </c:pt>
                <c:pt idx="22">
                  <c:v>1.7512754548089549</c:v>
                </c:pt>
                <c:pt idx="23">
                  <c:v>1.6786465194806717</c:v>
                </c:pt>
                <c:pt idx="24">
                  <c:v>1.7083451334448985</c:v>
                </c:pt>
                <c:pt idx="25">
                  <c:v>1.800201675727559</c:v>
                </c:pt>
                <c:pt idx="26">
                  <c:v>1.8836591796487903</c:v>
                </c:pt>
                <c:pt idx="27">
                  <c:v>1.9339330088270907</c:v>
                </c:pt>
                <c:pt idx="28">
                  <c:v>1.9550684221363523</c:v>
                </c:pt>
                <c:pt idx="29">
                  <c:v>1.8875599593361718</c:v>
                </c:pt>
                <c:pt idx="30">
                  <c:v>1.7762787961786153</c:v>
                </c:pt>
                <c:pt idx="31">
                  <c:v>1.7745456206693437</c:v>
                </c:pt>
                <c:pt idx="32">
                  <c:v>1.6580491269793427</c:v>
                </c:pt>
                <c:pt idx="33">
                  <c:v>1.6283050843780309</c:v>
                </c:pt>
                <c:pt idx="34">
                  <c:v>1.6700850953486928</c:v>
                </c:pt>
                <c:pt idx="35">
                  <c:v>1.6933388086396721</c:v>
                </c:pt>
                <c:pt idx="36">
                  <c:v>1.6762661800592464</c:v>
                </c:pt>
                <c:pt idx="37">
                  <c:v>1.6701479447392693</c:v>
                </c:pt>
                <c:pt idx="38">
                  <c:v>1.7551416657539438</c:v>
                </c:pt>
                <c:pt idx="39">
                  <c:v>1.7477243857664355</c:v>
                </c:pt>
                <c:pt idx="40">
                  <c:v>1.650836664235283</c:v>
                </c:pt>
                <c:pt idx="41">
                  <c:v>1.8832886036437853</c:v>
                </c:pt>
                <c:pt idx="42">
                  <c:v>1.9126358828916503</c:v>
                </c:pt>
                <c:pt idx="43">
                  <c:v>1.7744714553654286</c:v>
                </c:pt>
                <c:pt idx="44">
                  <c:v>1.7337684365498394</c:v>
                </c:pt>
                <c:pt idx="45">
                  <c:v>1.9383518825375643</c:v>
                </c:pt>
                <c:pt idx="46">
                  <c:v>1.884113473291124</c:v>
                </c:pt>
                <c:pt idx="47">
                  <c:v>1.8232640510617641</c:v>
                </c:pt>
                <c:pt idx="48">
                  <c:v>1.7108664792599435</c:v>
                </c:pt>
                <c:pt idx="49">
                  <c:v>1.7123508549824096</c:v>
                </c:pt>
                <c:pt idx="50">
                  <c:v>1.5584016638615177</c:v>
                </c:pt>
                <c:pt idx="51">
                  <c:v>1.392583424132102</c:v>
                </c:pt>
                <c:pt idx="52">
                  <c:v>1.4730538104679152</c:v>
                </c:pt>
                <c:pt idx="53">
                  <c:v>1.6103196344579569</c:v>
                </c:pt>
                <c:pt idx="54">
                  <c:v>1.6761583488220233</c:v>
                </c:pt>
                <c:pt idx="55">
                  <c:v>1.5886939034638052</c:v>
                </c:pt>
                <c:pt idx="56">
                  <c:v>1.7630643369085908</c:v>
                </c:pt>
                <c:pt idx="57">
                  <c:v>1.8869450084632897</c:v>
                </c:pt>
                <c:pt idx="58">
                  <c:v>1.9861530470403235</c:v>
                </c:pt>
                <c:pt idx="59">
                  <c:v>1.8783233798919363</c:v>
                </c:pt>
                <c:pt idx="60">
                  <c:v>2.10421635164673</c:v>
                </c:pt>
                <c:pt idx="61">
                  <c:v>2.3023818907047353</c:v>
                </c:pt>
                <c:pt idx="62">
                  <c:v>2.4836488248489723</c:v>
                </c:pt>
                <c:pt idx="63">
                  <c:v>2.68330758349276</c:v>
                </c:pt>
                <c:pt idx="64">
                  <c:v>3.2292719581963722</c:v>
                </c:pt>
                <c:pt idx="65">
                  <c:v>3.0132020876703463</c:v>
                </c:pt>
                <c:pt idx="66">
                  <c:v>2.772542535080738</c:v>
                </c:pt>
                <c:pt idx="67">
                  <c:v>2.832883068089584</c:v>
                </c:pt>
                <c:pt idx="68">
                  <c:v>2.9813682383007478</c:v>
                </c:pt>
                <c:pt idx="69">
                  <c:v>3.0612754853265329</c:v>
                </c:pt>
                <c:pt idx="70">
                  <c:v>3.728395614750343</c:v>
                </c:pt>
                <c:pt idx="71">
                  <c:v>3.7140093562710152</c:v>
                </c:pt>
                <c:pt idx="72">
                  <c:v>2.9182341834658074</c:v>
                </c:pt>
                <c:pt idx="73">
                  <c:v>2.8433128499018738</c:v>
                </c:pt>
                <c:pt idx="74">
                  <c:v>3.2936403423770524</c:v>
                </c:pt>
                <c:pt idx="75">
                  <c:v>3.50943512495801</c:v>
                </c:pt>
                <c:pt idx="76">
                  <c:v>3.6963175245351958</c:v>
                </c:pt>
                <c:pt idx="77">
                  <c:v>3.5367175440980674</c:v>
                </c:pt>
                <c:pt idx="78">
                  <c:v>3.2524696498552861</c:v>
                </c:pt>
                <c:pt idx="79">
                  <c:v>3.2743744110275688</c:v>
                </c:pt>
                <c:pt idx="80">
                  <c:v>3.2809643508771931</c:v>
                </c:pt>
                <c:pt idx="81">
                  <c:v>3.2067770175438599</c:v>
                </c:pt>
                <c:pt idx="82">
                  <c:v>3.2695446992481205</c:v>
                </c:pt>
                <c:pt idx="83">
                  <c:v>2.9794971929824561</c:v>
                </c:pt>
                <c:pt idx="84">
                  <c:v>3.0774778070175444</c:v>
                </c:pt>
                <c:pt idx="85">
                  <c:v>2.940600701754386</c:v>
                </c:pt>
                <c:pt idx="86">
                  <c:v>2.9445731228070171</c:v>
                </c:pt>
                <c:pt idx="87">
                  <c:v>3.1599550877192986</c:v>
                </c:pt>
                <c:pt idx="88">
                  <c:v>3.1025193859649121</c:v>
                </c:pt>
                <c:pt idx="89">
                  <c:v>3.0907557593984962</c:v>
                </c:pt>
                <c:pt idx="90">
                  <c:v>3.0691520175438596</c:v>
                </c:pt>
                <c:pt idx="91">
                  <c:v>2.822137543859649</c:v>
                </c:pt>
                <c:pt idx="92">
                  <c:v>2.906289730994152</c:v>
                </c:pt>
                <c:pt idx="93">
                  <c:v>2.8301579824561403</c:v>
                </c:pt>
                <c:pt idx="94">
                  <c:v>2.5635478362573103</c:v>
                </c:pt>
                <c:pt idx="95">
                  <c:v>2.3132006140350878</c:v>
                </c:pt>
                <c:pt idx="96">
                  <c:v>2.1550809649122806</c:v>
                </c:pt>
                <c:pt idx="97">
                  <c:v>2.1196744736842104</c:v>
                </c:pt>
              </c:numCache>
            </c:numRef>
          </c:val>
          <c:smooth val="0"/>
          <c:extLst>
            <c:ext xmlns:c16="http://schemas.microsoft.com/office/drawing/2014/chart" uri="{C3380CC4-5D6E-409C-BE32-E72D297353CC}">
              <c16:uniqueId val="{00000001-CA17-4766-B798-6D2BBDB1C70F}"/>
            </c:ext>
          </c:extLst>
        </c:ser>
        <c:ser>
          <c:idx val="2"/>
          <c:order val="2"/>
          <c:tx>
            <c:v>Net return per gallon</c:v>
          </c:tx>
          <c:spPr>
            <a:ln w="31750" cap="rnd">
              <a:solidFill>
                <a:schemeClr val="accent3"/>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[0]!AB</c:f>
              <c:numCache>
                <c:formatCode>_("$"* #,##0.00_);_("$"* \(#,##0.00\);_("$"* "-"??_);_(@_)</c:formatCode>
                <c:ptCount val="98"/>
                <c:pt idx="0">
                  <c:v>-0.13702514676617228</c:v>
                </c:pt>
                <c:pt idx="1">
                  <c:v>-5.131179304110689E-2</c:v>
                </c:pt>
                <c:pt idx="2">
                  <c:v>-7.4411610673444706E-2</c:v>
                </c:pt>
                <c:pt idx="3">
                  <c:v>4.9958909241321514E-2</c:v>
                </c:pt>
                <c:pt idx="4">
                  <c:v>0.11289373364428879</c:v>
                </c:pt>
                <c:pt idx="5">
                  <c:v>0.21326834626924862</c:v>
                </c:pt>
                <c:pt idx="6">
                  <c:v>0.27676015517096442</c:v>
                </c:pt>
                <c:pt idx="7">
                  <c:v>0.12971423866446408</c:v>
                </c:pt>
                <c:pt idx="8">
                  <c:v>0.19746098822543767</c:v>
                </c:pt>
                <c:pt idx="9">
                  <c:v>0.20947504283479823</c:v>
                </c:pt>
                <c:pt idx="10">
                  <c:v>0.24188383156124393</c:v>
                </c:pt>
                <c:pt idx="11">
                  <c:v>0.28771923610265415</c:v>
                </c:pt>
                <c:pt idx="12">
                  <c:v>-1.7586374862861298E-2</c:v>
                </c:pt>
                <c:pt idx="13">
                  <c:v>-4.5716757326397905E-2</c:v>
                </c:pt>
                <c:pt idx="14">
                  <c:v>-1.0456452363387658E-2</c:v>
                </c:pt>
                <c:pt idx="15">
                  <c:v>0.12594915884613878</c:v>
                </c:pt>
                <c:pt idx="16">
                  <c:v>1.4463388951594824E-2</c:v>
                </c:pt>
                <c:pt idx="17">
                  <c:v>9.4246731915305526E-2</c:v>
                </c:pt>
                <c:pt idx="18">
                  <c:v>6.2742577477630013E-2</c:v>
                </c:pt>
                <c:pt idx="19">
                  <c:v>0.17020326720887891</c:v>
                </c:pt>
                <c:pt idx="20">
                  <c:v>0.18478290548880572</c:v>
                </c:pt>
                <c:pt idx="21">
                  <c:v>0.10485766281687514</c:v>
                </c:pt>
                <c:pt idx="22">
                  <c:v>8.2314534004233497E-2</c:v>
                </c:pt>
                <c:pt idx="23">
                  <c:v>-3.762230559763502E-2</c:v>
                </c:pt>
                <c:pt idx="24">
                  <c:v>-2.5972972278863082E-2</c:v>
                </c:pt>
                <c:pt idx="25">
                  <c:v>1.1458521754711848E-2</c:v>
                </c:pt>
                <c:pt idx="26">
                  <c:v>8.4633106013242365E-2</c:v>
                </c:pt>
                <c:pt idx="27">
                  <c:v>0.11005605271304475</c:v>
                </c:pt>
                <c:pt idx="28">
                  <c:v>0.11136267768721497</c:v>
                </c:pt>
                <c:pt idx="29">
                  <c:v>0.1517988230910845</c:v>
                </c:pt>
                <c:pt idx="30">
                  <c:v>0.10090338561234402</c:v>
                </c:pt>
                <c:pt idx="31">
                  <c:v>5.8395641615638372E-2</c:v>
                </c:pt>
                <c:pt idx="32">
                  <c:v>-3.1913554443688819E-2</c:v>
                </c:pt>
                <c:pt idx="33">
                  <c:v>-9.3226892655462024E-2</c:v>
                </c:pt>
                <c:pt idx="34">
                  <c:v>-0.10334074283972461</c:v>
                </c:pt>
                <c:pt idx="35">
                  <c:v>-0.12548780533376802</c:v>
                </c:pt>
                <c:pt idx="36">
                  <c:v>-0.1297192662058988</c:v>
                </c:pt>
                <c:pt idx="37">
                  <c:v>-0.1374377374386635</c:v>
                </c:pt>
                <c:pt idx="38">
                  <c:v>-5.2555387497582817E-2</c:v>
                </c:pt>
                <c:pt idx="39">
                  <c:v>-2.034666360343973E-2</c:v>
                </c:pt>
                <c:pt idx="40">
                  <c:v>-0.16088979379523005</c:v>
                </c:pt>
                <c:pt idx="41">
                  <c:v>-0.11668898780124581</c:v>
                </c:pt>
                <c:pt idx="42">
                  <c:v>-0.1157731253911729</c:v>
                </c:pt>
                <c:pt idx="43">
                  <c:v>-7.5269138823391923E-2</c:v>
                </c:pt>
                <c:pt idx="44">
                  <c:v>-8.3804328577019582E-2</c:v>
                </c:pt>
                <c:pt idx="45">
                  <c:v>5.1190077931064781E-2</c:v>
                </c:pt>
                <c:pt idx="46">
                  <c:v>6.4431174402147962E-2</c:v>
                </c:pt>
                <c:pt idx="47">
                  <c:v>-2.7731958884401386E-2</c:v>
                </c:pt>
                <c:pt idx="48">
                  <c:v>-0.18729247616414657</c:v>
                </c:pt>
                <c:pt idx="49">
                  <c:v>-0.14575471379341853</c:v>
                </c:pt>
                <c:pt idx="50">
                  <c:v>-0.19173429984242518</c:v>
                </c:pt>
                <c:pt idx="51">
                  <c:v>-0.16967072291103413</c:v>
                </c:pt>
                <c:pt idx="52">
                  <c:v>-9.9821587701864889E-2</c:v>
                </c:pt>
                <c:pt idx="53">
                  <c:v>-2.032977057974783E-3</c:v>
                </c:pt>
                <c:pt idx="54">
                  <c:v>6.1739924947048497E-2</c:v>
                </c:pt>
                <c:pt idx="55">
                  <c:v>-3.6693631674748595E-2</c:v>
                </c:pt>
                <c:pt idx="56">
                  <c:v>-2.9573323144886032E-2</c:v>
                </c:pt>
                <c:pt idx="57">
                  <c:v>-4.4734305528346674E-3</c:v>
                </c:pt>
                <c:pt idx="58">
                  <c:v>-3.0283357370970432E-2</c:v>
                </c:pt>
                <c:pt idx="59">
                  <c:v>-0.18477091427637871</c:v>
                </c:pt>
                <c:pt idx="60">
                  <c:v>-0.19049734433528132</c:v>
                </c:pt>
                <c:pt idx="61">
                  <c:v>-0.2128843418783628</c:v>
                </c:pt>
                <c:pt idx="62">
                  <c:v>-1.2456454497584701E-2</c:v>
                </c:pt>
                <c:pt idx="63">
                  <c:v>-2.0403009847608011E-2</c:v>
                </c:pt>
                <c:pt idx="64">
                  <c:v>0.16106103044823294</c:v>
                </c:pt>
                <c:pt idx="65">
                  <c:v>1.9866360272906114E-2</c:v>
                </c:pt>
                <c:pt idx="66">
                  <c:v>-0.10654031856014701</c:v>
                </c:pt>
                <c:pt idx="67">
                  <c:v>-2.1931685128233624E-2</c:v>
                </c:pt>
                <c:pt idx="68">
                  <c:v>0.39590861597324434</c:v>
                </c:pt>
                <c:pt idx="69">
                  <c:v>0.54874701263122105</c:v>
                </c:pt>
                <c:pt idx="70">
                  <c:v>1.0627890813996048</c:v>
                </c:pt>
                <c:pt idx="71">
                  <c:v>0.92154254333987184</c:v>
                </c:pt>
                <c:pt idx="72">
                  <c:v>0.12994430383184241</c:v>
                </c:pt>
                <c:pt idx="73">
                  <c:v>-7.4941560049585743E-2</c:v>
                </c:pt>
                <c:pt idx="74">
                  <c:v>9.0359995565347795E-2</c:v>
                </c:pt>
                <c:pt idx="75">
                  <c:v>0.12904783980864698</c:v>
                </c:pt>
                <c:pt idx="76">
                  <c:v>0.29033259263276978</c:v>
                </c:pt>
                <c:pt idx="77">
                  <c:v>0.10071143890359613</c:v>
                </c:pt>
                <c:pt idx="78">
                  <c:v>6.1119546620722165E-2</c:v>
                </c:pt>
                <c:pt idx="79">
                  <c:v>3.7139764276304277E-2</c:v>
                </c:pt>
                <c:pt idx="80">
                  <c:v>-7.4830814612285579E-3</c:v>
                </c:pt>
                <c:pt idx="81">
                  <c:v>0.12767925103668354</c:v>
                </c:pt>
                <c:pt idx="82">
                  <c:v>0.23137821929065172</c:v>
                </c:pt>
                <c:pt idx="83">
                  <c:v>-8.5926179205589204E-2</c:v>
                </c:pt>
                <c:pt idx="84">
                  <c:v>-7.2817327910684515E-2</c:v>
                </c:pt>
                <c:pt idx="85">
                  <c:v>-0.18182850519600402</c:v>
                </c:pt>
                <c:pt idx="86">
                  <c:v>-4.0077482005411724E-3</c:v>
                </c:pt>
                <c:pt idx="87">
                  <c:v>0.19099854928229787</c:v>
                </c:pt>
                <c:pt idx="88">
                  <c:v>0.26427640414673093</c:v>
                </c:pt>
                <c:pt idx="89">
                  <c:v>0.19910331452874575</c:v>
                </c:pt>
                <c:pt idx="90">
                  <c:v>0.38494986507177087</c:v>
                </c:pt>
                <c:pt idx="91">
                  <c:v>0.26407772548366992</c:v>
                </c:pt>
                <c:pt idx="92">
                  <c:v>0.62316740308346619</c:v>
                </c:pt>
                <c:pt idx="93">
                  <c:v>0.59117838637502862</c:v>
                </c:pt>
                <c:pt idx="94">
                  <c:v>0.31249129782030938</c:v>
                </c:pt>
                <c:pt idx="95">
                  <c:v>3.5392321212121658E-2</c:v>
                </c:pt>
                <c:pt idx="96">
                  <c:v>-3.8397043867243852E-2</c:v>
                </c:pt>
                <c:pt idx="97">
                  <c:v>2.1046882615629592E-2</c:v>
                </c:pt>
              </c:numCache>
            </c:numRef>
          </c:val>
          <c:smooth val="0"/>
          <c:extLst>
            <c:ext xmlns:c16="http://schemas.microsoft.com/office/drawing/2014/chart" uri="{C3380CC4-5D6E-409C-BE32-E72D297353CC}">
              <c16:uniqueId val="{00000002-CA17-4766-B798-6D2BBDB1C70F}"/>
            </c:ext>
          </c:extLst>
        </c:ser>
        <c:dLbls>
          <c:showLegendKey val="0"/>
          <c:showVal val="0"/>
          <c:showCatName val="0"/>
          <c:showSerName val="0"/>
          <c:showPercent val="0"/>
          <c:showBubbleSize val="0"/>
        </c:dLbls>
        <c:smooth val="0"/>
        <c:axId val="229829792"/>
        <c:axId val="229830352"/>
      </c:lineChart>
      <c:dateAx>
        <c:axId val="229829792"/>
        <c:scaling>
          <c:orientation val="minMax"/>
        </c:scaling>
        <c:delete val="0"/>
        <c:axPos val="b"/>
        <c:numFmt formatCode="mmm\-yy" sourceLinked="0"/>
        <c:majorTickMark val="out"/>
        <c:minorTickMark val="none"/>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229830352"/>
        <c:crosses val="autoZero"/>
        <c:auto val="1"/>
        <c:lblOffset val="100"/>
        <c:baseTimeUnit val="months"/>
        <c:majorUnit val="5"/>
        <c:majorTimeUnit val="months"/>
        <c:minorUnit val="1"/>
        <c:minorTimeUnit val="months"/>
      </c:dateAx>
      <c:valAx>
        <c:axId val="229830352"/>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2"/>
                    </a:solidFill>
                    <a:latin typeface="Arial Narrow" panose="020B0606020202030204" pitchFamily="34" charset="0"/>
                    <a:ea typeface="+mn-ea"/>
                    <a:cs typeface="+mn-cs"/>
                  </a:defRPr>
                </a:pPr>
                <a:r>
                  <a:rPr lang="en-US"/>
                  <a:t>$ per gallon</a:t>
                </a:r>
              </a:p>
            </c:rich>
          </c:tx>
          <c:layout>
            <c:manualLayout>
              <c:xMode val="edge"/>
              <c:yMode val="edge"/>
              <c:x val="8.1245998096391801E-3"/>
              <c:y val="0.4151258270743423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229829792"/>
        <c:crosses val="autoZero"/>
        <c:crossBetween val="midCat"/>
      </c:valAx>
      <c:spPr>
        <a:noFill/>
        <a:ln>
          <a:noFill/>
        </a:ln>
        <a:effectLst/>
      </c:spPr>
    </c:plotArea>
    <c:legend>
      <c:legendPos val="b"/>
      <c:layout>
        <c:manualLayout>
          <c:xMode val="edge"/>
          <c:yMode val="edge"/>
          <c:x val="0.23175414611635084"/>
          <c:y val="0.20616708417971147"/>
          <c:w val="0.23370482535836867"/>
          <c:h val="0.15262306050133956"/>
        </c:manualLayout>
      </c:layout>
      <c:overlay val="1"/>
      <c:spPr>
        <a:solidFill>
          <a:schemeClr val="bg1"/>
        </a:solidFill>
        <a:ln>
          <a:solidFill>
            <a:schemeClr val="accent1"/>
          </a:solidFill>
        </a:ln>
        <a:effectLst/>
      </c:spPr>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latin typeface="Arial Narrow" panose="020B0606020202030204" pitchFamily="34" charset="0"/>
        </a:defRPr>
      </a:pPr>
      <a:endParaRPr lang="en-US"/>
    </a:p>
  </c:txPr>
  <c:printSettings>
    <c:headerFooter/>
    <c:pageMargins b="0.750000000000002" l="0.70000000000000095" r="0.70000000000000095" t="0.750000000000002"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229832592"/>
        <c:axId val="229833152"/>
      </c:barChart>
      <c:catAx>
        <c:axId val="229832592"/>
        <c:scaling>
          <c:orientation val="minMax"/>
        </c:scaling>
        <c:delete val="0"/>
        <c:axPos val="b"/>
        <c:majorTickMark val="out"/>
        <c:minorTickMark val="none"/>
        <c:tickLblPos val="nextTo"/>
        <c:crossAx val="229833152"/>
        <c:crosses val="autoZero"/>
        <c:auto val="1"/>
        <c:lblAlgn val="ctr"/>
        <c:lblOffset val="100"/>
        <c:noMultiLvlLbl val="0"/>
      </c:catAx>
      <c:valAx>
        <c:axId val="229833152"/>
        <c:scaling>
          <c:orientation val="minMax"/>
        </c:scaling>
        <c:delete val="0"/>
        <c:axPos val="l"/>
        <c:majorGridlines/>
        <c:majorTickMark val="out"/>
        <c:minorTickMark val="none"/>
        <c:tickLblPos val="nextTo"/>
        <c:crossAx val="229832592"/>
        <c:crosses val="autoZero"/>
        <c:crossBetween val="between"/>
      </c:valAx>
    </c:plotArea>
    <c:legend>
      <c:legendPos val="r"/>
      <c:overlay val="0"/>
    </c:legend>
    <c:plotVisOnly val="1"/>
    <c:dispBlanksAs val="gap"/>
    <c:showDLblsOverMax val="0"/>
  </c:chart>
  <c:spPr>
    <a:ln>
      <a:noFill/>
    </a:ln>
  </c:sp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Arial Narrow" panose="020B0606020202030204" pitchFamily="34" charset="0"/>
                <a:ea typeface="+mn-ea"/>
                <a:cs typeface="+mn-cs"/>
              </a:defRPr>
            </a:pPr>
            <a:r>
              <a:rPr lang="en-US" sz="1800"/>
              <a:t>Ethanol Production Grind Margin and 
Return Over Variable and Total Cost</a:t>
            </a:r>
          </a:p>
        </c:rich>
      </c:tx>
      <c:layout>
        <c:manualLayout>
          <c:xMode val="edge"/>
          <c:yMode val="edge"/>
          <c:x val="0.33647682501225806"/>
          <c:y val="1.180816034359341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36452342789743"/>
          <c:y val="0.15294165152433001"/>
          <c:w val="0.83824675419465799"/>
          <c:h val="0.7646222858506323"/>
        </c:manualLayout>
      </c:layout>
      <c:lineChart>
        <c:grouping val="standard"/>
        <c:varyColors val="0"/>
        <c:ser>
          <c:idx val="1"/>
          <c:order val="0"/>
          <c:tx>
            <c:v>Return over total cost</c:v>
          </c:tx>
          <c:spPr>
            <a:ln w="31750" cap="rnd">
              <a:solidFill>
                <a:schemeClr val="accent2"/>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[0]!AB</c:f>
              <c:numCache>
                <c:formatCode>_("$"* #,##0.00_);_("$"* \(#,##0.00\);_("$"* "-"??_);_(@_)</c:formatCode>
                <c:ptCount val="98"/>
                <c:pt idx="0">
                  <c:v>-0.13702514676617228</c:v>
                </c:pt>
                <c:pt idx="1">
                  <c:v>-5.131179304110689E-2</c:v>
                </c:pt>
                <c:pt idx="2">
                  <c:v>-7.4411610673444706E-2</c:v>
                </c:pt>
                <c:pt idx="3">
                  <c:v>4.9958909241321514E-2</c:v>
                </c:pt>
                <c:pt idx="4">
                  <c:v>0.11289373364428879</c:v>
                </c:pt>
                <c:pt idx="5">
                  <c:v>0.21326834626924862</c:v>
                </c:pt>
                <c:pt idx="6">
                  <c:v>0.27676015517096442</c:v>
                </c:pt>
                <c:pt idx="7">
                  <c:v>0.12971423866446408</c:v>
                </c:pt>
                <c:pt idx="8">
                  <c:v>0.19746098822543767</c:v>
                </c:pt>
                <c:pt idx="9">
                  <c:v>0.20947504283479823</c:v>
                </c:pt>
                <c:pt idx="10">
                  <c:v>0.24188383156124393</c:v>
                </c:pt>
                <c:pt idx="11">
                  <c:v>0.28771923610265415</c:v>
                </c:pt>
                <c:pt idx="12">
                  <c:v>-1.7586374862861298E-2</c:v>
                </c:pt>
                <c:pt idx="13">
                  <c:v>-4.5716757326397905E-2</c:v>
                </c:pt>
                <c:pt idx="14">
                  <c:v>-1.0456452363387658E-2</c:v>
                </c:pt>
                <c:pt idx="15">
                  <c:v>0.12594915884613878</c:v>
                </c:pt>
                <c:pt idx="16">
                  <c:v>1.4463388951594824E-2</c:v>
                </c:pt>
                <c:pt idx="17">
                  <c:v>9.4246731915305526E-2</c:v>
                </c:pt>
                <c:pt idx="18">
                  <c:v>6.2742577477630013E-2</c:v>
                </c:pt>
                <c:pt idx="19">
                  <c:v>0.17020326720887891</c:v>
                </c:pt>
                <c:pt idx="20">
                  <c:v>0.18478290548880572</c:v>
                </c:pt>
                <c:pt idx="21">
                  <c:v>0.10485766281687514</c:v>
                </c:pt>
                <c:pt idx="22">
                  <c:v>8.2314534004233497E-2</c:v>
                </c:pt>
                <c:pt idx="23">
                  <c:v>-3.762230559763502E-2</c:v>
                </c:pt>
                <c:pt idx="24">
                  <c:v>-2.5972972278863082E-2</c:v>
                </c:pt>
                <c:pt idx="25">
                  <c:v>1.1458521754711848E-2</c:v>
                </c:pt>
                <c:pt idx="26">
                  <c:v>8.4633106013242365E-2</c:v>
                </c:pt>
                <c:pt idx="27">
                  <c:v>0.11005605271304475</c:v>
                </c:pt>
                <c:pt idx="28">
                  <c:v>0.11136267768721497</c:v>
                </c:pt>
                <c:pt idx="29">
                  <c:v>0.1517988230910845</c:v>
                </c:pt>
                <c:pt idx="30">
                  <c:v>0.10090338561234402</c:v>
                </c:pt>
                <c:pt idx="31">
                  <c:v>5.8395641615638372E-2</c:v>
                </c:pt>
                <c:pt idx="32">
                  <c:v>-3.1913554443688819E-2</c:v>
                </c:pt>
                <c:pt idx="33">
                  <c:v>-9.3226892655462024E-2</c:v>
                </c:pt>
                <c:pt idx="34">
                  <c:v>-0.10334074283972461</c:v>
                </c:pt>
                <c:pt idx="35">
                  <c:v>-0.12548780533376802</c:v>
                </c:pt>
                <c:pt idx="36">
                  <c:v>-0.1297192662058988</c:v>
                </c:pt>
                <c:pt idx="37">
                  <c:v>-0.1374377374386635</c:v>
                </c:pt>
                <c:pt idx="38">
                  <c:v>-5.2555387497582817E-2</c:v>
                </c:pt>
                <c:pt idx="39">
                  <c:v>-2.034666360343973E-2</c:v>
                </c:pt>
                <c:pt idx="40">
                  <c:v>-0.16088979379523005</c:v>
                </c:pt>
                <c:pt idx="41">
                  <c:v>-0.11668898780124581</c:v>
                </c:pt>
                <c:pt idx="42">
                  <c:v>-0.1157731253911729</c:v>
                </c:pt>
                <c:pt idx="43">
                  <c:v>-7.5269138823391923E-2</c:v>
                </c:pt>
                <c:pt idx="44">
                  <c:v>-8.3804328577019582E-2</c:v>
                </c:pt>
                <c:pt idx="45">
                  <c:v>5.1190077931064781E-2</c:v>
                </c:pt>
                <c:pt idx="46">
                  <c:v>6.4431174402147962E-2</c:v>
                </c:pt>
                <c:pt idx="47">
                  <c:v>-2.7731958884401386E-2</c:v>
                </c:pt>
                <c:pt idx="48">
                  <c:v>-0.18729247616414657</c:v>
                </c:pt>
                <c:pt idx="49">
                  <c:v>-0.14575471379341853</c:v>
                </c:pt>
                <c:pt idx="50">
                  <c:v>-0.19173429984242518</c:v>
                </c:pt>
                <c:pt idx="51">
                  <c:v>-0.16967072291103413</c:v>
                </c:pt>
                <c:pt idx="52">
                  <c:v>-9.9821587701864889E-2</c:v>
                </c:pt>
                <c:pt idx="53">
                  <c:v>-2.032977057974783E-3</c:v>
                </c:pt>
                <c:pt idx="54">
                  <c:v>6.1739924947048497E-2</c:v>
                </c:pt>
                <c:pt idx="55">
                  <c:v>-3.6693631674748595E-2</c:v>
                </c:pt>
                <c:pt idx="56">
                  <c:v>-2.9573323144886032E-2</c:v>
                </c:pt>
                <c:pt idx="57">
                  <c:v>-4.4734305528346674E-3</c:v>
                </c:pt>
                <c:pt idx="58">
                  <c:v>-3.0283357370970432E-2</c:v>
                </c:pt>
                <c:pt idx="59">
                  <c:v>-0.18477091427637871</c:v>
                </c:pt>
                <c:pt idx="60">
                  <c:v>-0.19049734433528132</c:v>
                </c:pt>
                <c:pt idx="61">
                  <c:v>-0.2128843418783628</c:v>
                </c:pt>
                <c:pt idx="62">
                  <c:v>-1.2456454497584701E-2</c:v>
                </c:pt>
                <c:pt idx="63">
                  <c:v>-2.0403009847608011E-2</c:v>
                </c:pt>
                <c:pt idx="64">
                  <c:v>0.16106103044823294</c:v>
                </c:pt>
                <c:pt idx="65">
                  <c:v>1.9866360272906114E-2</c:v>
                </c:pt>
                <c:pt idx="66">
                  <c:v>-0.10654031856014701</c:v>
                </c:pt>
                <c:pt idx="67">
                  <c:v>-2.1931685128233624E-2</c:v>
                </c:pt>
                <c:pt idx="68">
                  <c:v>0.39590861597324434</c:v>
                </c:pt>
                <c:pt idx="69">
                  <c:v>0.54874701263122105</c:v>
                </c:pt>
                <c:pt idx="70">
                  <c:v>1.0627890813996048</c:v>
                </c:pt>
                <c:pt idx="71">
                  <c:v>0.92154254333987184</c:v>
                </c:pt>
                <c:pt idx="72">
                  <c:v>0.12994430383184241</c:v>
                </c:pt>
                <c:pt idx="73">
                  <c:v>-7.4941560049585743E-2</c:v>
                </c:pt>
                <c:pt idx="74">
                  <c:v>9.0359995565347795E-2</c:v>
                </c:pt>
                <c:pt idx="75">
                  <c:v>0.12904783980864698</c:v>
                </c:pt>
                <c:pt idx="76">
                  <c:v>0.29033259263276978</c:v>
                </c:pt>
                <c:pt idx="77">
                  <c:v>0.10071143890359613</c:v>
                </c:pt>
                <c:pt idx="78">
                  <c:v>6.1119546620722165E-2</c:v>
                </c:pt>
                <c:pt idx="79">
                  <c:v>3.7139764276304277E-2</c:v>
                </c:pt>
                <c:pt idx="80">
                  <c:v>-7.4830814612285579E-3</c:v>
                </c:pt>
                <c:pt idx="81">
                  <c:v>0.12767925103668354</c:v>
                </c:pt>
                <c:pt idx="82">
                  <c:v>0.23137821929065172</c:v>
                </c:pt>
                <c:pt idx="83">
                  <c:v>-8.5926179205589204E-2</c:v>
                </c:pt>
                <c:pt idx="84">
                  <c:v>-7.2817327910684515E-2</c:v>
                </c:pt>
                <c:pt idx="85">
                  <c:v>-0.18182850519600402</c:v>
                </c:pt>
                <c:pt idx="86">
                  <c:v>-4.0077482005411724E-3</c:v>
                </c:pt>
                <c:pt idx="87">
                  <c:v>0.19099854928229787</c:v>
                </c:pt>
                <c:pt idx="88">
                  <c:v>0.26427640414673093</c:v>
                </c:pt>
                <c:pt idx="89">
                  <c:v>0.19910331452874575</c:v>
                </c:pt>
                <c:pt idx="90">
                  <c:v>0.38494986507177087</c:v>
                </c:pt>
                <c:pt idx="91">
                  <c:v>0.26407772548366992</c:v>
                </c:pt>
                <c:pt idx="92">
                  <c:v>0.62316740308346619</c:v>
                </c:pt>
                <c:pt idx="93">
                  <c:v>0.59117838637502862</c:v>
                </c:pt>
                <c:pt idx="94">
                  <c:v>0.31249129782030938</c:v>
                </c:pt>
                <c:pt idx="95">
                  <c:v>3.5392321212121658E-2</c:v>
                </c:pt>
                <c:pt idx="96">
                  <c:v>-3.8397043867243852E-2</c:v>
                </c:pt>
                <c:pt idx="97">
                  <c:v>2.1046882615629592E-2</c:v>
                </c:pt>
              </c:numCache>
            </c:numRef>
          </c:val>
          <c:smooth val="0"/>
          <c:extLst>
            <c:ext xmlns:c16="http://schemas.microsoft.com/office/drawing/2014/chart" uri="{C3380CC4-5D6E-409C-BE32-E72D297353CC}">
              <c16:uniqueId val="{00000000-4FD1-44D1-AE20-D99C706F451E}"/>
            </c:ext>
          </c:extLst>
        </c:ser>
        <c:ser>
          <c:idx val="2"/>
          <c:order val="1"/>
          <c:tx>
            <c:v>Return over variable cost</c:v>
          </c:tx>
          <c:spPr>
            <a:ln w="31750" cap="rnd">
              <a:solidFill>
                <a:schemeClr val="accent3"/>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[0]!AA</c:f>
              <c:numCache>
                <c:formatCode>_("$"* #,##0.00_);_("$"* \(#,##0.00\);_("$"* "-"??_);_(@_)</c:formatCode>
                <c:ptCount val="98"/>
                <c:pt idx="0">
                  <c:v>5.9220865355039898E-2</c:v>
                </c:pt>
                <c:pt idx="1">
                  <c:v>0.14493421908010529</c:v>
                </c:pt>
                <c:pt idx="2">
                  <c:v>0.12183440144776747</c:v>
                </c:pt>
                <c:pt idx="3">
                  <c:v>0.24620492136253369</c:v>
                </c:pt>
                <c:pt idx="4">
                  <c:v>0.30913974576550096</c:v>
                </c:pt>
                <c:pt idx="5">
                  <c:v>0.4095143583904608</c:v>
                </c:pt>
                <c:pt idx="6">
                  <c:v>0.47300616729217659</c:v>
                </c:pt>
                <c:pt idx="7">
                  <c:v>0.32596025078567625</c:v>
                </c:pt>
                <c:pt idx="8">
                  <c:v>0.39370700034664985</c:v>
                </c:pt>
                <c:pt idx="9">
                  <c:v>0.40572105495601041</c:v>
                </c:pt>
                <c:pt idx="10">
                  <c:v>0.43812984368245611</c:v>
                </c:pt>
                <c:pt idx="11">
                  <c:v>0.48396524822386633</c:v>
                </c:pt>
                <c:pt idx="12">
                  <c:v>0.17865963725835088</c:v>
                </c:pt>
                <c:pt idx="13">
                  <c:v>0.15052925479481427</c:v>
                </c:pt>
                <c:pt idx="14">
                  <c:v>0.18578955975782452</c:v>
                </c:pt>
                <c:pt idx="15">
                  <c:v>0.32219517096735095</c:v>
                </c:pt>
                <c:pt idx="16">
                  <c:v>0.210709401072807</c:v>
                </c:pt>
                <c:pt idx="17">
                  <c:v>0.2904927440365177</c:v>
                </c:pt>
                <c:pt idx="18">
                  <c:v>0.25898858959884219</c:v>
                </c:pt>
                <c:pt idx="19">
                  <c:v>0.36644927933009108</c:v>
                </c:pt>
                <c:pt idx="20">
                  <c:v>0.38102891761001789</c:v>
                </c:pt>
                <c:pt idx="21">
                  <c:v>0.30110367493808732</c:v>
                </c:pt>
                <c:pt idx="22">
                  <c:v>0.27856054612544567</c:v>
                </c:pt>
                <c:pt idx="23">
                  <c:v>0.15862370652357716</c:v>
                </c:pt>
                <c:pt idx="24">
                  <c:v>0.17027303984234909</c:v>
                </c:pt>
                <c:pt idx="25">
                  <c:v>0.20770453387592402</c:v>
                </c:pt>
                <c:pt idx="26">
                  <c:v>0.28087911813445454</c:v>
                </c:pt>
                <c:pt idx="27">
                  <c:v>0.30630206483425693</c:v>
                </c:pt>
                <c:pt idx="28">
                  <c:v>0.30760868980842715</c:v>
                </c:pt>
                <c:pt idx="29">
                  <c:v>0.34804483521229668</c:v>
                </c:pt>
                <c:pt idx="30">
                  <c:v>0.2971493977335562</c:v>
                </c:pt>
                <c:pt idx="31">
                  <c:v>0.25464165373685055</c:v>
                </c:pt>
                <c:pt idx="32">
                  <c:v>0.16433245767752336</c:v>
                </c:pt>
                <c:pt idx="33">
                  <c:v>0.10301911946575015</c:v>
                </c:pt>
                <c:pt idx="34">
                  <c:v>9.2905269281487568E-2</c:v>
                </c:pt>
                <c:pt idx="35">
                  <c:v>7.0758206787444156E-2</c:v>
                </c:pt>
                <c:pt idx="36">
                  <c:v>6.6526745915313379E-2</c:v>
                </c:pt>
                <c:pt idx="37">
                  <c:v>5.8808274682548678E-2</c:v>
                </c:pt>
                <c:pt idx="38">
                  <c:v>0.14369062462362936</c:v>
                </c:pt>
                <c:pt idx="39">
                  <c:v>0.17589934851777245</c:v>
                </c:pt>
                <c:pt idx="40">
                  <c:v>3.5356218325982125E-2</c:v>
                </c:pt>
                <c:pt idx="41">
                  <c:v>7.9557024319966363E-2</c:v>
                </c:pt>
                <c:pt idx="42">
                  <c:v>8.047288673003905E-2</c:v>
                </c:pt>
                <c:pt idx="43">
                  <c:v>0.12097687329782025</c:v>
                </c:pt>
                <c:pt idx="44">
                  <c:v>0.11244168354419259</c:v>
                </c:pt>
                <c:pt idx="45">
                  <c:v>0.24743609005227696</c:v>
                </c:pt>
                <c:pt idx="46">
                  <c:v>0.26067718652336014</c:v>
                </c:pt>
                <c:pt idx="47">
                  <c:v>0.16851405323681079</c:v>
                </c:pt>
                <c:pt idx="48">
                  <c:v>8.9535359570656059E-3</c:v>
                </c:pt>
                <c:pt idx="49">
                  <c:v>5.0491298327793643E-2</c:v>
                </c:pt>
                <c:pt idx="50">
                  <c:v>4.5117122787869945E-3</c:v>
                </c:pt>
                <c:pt idx="51">
                  <c:v>2.6575289210178044E-2</c:v>
                </c:pt>
                <c:pt idx="52">
                  <c:v>9.6424424419347288E-2</c:v>
                </c:pt>
                <c:pt idx="53">
                  <c:v>0.19421303506323739</c:v>
                </c:pt>
                <c:pt idx="54">
                  <c:v>0.25798593706826067</c:v>
                </c:pt>
                <c:pt idx="55">
                  <c:v>0.15955238044646358</c:v>
                </c:pt>
                <c:pt idx="56">
                  <c:v>0.16667268897632614</c:v>
                </c:pt>
                <c:pt idx="57">
                  <c:v>0.19177258156837751</c:v>
                </c:pt>
                <c:pt idx="58">
                  <c:v>0.16596265475024152</c:v>
                </c:pt>
                <c:pt idx="59">
                  <c:v>1.1475097844833471E-2</c:v>
                </c:pt>
                <c:pt idx="60">
                  <c:v>5.748667785930639E-3</c:v>
                </c:pt>
                <c:pt idx="61">
                  <c:v>-1.6638329757150849E-2</c:v>
                </c:pt>
                <c:pt idx="62">
                  <c:v>0.18378955762362725</c:v>
                </c:pt>
                <c:pt idx="63">
                  <c:v>0.17584300227360394</c:v>
                </c:pt>
                <c:pt idx="64">
                  <c:v>0.3573070425694449</c:v>
                </c:pt>
                <c:pt idx="65">
                  <c:v>0.21611237239411807</c:v>
                </c:pt>
                <c:pt idx="66">
                  <c:v>8.9705693561064948E-2</c:v>
                </c:pt>
                <c:pt idx="67">
                  <c:v>0.17431432699297833</c:v>
                </c:pt>
                <c:pt idx="68">
                  <c:v>0.59215462809445629</c:v>
                </c:pt>
                <c:pt idx="69">
                  <c:v>0.74499302475243301</c:v>
                </c:pt>
                <c:pt idx="70">
                  <c:v>1.2590350935208168</c:v>
                </c:pt>
                <c:pt idx="71">
                  <c:v>1.1177885554610838</c:v>
                </c:pt>
                <c:pt idx="72">
                  <c:v>0.32619031595305437</c:v>
                </c:pt>
                <c:pt idx="73">
                  <c:v>0.12130445207162621</c:v>
                </c:pt>
                <c:pt idx="74">
                  <c:v>0.28660600768655975</c:v>
                </c:pt>
                <c:pt idx="75">
                  <c:v>0.32529385192985893</c:v>
                </c:pt>
                <c:pt idx="76">
                  <c:v>0.48657860475398174</c:v>
                </c:pt>
                <c:pt idx="77">
                  <c:v>0.29695745102480808</c:v>
                </c:pt>
                <c:pt idx="78">
                  <c:v>0.25736555874193412</c:v>
                </c:pt>
                <c:pt idx="79">
                  <c:v>0.23338577639751623</c:v>
                </c:pt>
                <c:pt idx="80">
                  <c:v>0.1887629306599834</c:v>
                </c:pt>
                <c:pt idx="81">
                  <c:v>0.32392526315789549</c:v>
                </c:pt>
                <c:pt idx="82">
                  <c:v>0.42762423141186368</c:v>
                </c:pt>
                <c:pt idx="83">
                  <c:v>0.11031983291562275</c:v>
                </c:pt>
                <c:pt idx="84">
                  <c:v>0.12342868421052744</c:v>
                </c:pt>
                <c:pt idx="85">
                  <c:v>1.4417506925207935E-2</c:v>
                </c:pt>
                <c:pt idx="86">
                  <c:v>0.19223826392067078</c:v>
                </c:pt>
                <c:pt idx="87">
                  <c:v>0.38724456140350982</c:v>
                </c:pt>
                <c:pt idx="88">
                  <c:v>0.46052241626794288</c:v>
                </c:pt>
                <c:pt idx="89">
                  <c:v>0.3953493266499577</c:v>
                </c:pt>
                <c:pt idx="90">
                  <c:v>0.58119587719298282</c:v>
                </c:pt>
                <c:pt idx="91">
                  <c:v>0.46032373760488188</c:v>
                </c:pt>
                <c:pt idx="92">
                  <c:v>0.81941341520467814</c:v>
                </c:pt>
                <c:pt idx="93">
                  <c:v>0.78742439849624057</c:v>
                </c:pt>
                <c:pt idx="94">
                  <c:v>0.50873730994152133</c:v>
                </c:pt>
                <c:pt idx="95">
                  <c:v>0.23163833333333361</c:v>
                </c:pt>
                <c:pt idx="96">
                  <c:v>0.1578489682539681</c:v>
                </c:pt>
                <c:pt idx="97">
                  <c:v>0.21729289473684177</c:v>
                </c:pt>
              </c:numCache>
            </c:numRef>
          </c:val>
          <c:smooth val="0"/>
          <c:extLst>
            <c:ext xmlns:c16="http://schemas.microsoft.com/office/drawing/2014/chart" uri="{C3380CC4-5D6E-409C-BE32-E72D297353CC}">
              <c16:uniqueId val="{00000001-4FD1-44D1-AE20-D99C706F451E}"/>
            </c:ext>
          </c:extLst>
        </c:ser>
        <c:ser>
          <c:idx val="0"/>
          <c:order val="2"/>
          <c:tx>
            <c:v>Return over grind margin</c:v>
          </c:tx>
          <c:spPr>
            <a:ln w="31750" cap="rnd">
              <a:solidFill>
                <a:schemeClr val="accent1"/>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[0]!Z</c:f>
              <c:numCache>
                <c:formatCode>_("$"* #,##0.00_);_("$"* \(#,##0.00\);_("$"* "-"??_);_(@_)</c:formatCode>
                <c:ptCount val="98"/>
                <c:pt idx="0">
                  <c:v>0.24012086535503982</c:v>
                </c:pt>
                <c:pt idx="1">
                  <c:v>0.32583421908010535</c:v>
                </c:pt>
                <c:pt idx="2">
                  <c:v>0.30273440144776742</c:v>
                </c:pt>
                <c:pt idx="3">
                  <c:v>0.42710492136253375</c:v>
                </c:pt>
                <c:pt idx="4">
                  <c:v>0.49003974576550113</c:v>
                </c:pt>
                <c:pt idx="5">
                  <c:v>0.59041435839046086</c:v>
                </c:pt>
                <c:pt idx="6">
                  <c:v>0.65390616729217654</c:v>
                </c:pt>
                <c:pt idx="7">
                  <c:v>0.5068602507856762</c:v>
                </c:pt>
                <c:pt idx="8">
                  <c:v>0.57460700034664991</c:v>
                </c:pt>
                <c:pt idx="9">
                  <c:v>0.58662105495601058</c:v>
                </c:pt>
                <c:pt idx="10">
                  <c:v>0.61902984368245628</c:v>
                </c:pt>
                <c:pt idx="11">
                  <c:v>0.6648652482238665</c:v>
                </c:pt>
                <c:pt idx="12">
                  <c:v>0.35955963725835105</c:v>
                </c:pt>
                <c:pt idx="13">
                  <c:v>0.33142925479481422</c:v>
                </c:pt>
                <c:pt idx="14">
                  <c:v>0.36668955975782458</c:v>
                </c:pt>
                <c:pt idx="15">
                  <c:v>0.50309517096735101</c:v>
                </c:pt>
                <c:pt idx="16">
                  <c:v>0.39160940107280706</c:v>
                </c:pt>
                <c:pt idx="17">
                  <c:v>0.47139274403651776</c:v>
                </c:pt>
                <c:pt idx="18">
                  <c:v>0.43988858959884231</c:v>
                </c:pt>
                <c:pt idx="19">
                  <c:v>0.54734927933009114</c:v>
                </c:pt>
                <c:pt idx="20">
                  <c:v>0.56192891761001795</c:v>
                </c:pt>
                <c:pt idx="21">
                  <c:v>0.48200367493808738</c:v>
                </c:pt>
                <c:pt idx="22">
                  <c:v>0.45946054612544568</c:v>
                </c:pt>
                <c:pt idx="23">
                  <c:v>0.33952370652357733</c:v>
                </c:pt>
                <c:pt idx="24">
                  <c:v>0.35117303984234927</c:v>
                </c:pt>
                <c:pt idx="25">
                  <c:v>0.3886045338759242</c:v>
                </c:pt>
                <c:pt idx="26">
                  <c:v>0.46177911813445449</c:v>
                </c:pt>
                <c:pt idx="27">
                  <c:v>0.48720206483425699</c:v>
                </c:pt>
                <c:pt idx="28">
                  <c:v>0.48850868980842721</c:v>
                </c:pt>
                <c:pt idx="29">
                  <c:v>0.52894483521229663</c:v>
                </c:pt>
                <c:pt idx="30">
                  <c:v>0.47804939773355626</c:v>
                </c:pt>
                <c:pt idx="31">
                  <c:v>0.43554165373685055</c:v>
                </c:pt>
                <c:pt idx="32">
                  <c:v>0.34523245767752342</c:v>
                </c:pt>
                <c:pt idx="33">
                  <c:v>0.28391911946575021</c:v>
                </c:pt>
                <c:pt idx="34">
                  <c:v>0.27380526928148774</c:v>
                </c:pt>
                <c:pt idx="35">
                  <c:v>0.25165820678744411</c:v>
                </c:pt>
                <c:pt idx="36">
                  <c:v>0.24742674591531336</c:v>
                </c:pt>
                <c:pt idx="37">
                  <c:v>0.23970827468254882</c:v>
                </c:pt>
                <c:pt idx="38">
                  <c:v>0.32459062462362931</c:v>
                </c:pt>
                <c:pt idx="39">
                  <c:v>0.35679934851777251</c:v>
                </c:pt>
                <c:pt idx="40">
                  <c:v>0.21625621832598205</c:v>
                </c:pt>
                <c:pt idx="41">
                  <c:v>0.26045702431996653</c:v>
                </c:pt>
                <c:pt idx="42">
                  <c:v>0.261372886730039</c:v>
                </c:pt>
                <c:pt idx="43">
                  <c:v>0.30187687329782026</c:v>
                </c:pt>
                <c:pt idx="44">
                  <c:v>0.29334168354419271</c:v>
                </c:pt>
                <c:pt idx="45">
                  <c:v>0.42833609005227702</c:v>
                </c:pt>
                <c:pt idx="46">
                  <c:v>0.44157718652336009</c:v>
                </c:pt>
                <c:pt idx="47">
                  <c:v>0.34941405323681091</c:v>
                </c:pt>
                <c:pt idx="48">
                  <c:v>0.18985353595706556</c:v>
                </c:pt>
                <c:pt idx="49">
                  <c:v>0.23139129832779357</c:v>
                </c:pt>
                <c:pt idx="50">
                  <c:v>0.18541171227878703</c:v>
                </c:pt>
                <c:pt idx="51">
                  <c:v>0.20747528921017797</c:v>
                </c:pt>
                <c:pt idx="52">
                  <c:v>0.27732442441934724</c:v>
                </c:pt>
                <c:pt idx="53">
                  <c:v>0.3751130350632374</c:v>
                </c:pt>
                <c:pt idx="54">
                  <c:v>0.43888593706826073</c:v>
                </c:pt>
                <c:pt idx="55">
                  <c:v>0.34045238044646364</c:v>
                </c:pt>
                <c:pt idx="56">
                  <c:v>0.34757268897632621</c:v>
                </c:pt>
                <c:pt idx="57">
                  <c:v>0.37267258156837757</c:v>
                </c:pt>
                <c:pt idx="58">
                  <c:v>0.34686265475024158</c:v>
                </c:pt>
                <c:pt idx="59">
                  <c:v>0.19237509784483353</c:v>
                </c:pt>
                <c:pt idx="60">
                  <c:v>0.18664866778593034</c:v>
                </c:pt>
                <c:pt idx="61">
                  <c:v>0.16426167024284877</c:v>
                </c:pt>
                <c:pt idx="62">
                  <c:v>0.36468955762362693</c:v>
                </c:pt>
                <c:pt idx="63">
                  <c:v>0.35674300227360389</c:v>
                </c:pt>
                <c:pt idx="64">
                  <c:v>0.53820704256944474</c:v>
                </c:pt>
                <c:pt idx="65">
                  <c:v>0.39701237239411791</c:v>
                </c:pt>
                <c:pt idx="66">
                  <c:v>0.27060569356106468</c:v>
                </c:pt>
                <c:pt idx="67">
                  <c:v>0.35521432699297806</c:v>
                </c:pt>
                <c:pt idx="68">
                  <c:v>0.77305462809445613</c:v>
                </c:pt>
                <c:pt idx="69">
                  <c:v>0.92589302475243307</c:v>
                </c:pt>
                <c:pt idx="70">
                  <c:v>1.4399350935208166</c:v>
                </c:pt>
                <c:pt idx="71">
                  <c:v>1.2986885554610834</c:v>
                </c:pt>
                <c:pt idx="72">
                  <c:v>0.50709031595305443</c:v>
                </c:pt>
                <c:pt idx="73">
                  <c:v>0.30220445207162594</c:v>
                </c:pt>
                <c:pt idx="74">
                  <c:v>0.46750600768655959</c:v>
                </c:pt>
                <c:pt idx="75">
                  <c:v>0.50619385192985877</c:v>
                </c:pt>
                <c:pt idx="76">
                  <c:v>0.66747860475398146</c:v>
                </c:pt>
                <c:pt idx="77">
                  <c:v>0.47785745102480792</c:v>
                </c:pt>
                <c:pt idx="78">
                  <c:v>0.43826555874193401</c:v>
                </c:pt>
                <c:pt idx="79">
                  <c:v>0.4142857763975159</c:v>
                </c:pt>
                <c:pt idx="80">
                  <c:v>0.36966293065998312</c:v>
                </c:pt>
                <c:pt idx="81">
                  <c:v>0.50482526315789511</c:v>
                </c:pt>
                <c:pt idx="82">
                  <c:v>0.60852423141186351</c:v>
                </c:pt>
                <c:pt idx="83">
                  <c:v>0.29121983291562248</c:v>
                </c:pt>
                <c:pt idx="84">
                  <c:v>0.30432868421052739</c:v>
                </c:pt>
                <c:pt idx="85">
                  <c:v>0.19531750692520791</c:v>
                </c:pt>
                <c:pt idx="86">
                  <c:v>0.37313826392067073</c:v>
                </c:pt>
                <c:pt idx="87">
                  <c:v>0.56814456140350944</c:v>
                </c:pt>
                <c:pt idx="88">
                  <c:v>0.64142241626794294</c:v>
                </c:pt>
                <c:pt idx="89">
                  <c:v>0.57624932664995754</c:v>
                </c:pt>
                <c:pt idx="90">
                  <c:v>0.76209587719298288</c:v>
                </c:pt>
                <c:pt idx="91">
                  <c:v>0.64122373760488172</c:v>
                </c:pt>
                <c:pt idx="92">
                  <c:v>1.0003134152046782</c:v>
                </c:pt>
                <c:pt idx="93">
                  <c:v>0.96832439849624063</c:v>
                </c:pt>
                <c:pt idx="94">
                  <c:v>0.68963730994152117</c:v>
                </c:pt>
                <c:pt idx="95">
                  <c:v>0.41253833333333367</c:v>
                </c:pt>
                <c:pt idx="96">
                  <c:v>0.33874896825396816</c:v>
                </c:pt>
                <c:pt idx="97">
                  <c:v>0.39819289473684183</c:v>
                </c:pt>
              </c:numCache>
            </c:numRef>
          </c:val>
          <c:smooth val="0"/>
          <c:extLst>
            <c:ext xmlns:c16="http://schemas.microsoft.com/office/drawing/2014/chart" uri="{C3380CC4-5D6E-409C-BE32-E72D297353CC}">
              <c16:uniqueId val="{00000002-4FD1-44D1-AE20-D99C706F451E}"/>
            </c:ext>
          </c:extLst>
        </c:ser>
        <c:dLbls>
          <c:showLegendKey val="0"/>
          <c:showVal val="0"/>
          <c:showCatName val="0"/>
          <c:showSerName val="0"/>
          <c:showPercent val="0"/>
          <c:showBubbleSize val="0"/>
        </c:dLbls>
        <c:smooth val="0"/>
        <c:axId val="285368496"/>
        <c:axId val="285369056"/>
      </c:lineChart>
      <c:dateAx>
        <c:axId val="285368496"/>
        <c:scaling>
          <c:orientation val="minMax"/>
        </c:scaling>
        <c:delete val="0"/>
        <c:axPos val="b"/>
        <c:numFmt formatCode="mmm\-yy" sourceLinked="0"/>
        <c:majorTickMark val="out"/>
        <c:minorTickMark val="none"/>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285369056"/>
        <c:crosses val="autoZero"/>
        <c:auto val="1"/>
        <c:lblOffset val="100"/>
        <c:baseTimeUnit val="months"/>
        <c:majorUnit val="5"/>
        <c:majorTimeUnit val="months"/>
        <c:minorUnit val="1"/>
        <c:minorTimeUnit val="months"/>
      </c:dateAx>
      <c:valAx>
        <c:axId val="285369056"/>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2"/>
                    </a:solidFill>
                    <a:latin typeface="Arial Narrow" panose="020B0606020202030204" pitchFamily="34" charset="0"/>
                    <a:ea typeface="+mn-ea"/>
                    <a:cs typeface="+mn-cs"/>
                  </a:defRPr>
                </a:pPr>
                <a:r>
                  <a:rPr lang="en-US"/>
                  <a:t>$ per gallon</a:t>
                </a:r>
              </a:p>
            </c:rich>
          </c:tx>
          <c:layout>
            <c:manualLayout>
              <c:xMode val="edge"/>
              <c:yMode val="edge"/>
              <c:x val="8.8967629046369703E-3"/>
              <c:y val="0.41492151384302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285368496"/>
        <c:crosses val="autoZero"/>
        <c:crossBetween val="midCat"/>
      </c:valAx>
      <c:spPr>
        <a:noFill/>
        <a:ln>
          <a:noFill/>
        </a:ln>
        <a:effectLst/>
      </c:spPr>
    </c:plotArea>
    <c:legend>
      <c:legendPos val="b"/>
      <c:layout>
        <c:manualLayout>
          <c:xMode val="edge"/>
          <c:yMode val="edge"/>
          <c:x val="0.19584759597358023"/>
          <c:y val="0.18770078740157481"/>
          <c:w val="0.25208456635228293"/>
          <c:h val="0.18927574962220631"/>
        </c:manualLayout>
      </c:layout>
      <c:overlay val="0"/>
      <c:spPr>
        <a:solidFill>
          <a:schemeClr val="bg1"/>
        </a:solidFill>
        <a:ln>
          <a:solidFill>
            <a:schemeClr val="accent1"/>
          </a:solidFill>
        </a:ln>
        <a:effectLst/>
      </c:spPr>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latin typeface="Arial Narrow" panose="020B0606020202030204" pitchFamily="34" charset="0"/>
        </a:defRPr>
      </a:pPr>
      <a:endParaRPr lang="en-US"/>
    </a:p>
  </c:txPr>
  <c:printSettings>
    <c:headerFooter/>
    <c:pageMargins b="0.750000000000002" l="0.70000000000000095" r="0.70000000000000095" t="0.750000000000002"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285371296"/>
        <c:axId val="285371856"/>
      </c:barChart>
      <c:catAx>
        <c:axId val="285371296"/>
        <c:scaling>
          <c:orientation val="minMax"/>
        </c:scaling>
        <c:delete val="0"/>
        <c:axPos val="b"/>
        <c:majorTickMark val="out"/>
        <c:minorTickMark val="none"/>
        <c:tickLblPos val="nextTo"/>
        <c:crossAx val="285371856"/>
        <c:crosses val="autoZero"/>
        <c:auto val="1"/>
        <c:lblAlgn val="ctr"/>
        <c:lblOffset val="100"/>
        <c:noMultiLvlLbl val="0"/>
      </c:catAx>
      <c:valAx>
        <c:axId val="285371856"/>
        <c:scaling>
          <c:orientation val="minMax"/>
        </c:scaling>
        <c:delete val="0"/>
        <c:axPos val="l"/>
        <c:majorGridlines/>
        <c:majorTickMark val="out"/>
        <c:minorTickMark val="none"/>
        <c:tickLblPos val="nextTo"/>
        <c:crossAx val="285371296"/>
        <c:crosses val="autoZero"/>
        <c:crossBetween val="between"/>
      </c:valAx>
    </c:plotArea>
    <c:legend>
      <c:legendPos val="r"/>
      <c:overlay val="0"/>
    </c:legend>
    <c:plotVisOnly val="1"/>
    <c:dispBlanksAs val="gap"/>
    <c:showDLblsOverMax val="0"/>
  </c:chart>
  <c:spPr>
    <a:ln>
      <a:noFill/>
    </a:ln>
  </c:spPr>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baseline="0">
                <a:solidFill>
                  <a:schemeClr val="tx2"/>
                </a:solidFill>
                <a:latin typeface="Arial Narrow" panose="020B0606020202030204" pitchFamily="34" charset="0"/>
                <a:ea typeface="+mn-ea"/>
                <a:cs typeface="+mn-cs"/>
              </a:defRPr>
            </a:pPr>
            <a:r>
              <a:rPr lang="en-US"/>
              <a:t>Percent Return on Equity of Ethanol Production</a:t>
            </a:r>
          </a:p>
          <a:p>
            <a:pPr>
              <a:defRPr/>
            </a:pPr>
            <a:r>
              <a:rPr lang="en-US" b="0"/>
              <a:t>(annualized basis)</a:t>
            </a:r>
          </a:p>
        </c:rich>
      </c:tx>
      <c:layout>
        <c:manualLayout>
          <c:xMode val="edge"/>
          <c:yMode val="edge"/>
          <c:x val="0.26564956303538984"/>
          <c:y val="1.3675841157270588E-2"/>
        </c:manualLayout>
      </c:layout>
      <c:overlay val="0"/>
      <c:spPr>
        <a:noFill/>
        <a:ln>
          <a:noFill/>
        </a:ln>
        <a:effectLst/>
      </c:spPr>
      <c:txPr>
        <a:bodyPr rot="0" spcFirstLastPara="1" vertOverflow="ellipsis" vert="horz" wrap="square" anchor="ctr" anchorCtr="1"/>
        <a:lstStyle/>
        <a:p>
          <a:pPr>
            <a:defRPr sz="192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954117273802314E-2"/>
          <c:y val="0.1562433415692796"/>
          <c:w val="0.86398200224971877"/>
          <c:h val="0.76384421709238814"/>
        </c:manualLayout>
      </c:layout>
      <c:lineChart>
        <c:grouping val="standard"/>
        <c:varyColors val="0"/>
        <c:ser>
          <c:idx val="0"/>
          <c:order val="0"/>
          <c:tx>
            <c:v>Return on Equity</c:v>
          </c:tx>
          <c:spPr>
            <a:ln w="31750" cap="rnd">
              <a:solidFill>
                <a:schemeClr val="accent1"/>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[0]!AX</c:f>
              <c:numCache>
                <c:formatCode>0%</c:formatCode>
                <c:ptCount val="98"/>
                <c:pt idx="0">
                  <c:v>-0.11891897592454129</c:v>
                </c:pt>
                <c:pt idx="1">
                  <c:v>-4.4531577052153409E-2</c:v>
                </c:pt>
                <c:pt idx="2">
                  <c:v>-6.4579040760175593E-2</c:v>
                </c:pt>
                <c:pt idx="3">
                  <c:v>4.3357460039238287E-2</c:v>
                </c:pt>
                <c:pt idx="4">
                  <c:v>9.7976229255104186E-2</c:v>
                </c:pt>
                <c:pt idx="5">
                  <c:v>0.18508758380487775</c:v>
                </c:pt>
                <c:pt idx="6">
                  <c:v>0.24018973893756373</c:v>
                </c:pt>
                <c:pt idx="7">
                  <c:v>0.11257411350292201</c:v>
                </c:pt>
                <c:pt idx="8">
                  <c:v>0.17136897174711885</c:v>
                </c:pt>
                <c:pt idx="9">
                  <c:v>0.18179551829397034</c:v>
                </c:pt>
                <c:pt idx="10">
                  <c:v>0.20992188821408791</c:v>
                </c:pt>
                <c:pt idx="11">
                  <c:v>0.24970071347200207</c:v>
                </c:pt>
                <c:pt idx="12">
                  <c:v>-1.5262553905418122E-2</c:v>
                </c:pt>
                <c:pt idx="13">
                  <c:v>-3.9675855798376382E-2</c:v>
                </c:pt>
                <c:pt idx="14">
                  <c:v>-9.0747620871349955E-3</c:v>
                </c:pt>
                <c:pt idx="15">
                  <c:v>0.10930654220789925</c:v>
                </c:pt>
                <c:pt idx="16">
                  <c:v>1.2552231784557513E-2</c:v>
                </c:pt>
                <c:pt idx="17">
                  <c:v>8.1793197147443819E-2</c:v>
                </c:pt>
                <c:pt idx="18">
                  <c:v>5.4451925333371794E-2</c:v>
                </c:pt>
                <c:pt idx="19">
                  <c:v>0.14771301993224928</c:v>
                </c:pt>
                <c:pt idx="20">
                  <c:v>0.16036614014059872</c:v>
                </c:pt>
                <c:pt idx="21">
                  <c:v>9.1002025353072266E-2</c:v>
                </c:pt>
                <c:pt idx="22">
                  <c:v>7.1437690953131516E-2</c:v>
                </c:pt>
                <c:pt idx="23">
                  <c:v>-3.2650985305825206E-2</c:v>
                </c:pt>
                <c:pt idx="24">
                  <c:v>-2.2540966662050386E-2</c:v>
                </c:pt>
                <c:pt idx="25">
                  <c:v>9.9444204573979587E-3</c:v>
                </c:pt>
                <c:pt idx="26">
                  <c:v>7.3449892475448975E-2</c:v>
                </c:pt>
                <c:pt idx="27">
                  <c:v>9.5513512605583176E-2</c:v>
                </c:pt>
                <c:pt idx="28">
                  <c:v>9.6647483322001432E-2</c:v>
                </c:pt>
                <c:pt idx="29">
                  <c:v>0.13174049446082328</c:v>
                </c:pt>
                <c:pt idx="30">
                  <c:v>8.7570256755976641E-2</c:v>
                </c:pt>
                <c:pt idx="31">
                  <c:v>5.0679383042285815E-2</c:v>
                </c:pt>
                <c:pt idx="32">
                  <c:v>-2.7696574695386146E-2</c:v>
                </c:pt>
                <c:pt idx="33">
                  <c:v>-8.0908116976026345E-2</c:v>
                </c:pt>
                <c:pt idx="34">
                  <c:v>-8.9685547505760951E-2</c:v>
                </c:pt>
                <c:pt idx="35">
                  <c:v>-0.10890615083065859</c:v>
                </c:pt>
                <c:pt idx="36">
                  <c:v>-0.11257847671721474</c:v>
                </c:pt>
                <c:pt idx="37">
                  <c:v>-0.11927704786539733</c:v>
                </c:pt>
                <c:pt idx="38">
                  <c:v>-4.5610845950744279E-2</c:v>
                </c:pt>
                <c:pt idx="39">
                  <c:v>-1.765810478080445E-2</c:v>
                </c:pt>
                <c:pt idx="40">
                  <c:v>-0.13963020632620646</c:v>
                </c:pt>
                <c:pt idx="41">
                  <c:v>-0.10126998772477225</c:v>
                </c:pt>
                <c:pt idx="42">
                  <c:v>-0.10047514515416385</c:v>
                </c:pt>
                <c:pt idx="43">
                  <c:v>-6.5323257218430464E-2</c:v>
                </c:pt>
                <c:pt idx="44">
                  <c:v>-7.2730627681277749E-2</c:v>
                </c:pt>
                <c:pt idx="45">
                  <c:v>4.4425945081801345E-2</c:v>
                </c:pt>
                <c:pt idx="46">
                  <c:v>5.5917395152248951E-2</c:v>
                </c:pt>
                <c:pt idx="47">
                  <c:v>-2.4067525040072684E-2</c:v>
                </c:pt>
                <c:pt idx="48">
                  <c:v>-0.16254410222832469</c:v>
                </c:pt>
                <c:pt idx="49">
                  <c:v>-0.12649503911910409</c:v>
                </c:pt>
                <c:pt idx="50">
                  <c:v>-0.16639899408959463</c:v>
                </c:pt>
                <c:pt idx="51">
                  <c:v>-0.14725084474741082</c:v>
                </c:pt>
                <c:pt idx="52">
                  <c:v>-8.6631404999874692E-2</c:v>
                </c:pt>
                <c:pt idx="53">
                  <c:v>-1.7643443960323978E-3</c:v>
                </c:pt>
                <c:pt idx="54">
                  <c:v>5.3581760878460977E-2</c:v>
                </c:pt>
                <c:pt idx="55">
                  <c:v>-3.1845024104660502E-2</c:v>
                </c:pt>
                <c:pt idx="56">
                  <c:v>-2.5665575889341489E-2</c:v>
                </c:pt>
                <c:pt idx="57">
                  <c:v>-3.8823222800145937E-3</c:v>
                </c:pt>
                <c:pt idx="58">
                  <c:v>-2.6281787913412468E-2</c:v>
                </c:pt>
                <c:pt idx="59">
                  <c:v>-0.16035573341792339</c:v>
                </c:pt>
                <c:pt idx="60">
                  <c:v>-0.1653254868856599</c:v>
                </c:pt>
                <c:pt idx="61">
                  <c:v>-0.18475432082364843</c:v>
                </c:pt>
                <c:pt idx="62">
                  <c:v>-1.0810488785910581E-2</c:v>
                </c:pt>
                <c:pt idx="63">
                  <c:v>-1.770700556881151E-2</c:v>
                </c:pt>
                <c:pt idx="64">
                  <c:v>0.13977881618283744</c:v>
                </c:pt>
                <c:pt idx="65">
                  <c:v>1.7241267568451509E-2</c:v>
                </c:pt>
                <c:pt idx="66">
                  <c:v>-9.2462339043996186E-2</c:v>
                </c:pt>
                <c:pt idx="67">
                  <c:v>-1.9033685402284228E-2</c:v>
                </c:pt>
                <c:pt idx="68">
                  <c:v>0.34359421086103642</c:v>
                </c:pt>
                <c:pt idx="69">
                  <c:v>0.47623691215681369</c:v>
                </c:pt>
                <c:pt idx="70">
                  <c:v>0.9223547076325862</c:v>
                </c:pt>
                <c:pt idx="71">
                  <c:v>0.79977214483034798</c:v>
                </c:pt>
                <c:pt idx="72">
                  <c:v>0.11277377841659793</c:v>
                </c:pt>
                <c:pt idx="73">
                  <c:v>-6.5038963909976613E-2</c:v>
                </c:pt>
                <c:pt idx="74">
                  <c:v>7.8420044720068457E-2</c:v>
                </c:pt>
                <c:pt idx="75">
                  <c:v>0.11199577097703271</c:v>
                </c:pt>
                <c:pt idx="76">
                  <c:v>0.25196874740315556</c:v>
                </c:pt>
                <c:pt idx="77">
                  <c:v>8.7403673420179157E-2</c:v>
                </c:pt>
                <c:pt idx="78">
                  <c:v>5.3043357840816617E-2</c:v>
                </c:pt>
                <c:pt idx="79">
                  <c:v>3.2232205825356443E-2</c:v>
                </c:pt>
                <c:pt idx="80">
                  <c:v>-6.4942852106400131E-3</c:v>
                </c:pt>
                <c:pt idx="81">
                  <c:v>0.11080802420890509</c:v>
                </c:pt>
                <c:pt idx="82">
                  <c:v>0.20080446209075664</c:v>
                </c:pt>
                <c:pt idx="83">
                  <c:v>-7.4572102109654495E-2</c:v>
                </c:pt>
                <c:pt idx="84">
                  <c:v>-6.3195422658273312E-2</c:v>
                </c:pt>
                <c:pt idx="85">
                  <c:v>-0.15780212714311184</c:v>
                </c:pt>
                <c:pt idx="86">
                  <c:v>-3.4781740652689245E-3</c:v>
                </c:pt>
                <c:pt idx="87">
                  <c:v>0.16576046382554302</c:v>
                </c:pt>
                <c:pt idx="88">
                  <c:v>0.22935556052188835</c:v>
                </c:pt>
                <c:pt idx="89">
                  <c:v>0.17279428503254465</c:v>
                </c:pt>
                <c:pt idx="90">
                  <c:v>0.33408352274742165</c:v>
                </c:pt>
                <c:pt idx="91">
                  <c:v>0.22918313477590743</c:v>
                </c:pt>
                <c:pt idx="92">
                  <c:v>0.5408235725570959</c:v>
                </c:pt>
                <c:pt idx="93">
                  <c:v>0.51306150699775765</c:v>
                </c:pt>
                <c:pt idx="94">
                  <c:v>0.27119945498424397</c:v>
                </c:pt>
                <c:pt idx="95">
                  <c:v>3.0715665653109157E-2</c:v>
                </c:pt>
                <c:pt idx="96">
                  <c:v>-3.332335153790613E-2</c:v>
                </c:pt>
                <c:pt idx="97">
                  <c:v>1.8265798549559797E-2</c:v>
                </c:pt>
              </c:numCache>
            </c:numRef>
          </c:val>
          <c:smooth val="0"/>
          <c:extLst>
            <c:ext xmlns:c16="http://schemas.microsoft.com/office/drawing/2014/chart" uri="{C3380CC4-5D6E-409C-BE32-E72D297353CC}">
              <c16:uniqueId val="{00000000-79A0-4D28-9692-C494B73AA295}"/>
            </c:ext>
          </c:extLst>
        </c:ser>
        <c:dLbls>
          <c:showLegendKey val="0"/>
          <c:showVal val="0"/>
          <c:showCatName val="0"/>
          <c:showSerName val="0"/>
          <c:showPercent val="0"/>
          <c:showBubbleSize val="0"/>
        </c:dLbls>
        <c:smooth val="0"/>
        <c:axId val="285354528"/>
        <c:axId val="285355088"/>
      </c:lineChart>
      <c:dateAx>
        <c:axId val="285354528"/>
        <c:scaling>
          <c:orientation val="minMax"/>
        </c:scaling>
        <c:delete val="0"/>
        <c:axPos val="b"/>
        <c:numFmt formatCode="mmm\-yy" sourceLinked="0"/>
        <c:majorTickMark val="out"/>
        <c:minorTickMark val="none"/>
        <c:tickLblPos val="nextTo"/>
        <c:spPr>
          <a:noFill/>
          <a:ln w="9525" cap="flat" cmpd="sng" algn="ctr">
            <a:solidFill>
              <a:schemeClr val="tx2">
                <a:lumMod val="15000"/>
                <a:lumOff val="85000"/>
              </a:schemeClr>
            </a:solidFill>
            <a:round/>
          </a:ln>
          <a:effectLst/>
        </c:spPr>
        <c:txPr>
          <a:bodyPr rot="-4500000" spcFirstLastPara="1" vertOverflow="ellipsis"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crossAx val="285355088"/>
        <c:crosses val="autoZero"/>
        <c:auto val="1"/>
        <c:lblOffset val="100"/>
        <c:baseTimeUnit val="days"/>
        <c:majorUnit val="5"/>
        <c:majorTimeUnit val="months"/>
        <c:minorUnit val="5"/>
        <c:minorTimeUnit val="days"/>
      </c:dateAx>
      <c:valAx>
        <c:axId val="285355088"/>
        <c:scaling>
          <c:orientation val="minMax"/>
          <c:max val="1.2"/>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crossAx val="285354528"/>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600">
          <a:latin typeface="Arial Narrow" panose="020B0606020202030204" pitchFamily="34" charset="0"/>
        </a:defRPr>
      </a:pPr>
      <a:endParaRPr lang="en-US"/>
    </a:p>
  </c:txPr>
  <c:printSettings>
    <c:headerFooter alignWithMargins="0"/>
    <c:pageMargins b="1" l="0.750000000000002" r="0.750000000000002" t="1" header="0.5" footer="0.5"/>
    <c:pageSetup orientation="landscape"/>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285356768"/>
        <c:axId val="285357328"/>
      </c:barChart>
      <c:catAx>
        <c:axId val="285356768"/>
        <c:scaling>
          <c:orientation val="minMax"/>
        </c:scaling>
        <c:delete val="0"/>
        <c:axPos val="b"/>
        <c:majorTickMark val="out"/>
        <c:minorTickMark val="none"/>
        <c:tickLblPos val="nextTo"/>
        <c:crossAx val="285357328"/>
        <c:crosses val="autoZero"/>
        <c:auto val="1"/>
        <c:lblAlgn val="ctr"/>
        <c:lblOffset val="100"/>
        <c:noMultiLvlLbl val="0"/>
      </c:catAx>
      <c:valAx>
        <c:axId val="285357328"/>
        <c:scaling>
          <c:orientation val="minMax"/>
        </c:scaling>
        <c:delete val="0"/>
        <c:axPos val="l"/>
        <c:majorGridlines/>
        <c:majorTickMark val="out"/>
        <c:minorTickMark val="none"/>
        <c:tickLblPos val="nextTo"/>
        <c:crossAx val="285356768"/>
        <c:crosses val="autoZero"/>
        <c:crossBetween val="between"/>
      </c:valAx>
    </c:plotArea>
    <c:legend>
      <c:legendPos val="r"/>
      <c:overlay val="0"/>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baseline="0">
                <a:solidFill>
                  <a:schemeClr val="tx2"/>
                </a:solidFill>
                <a:latin typeface="Arial Narrow" panose="020B0606020202030204" pitchFamily="34" charset="0"/>
                <a:ea typeface="+mn-ea"/>
                <a:cs typeface="+mn-cs"/>
              </a:defRPr>
            </a:pPr>
            <a:r>
              <a:rPr lang="en-US"/>
              <a:t>Allocation of Ethanol Supply Chain Profits between 
Ethanol Producer and Corn Farmer</a:t>
            </a:r>
          </a:p>
        </c:rich>
      </c:tx>
      <c:layout>
        <c:manualLayout>
          <c:xMode val="edge"/>
          <c:yMode val="edge"/>
          <c:x val="0.26986588106709736"/>
          <c:y val="1.1837588483257772E-2"/>
        </c:manualLayout>
      </c:layout>
      <c:overlay val="0"/>
      <c:spPr>
        <a:noFill/>
        <a:ln>
          <a:noFill/>
        </a:ln>
        <a:effectLst/>
      </c:spPr>
      <c:txPr>
        <a:bodyPr rot="0" spcFirstLastPara="1" vertOverflow="ellipsis" vert="horz" wrap="square" anchor="ctr" anchorCtr="1"/>
        <a:lstStyle/>
        <a:p>
          <a:pPr>
            <a:defRPr sz="168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555654496883301"/>
          <c:y val="0.11980434263898831"/>
          <c:w val="0.84861976847729303"/>
          <c:h val="0.55302632625467274"/>
        </c:manualLayout>
      </c:layout>
      <c:areaChart>
        <c:grouping val="standard"/>
        <c:varyColors val="0"/>
        <c:ser>
          <c:idx val="5"/>
          <c:order val="1"/>
          <c:tx>
            <c:v>Ethanol production cost</c:v>
          </c:tx>
          <c:spPr>
            <a:solidFill>
              <a:schemeClr val="bg2">
                <a:lumMod val="90000"/>
              </a:schemeClr>
            </a:soli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[0]!AV</c:f>
              <c:numCache>
                <c:formatCode>_("$"* #,##0.00_);_("$"* \(#,##0.00\);_("$"* "-"??_);_(@_)</c:formatCode>
                <c:ptCount val="98"/>
                <c:pt idx="0">
                  <c:v>4.6753520913156708</c:v>
                </c:pt>
                <c:pt idx="1">
                  <c:v>4.8867575237822534</c:v>
                </c:pt>
                <c:pt idx="2">
                  <c:v>4.8262002129598285</c:v>
                </c:pt>
                <c:pt idx="3">
                  <c:v>5.1831416417519254</c:v>
                </c:pt>
                <c:pt idx="4">
                  <c:v>5.4617637642242789</c:v>
                </c:pt>
                <c:pt idx="5">
                  <c:v>5.9541850006177208</c:v>
                </c:pt>
                <c:pt idx="6">
                  <c:v>5.5398500699877742</c:v>
                </c:pt>
                <c:pt idx="7">
                  <c:v>4.9395460520955785</c:v>
                </c:pt>
                <c:pt idx="8">
                  <c:v>5.1744409129056477</c:v>
                </c:pt>
                <c:pt idx="9">
                  <c:v>5.3521792957448993</c:v>
                </c:pt>
                <c:pt idx="10">
                  <c:v>5.4219750475949997</c:v>
                </c:pt>
                <c:pt idx="11">
                  <c:v>5.6917016676365204</c:v>
                </c:pt>
                <c:pt idx="12">
                  <c:v>4.9600299561727006</c:v>
                </c:pt>
                <c:pt idx="13">
                  <c:v>4.90863679056522</c:v>
                </c:pt>
                <c:pt idx="14">
                  <c:v>4.8963015563098002</c:v>
                </c:pt>
                <c:pt idx="15">
                  <c:v>5.3397699884489498</c:v>
                </c:pt>
                <c:pt idx="16">
                  <c:v>5.0765781589675001</c:v>
                </c:pt>
                <c:pt idx="17">
                  <c:v>5.2960890929040758</c:v>
                </c:pt>
                <c:pt idx="18">
                  <c:v>5.2295474904866994</c:v>
                </c:pt>
                <c:pt idx="19">
                  <c:v>5.3097195521907601</c:v>
                </c:pt>
                <c:pt idx="20">
                  <c:v>5.3448749466598029</c:v>
                </c:pt>
                <c:pt idx="21">
                  <c:v>5.070827389688719</c:v>
                </c:pt>
                <c:pt idx="22">
                  <c:v>4.9911350462055211</c:v>
                </c:pt>
                <c:pt idx="23">
                  <c:v>4.7841425805199149</c:v>
                </c:pt>
                <c:pt idx="24">
                  <c:v>4.868783630317961</c:v>
                </c:pt>
                <c:pt idx="25">
                  <c:v>5.1305747758235434</c:v>
                </c:pt>
                <c:pt idx="26">
                  <c:v>5.3684286619990527</c:v>
                </c:pt>
                <c:pt idx="27">
                  <c:v>5.5117090751572091</c:v>
                </c:pt>
                <c:pt idx="28">
                  <c:v>5.5719450030886044</c:v>
                </c:pt>
                <c:pt idx="29">
                  <c:v>5.3795458841080901</c:v>
                </c:pt>
                <c:pt idx="30">
                  <c:v>5.0623945691090544</c:v>
                </c:pt>
                <c:pt idx="31">
                  <c:v>5.0574550189076302</c:v>
                </c:pt>
                <c:pt idx="32">
                  <c:v>4.7254400118911271</c:v>
                </c:pt>
                <c:pt idx="33">
                  <c:v>4.6406694904773884</c:v>
                </c:pt>
                <c:pt idx="34">
                  <c:v>4.7597425217437737</c:v>
                </c:pt>
                <c:pt idx="35">
                  <c:v>4.8260156046230653</c:v>
                </c:pt>
                <c:pt idx="36">
                  <c:v>4.7773586131688521</c:v>
                </c:pt>
                <c:pt idx="37">
                  <c:v>4.7599216425069173</c:v>
                </c:pt>
                <c:pt idx="38">
                  <c:v>5.0021537473987392</c:v>
                </c:pt>
                <c:pt idx="39">
                  <c:v>4.981014499434341</c:v>
                </c:pt>
                <c:pt idx="40">
                  <c:v>4.7048844930705567</c:v>
                </c:pt>
                <c:pt idx="41">
                  <c:v>5.3673725203847891</c:v>
                </c:pt>
                <c:pt idx="42">
                  <c:v>5.4510122662412046</c:v>
                </c:pt>
                <c:pt idx="43">
                  <c:v>5.0572436477914717</c:v>
                </c:pt>
                <c:pt idx="44">
                  <c:v>4.9412400441670421</c:v>
                </c:pt>
                <c:pt idx="45">
                  <c:v>5.5243028652320589</c:v>
                </c:pt>
                <c:pt idx="46">
                  <c:v>5.3697233988797031</c:v>
                </c:pt>
                <c:pt idx="47">
                  <c:v>5.1963025455260272</c:v>
                </c:pt>
                <c:pt idx="48">
                  <c:v>4.8759694658908384</c:v>
                </c:pt>
                <c:pt idx="49">
                  <c:v>4.8801999366998672</c:v>
                </c:pt>
                <c:pt idx="50">
                  <c:v>4.4414447420053254</c:v>
                </c:pt>
                <c:pt idx="51">
                  <c:v>3.9688627587764906</c:v>
                </c:pt>
                <c:pt idx="52">
                  <c:v>4.1982033598335589</c:v>
                </c:pt>
                <c:pt idx="53">
                  <c:v>4.5894109582051774</c:v>
                </c:pt>
                <c:pt idx="54">
                  <c:v>4.7770512941427663</c:v>
                </c:pt>
                <c:pt idx="55">
                  <c:v>4.5277776248718444</c:v>
                </c:pt>
                <c:pt idx="56">
                  <c:v>5.0247333601894839</c:v>
                </c:pt>
                <c:pt idx="57">
                  <c:v>5.3777932741203767</c:v>
                </c:pt>
                <c:pt idx="58">
                  <c:v>5.6605361840649211</c:v>
                </c:pt>
                <c:pt idx="59">
                  <c:v>5.3532216326920183</c:v>
                </c:pt>
                <c:pt idx="60">
                  <c:v>5.9970166021931801</c:v>
                </c:pt>
                <c:pt idx="61">
                  <c:v>6.5617883885084956</c:v>
                </c:pt>
                <c:pt idx="62">
                  <c:v>7.078399150819572</c:v>
                </c:pt>
                <c:pt idx="63">
                  <c:v>7.6474266129543675</c:v>
                </c:pt>
                <c:pt idx="64">
                  <c:v>9.2034250808596596</c:v>
                </c:pt>
                <c:pt idx="65">
                  <c:v>8.5876259498604863</c:v>
                </c:pt>
                <c:pt idx="66">
                  <c:v>7.901746224980104</c:v>
                </c:pt>
                <c:pt idx="67">
                  <c:v>8.0737167440553144</c:v>
                </c:pt>
                <c:pt idx="68">
                  <c:v>8.4968994791571308</c:v>
                </c:pt>
                <c:pt idx="69">
                  <c:v>8.7246351331806178</c:v>
                </c:pt>
                <c:pt idx="70">
                  <c:v>10.625927502038479</c:v>
                </c:pt>
                <c:pt idx="71">
                  <c:v>10.584926665372395</c:v>
                </c:pt>
                <c:pt idx="72">
                  <c:v>8.3169674228775499</c:v>
                </c:pt>
                <c:pt idx="73">
                  <c:v>8.1034416222203411</c:v>
                </c:pt>
                <c:pt idx="74">
                  <c:v>9.3868749757745995</c:v>
                </c:pt>
                <c:pt idx="75">
                  <c:v>10.001890106130329</c:v>
                </c:pt>
                <c:pt idx="76">
                  <c:v>10.53450494492531</c:v>
                </c:pt>
                <c:pt idx="77">
                  <c:v>10.079645000679493</c:v>
                </c:pt>
                <c:pt idx="78">
                  <c:v>9.2695385020875651</c:v>
                </c:pt>
                <c:pt idx="79">
                  <c:v>9.3319670714285721</c:v>
                </c:pt>
                <c:pt idx="80">
                  <c:v>9.3507484000000005</c:v>
                </c:pt>
                <c:pt idx="81">
                  <c:v>9.1393145000000011</c:v>
                </c:pt>
                <c:pt idx="82">
                  <c:v>9.3182023928571436</c:v>
                </c:pt>
                <c:pt idx="83">
                  <c:v>8.4915669999999999</c:v>
                </c:pt>
                <c:pt idx="84">
                  <c:v>8.7708117500000018</c:v>
                </c:pt>
                <c:pt idx="85">
                  <c:v>8.3807119999999991</c:v>
                </c:pt>
                <c:pt idx="86">
                  <c:v>8.392033399999999</c:v>
                </c:pt>
                <c:pt idx="87">
                  <c:v>9.0058720000000001</c:v>
                </c:pt>
                <c:pt idx="88">
                  <c:v>8.8421802500000002</c:v>
                </c:pt>
                <c:pt idx="89">
                  <c:v>8.8086539142857134</c:v>
                </c:pt>
                <c:pt idx="90">
                  <c:v>8.7470832499999993</c:v>
                </c:pt>
                <c:pt idx="91">
                  <c:v>8.0430919999999997</c:v>
                </c:pt>
                <c:pt idx="92">
                  <c:v>8.2829257333333342</c:v>
                </c:pt>
                <c:pt idx="93">
                  <c:v>8.0659502500000002</c:v>
                </c:pt>
                <c:pt idx="94">
                  <c:v>7.306111333333333</c:v>
                </c:pt>
                <c:pt idx="95">
                  <c:v>6.5926217500000011</c:v>
                </c:pt>
                <c:pt idx="96">
                  <c:v>6.1419807500000001</c:v>
                </c:pt>
                <c:pt idx="97">
                  <c:v>6.0410722500000009</c:v>
                </c:pt>
              </c:numCache>
            </c:numRef>
          </c:val>
          <c:extLst>
            <c:ext xmlns:c16="http://schemas.microsoft.com/office/drawing/2014/chart" uri="{C3380CC4-5D6E-409C-BE32-E72D297353CC}">
              <c16:uniqueId val="{00000000-E20D-4FC3-BB2E-446E4C5570E9}"/>
            </c:ext>
          </c:extLst>
        </c:ser>
        <c:ser>
          <c:idx val="4"/>
          <c:order val="2"/>
          <c:tx>
            <c:v>Ethanol breakeven corn purchase price</c:v>
          </c:tx>
          <c:spPr>
            <a:solidFill>
              <a:schemeClr val="bg1"/>
            </a:soli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[0]!AW</c:f>
              <c:numCache>
                <c:formatCode>_("$"* #,##0.00_);_("$"* \(#,##0.00\);_("$"* "-"??_);_(@_)</c:formatCode>
                <c:ptCount val="98"/>
                <c:pt idx="0">
                  <c:v>3.0624059567702169</c:v>
                </c:pt>
                <c:pt idx="1">
                  <c:v>3.3293863892367992</c:v>
                </c:pt>
                <c:pt idx="2">
                  <c:v>3.2260790784143745</c:v>
                </c:pt>
                <c:pt idx="3">
                  <c:v>3.6189305072064712</c:v>
                </c:pt>
                <c:pt idx="4">
                  <c:v>3.9291876296788248</c:v>
                </c:pt>
                <c:pt idx="5">
                  <c:v>4.3899738660722658</c:v>
                </c:pt>
                <c:pt idx="6">
                  <c:v>3.9568289354423198</c:v>
                </c:pt>
                <c:pt idx="7">
                  <c:v>3.3847399175501245</c:v>
                </c:pt>
                <c:pt idx="8">
                  <c:v>3.5657697783601936</c:v>
                </c:pt>
                <c:pt idx="9">
                  <c:v>3.7452181611994448</c:v>
                </c:pt>
                <c:pt idx="10">
                  <c:v>3.8372439130495457</c:v>
                </c:pt>
                <c:pt idx="11">
                  <c:v>4.0667855330910658</c:v>
                </c:pt>
                <c:pt idx="12">
                  <c:v>3.3291288216272461</c:v>
                </c:pt>
                <c:pt idx="13">
                  <c:v>3.2845756560197659</c:v>
                </c:pt>
                <c:pt idx="14">
                  <c:v>3.3107154217643462</c:v>
                </c:pt>
                <c:pt idx="15">
                  <c:v>3.7225488539034952</c:v>
                </c:pt>
                <c:pt idx="16">
                  <c:v>3.437982024422046</c:v>
                </c:pt>
                <c:pt idx="17">
                  <c:v>3.6403929583586216</c:v>
                </c:pt>
                <c:pt idx="18">
                  <c:v>3.5806913559412448</c:v>
                </c:pt>
                <c:pt idx="19">
                  <c:v>3.6822384176453058</c:v>
                </c:pt>
                <c:pt idx="20">
                  <c:v>3.7045688121143487</c:v>
                </c:pt>
                <c:pt idx="21">
                  <c:v>3.4536062551432649</c:v>
                </c:pt>
                <c:pt idx="22">
                  <c:v>3.3687839116600671</c:v>
                </c:pt>
                <c:pt idx="23">
                  <c:v>3.125026445974461</c:v>
                </c:pt>
                <c:pt idx="24">
                  <c:v>3.2096674957725071</c:v>
                </c:pt>
                <c:pt idx="25">
                  <c:v>3.4261436412780895</c:v>
                </c:pt>
                <c:pt idx="26">
                  <c:v>3.7323975274535988</c:v>
                </c:pt>
                <c:pt idx="27">
                  <c:v>3.8842279406117552</c:v>
                </c:pt>
                <c:pt idx="28">
                  <c:v>4.0137188685431511</c:v>
                </c:pt>
                <c:pt idx="29">
                  <c:v>3.8247397495626361</c:v>
                </c:pt>
                <c:pt idx="30">
                  <c:v>3.4964734345636002</c:v>
                </c:pt>
                <c:pt idx="31">
                  <c:v>3.4633188843621756</c:v>
                </c:pt>
                <c:pt idx="32">
                  <c:v>3.0808588773456727</c:v>
                </c:pt>
                <c:pt idx="33">
                  <c:v>3.0243033559319343</c:v>
                </c:pt>
                <c:pt idx="34">
                  <c:v>3.0775413871983197</c:v>
                </c:pt>
                <c:pt idx="35">
                  <c:v>3.098499470077611</c:v>
                </c:pt>
                <c:pt idx="36">
                  <c:v>3.1712524786233978</c:v>
                </c:pt>
                <c:pt idx="37">
                  <c:v>3.1760455079614633</c:v>
                </c:pt>
                <c:pt idx="38">
                  <c:v>3.4020326128532847</c:v>
                </c:pt>
                <c:pt idx="39">
                  <c:v>3.4287733648888867</c:v>
                </c:pt>
                <c:pt idx="40">
                  <c:v>3.1671783585251028</c:v>
                </c:pt>
                <c:pt idx="41">
                  <c:v>3.8288113858393347</c:v>
                </c:pt>
                <c:pt idx="42">
                  <c:v>3.9423761316957506</c:v>
                </c:pt>
                <c:pt idx="43">
                  <c:v>3.5665625132460179</c:v>
                </c:pt>
                <c:pt idx="44">
                  <c:v>3.4129389096215883</c:v>
                </c:pt>
                <c:pt idx="45">
                  <c:v>3.9900167306866048</c:v>
                </c:pt>
                <c:pt idx="46">
                  <c:v>3.8328722643342492</c:v>
                </c:pt>
                <c:pt idx="47">
                  <c:v>3.6509014109805733</c:v>
                </c:pt>
                <c:pt idx="48">
                  <c:v>3.2809783313453842</c:v>
                </c:pt>
                <c:pt idx="49">
                  <c:v>3.3424938021544128</c:v>
                </c:pt>
                <c:pt idx="50">
                  <c:v>2.9003186074598708</c:v>
                </c:pt>
                <c:pt idx="51">
                  <c:v>2.448256624231036</c:v>
                </c:pt>
                <c:pt idx="52">
                  <c:v>2.6613522252881041</c:v>
                </c:pt>
                <c:pt idx="53">
                  <c:v>3.0987298236597232</c:v>
                </c:pt>
                <c:pt idx="54">
                  <c:v>3.2820951595973118</c:v>
                </c:pt>
                <c:pt idx="55">
                  <c:v>2.9875064903263904</c:v>
                </c:pt>
                <c:pt idx="56">
                  <c:v>3.4211922256440297</c:v>
                </c:pt>
                <c:pt idx="57">
                  <c:v>3.8033221395749224</c:v>
                </c:pt>
                <c:pt idx="58">
                  <c:v>3.9928700495194667</c:v>
                </c:pt>
                <c:pt idx="59">
                  <c:v>3.7274504981465642</c:v>
                </c:pt>
                <c:pt idx="60">
                  <c:v>4.4302404676477263</c:v>
                </c:pt>
                <c:pt idx="61">
                  <c:v>4.7462072539630418</c:v>
                </c:pt>
                <c:pt idx="62">
                  <c:v>5.3491730162741176</c:v>
                </c:pt>
                <c:pt idx="63">
                  <c:v>5.9600954784089133</c:v>
                </c:pt>
                <c:pt idx="64">
                  <c:v>7.5083989463142045</c:v>
                </c:pt>
                <c:pt idx="65">
                  <c:v>6.8968748153150319</c:v>
                </c:pt>
                <c:pt idx="66">
                  <c:v>6.1793600904346491</c:v>
                </c:pt>
                <c:pt idx="67">
                  <c:v>6.2709606095098591</c:v>
                </c:pt>
                <c:pt idx="68">
                  <c:v>6.6847383446116764</c:v>
                </c:pt>
                <c:pt idx="69">
                  <c:v>6.8663039986351633</c:v>
                </c:pt>
                <c:pt idx="70">
                  <c:v>8.6932113674930243</c:v>
                </c:pt>
                <c:pt idx="71">
                  <c:v>8.549610530826941</c:v>
                </c:pt>
                <c:pt idx="72">
                  <c:v>6.4124662883320962</c:v>
                </c:pt>
                <c:pt idx="73">
                  <c:v>6.1698704876748858</c:v>
                </c:pt>
                <c:pt idx="74">
                  <c:v>7.3968738412291435</c:v>
                </c:pt>
                <c:pt idx="75">
                  <c:v>8.0837089715848744</c:v>
                </c:pt>
                <c:pt idx="76">
                  <c:v>8.5872538103798544</c:v>
                </c:pt>
                <c:pt idx="77">
                  <c:v>8.1093088661340378</c:v>
                </c:pt>
                <c:pt idx="78">
                  <c:v>7.4137723675421103</c:v>
                </c:pt>
                <c:pt idx="79">
                  <c:v>7.4471309368831173</c:v>
                </c:pt>
                <c:pt idx="80">
                  <c:v>7.3513422654545453</c:v>
                </c:pt>
                <c:pt idx="81">
                  <c:v>7.2544783654545464</c:v>
                </c:pt>
                <c:pt idx="82">
                  <c:v>7.4667112583116886</c:v>
                </c:pt>
                <c:pt idx="83">
                  <c:v>6.5161008654545443</c:v>
                </c:pt>
                <c:pt idx="84">
                  <c:v>6.6594006154545466</c:v>
                </c:pt>
                <c:pt idx="85">
                  <c:v>6.359930865454543</c:v>
                </c:pt>
                <c:pt idx="86">
                  <c:v>6.5559322654545449</c:v>
                </c:pt>
                <c:pt idx="87">
                  <c:v>7.2937458654545457</c:v>
                </c:pt>
                <c:pt idx="88">
                  <c:v>7.1505741154545461</c:v>
                </c:pt>
                <c:pt idx="89">
                  <c:v>7.1136277797402592</c:v>
                </c:pt>
                <c:pt idx="90">
                  <c:v>7.0272621154545449</c:v>
                </c:pt>
                <c:pt idx="91">
                  <c:v>6.3412258654545459</c:v>
                </c:pt>
                <c:pt idx="92">
                  <c:v>6.6614295987878798</c:v>
                </c:pt>
                <c:pt idx="93">
                  <c:v>6.4683941154545463</c:v>
                </c:pt>
                <c:pt idx="94">
                  <c:v>5.6521251987878784</c:v>
                </c:pt>
                <c:pt idx="95">
                  <c:v>4.9129856154545468</c:v>
                </c:pt>
                <c:pt idx="96">
                  <c:v>4.4623446154545459</c:v>
                </c:pt>
                <c:pt idx="97">
                  <c:v>4.3614361154545467</c:v>
                </c:pt>
              </c:numCache>
            </c:numRef>
          </c:val>
          <c:extLst>
            <c:ext xmlns:c16="http://schemas.microsoft.com/office/drawing/2014/chart" uri="{C3380CC4-5D6E-409C-BE32-E72D297353CC}">
              <c16:uniqueId val="{00000001-E20D-4FC3-BB2E-446E4C5570E9}"/>
            </c:ext>
          </c:extLst>
        </c:ser>
        <c:ser>
          <c:idx val="1"/>
          <c:order val="3"/>
          <c:tx>
            <c:v>Cropland cash rent</c:v>
          </c:tx>
          <c:spPr>
            <a:solidFill>
              <a:schemeClr val="accent1">
                <a:lumMod val="60000"/>
                <a:lumOff val="40000"/>
              </a:schemeClr>
            </a:soli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[0]!AY</c:f>
              <c:numCache>
                <c:formatCode>_("$"* #,##0.00_);_("$"* \(#,##0.00\);_("$"* "-"??_);_(@_)</c:formatCode>
                <c:ptCount val="98"/>
                <c:pt idx="0">
                  <c:v>3.9565625</c:v>
                </c:pt>
                <c:pt idx="1">
                  <c:v>3.9565625</c:v>
                </c:pt>
                <c:pt idx="2">
                  <c:v>3.9565625</c:v>
                </c:pt>
                <c:pt idx="3">
                  <c:v>3.9565625</c:v>
                </c:pt>
                <c:pt idx="4">
                  <c:v>3.9565625</c:v>
                </c:pt>
                <c:pt idx="5">
                  <c:v>3.9565625</c:v>
                </c:pt>
                <c:pt idx="6">
                  <c:v>3.9565625</c:v>
                </c:pt>
                <c:pt idx="7">
                  <c:v>3.9565625</c:v>
                </c:pt>
                <c:pt idx="8">
                  <c:v>3.5633399014778329</c:v>
                </c:pt>
                <c:pt idx="9">
                  <c:v>3.5633399014778329</c:v>
                </c:pt>
                <c:pt idx="10">
                  <c:v>3.5633399014778329</c:v>
                </c:pt>
                <c:pt idx="11">
                  <c:v>3.5633399014778329</c:v>
                </c:pt>
                <c:pt idx="12">
                  <c:v>3.5633399014778329</c:v>
                </c:pt>
                <c:pt idx="13">
                  <c:v>3.5633399014778329</c:v>
                </c:pt>
                <c:pt idx="14">
                  <c:v>3.5633399014778329</c:v>
                </c:pt>
                <c:pt idx="15">
                  <c:v>3.5633399014778329</c:v>
                </c:pt>
                <c:pt idx="16">
                  <c:v>3.5633399014778329</c:v>
                </c:pt>
                <c:pt idx="17">
                  <c:v>3.5633399014778329</c:v>
                </c:pt>
                <c:pt idx="18">
                  <c:v>3.5633399014778329</c:v>
                </c:pt>
                <c:pt idx="19">
                  <c:v>3.5633399014778329</c:v>
                </c:pt>
                <c:pt idx="20">
                  <c:v>3.3681930693069306</c:v>
                </c:pt>
                <c:pt idx="21">
                  <c:v>3.3681930693069306</c:v>
                </c:pt>
                <c:pt idx="22">
                  <c:v>3.3681930693069306</c:v>
                </c:pt>
                <c:pt idx="23">
                  <c:v>3.3681930693069306</c:v>
                </c:pt>
                <c:pt idx="24">
                  <c:v>3.3681930693069306</c:v>
                </c:pt>
                <c:pt idx="25">
                  <c:v>3.3681930693069306</c:v>
                </c:pt>
                <c:pt idx="26">
                  <c:v>3.3681930693069306</c:v>
                </c:pt>
                <c:pt idx="27">
                  <c:v>3.3681930693069306</c:v>
                </c:pt>
                <c:pt idx="28">
                  <c:v>3.3681930693069306</c:v>
                </c:pt>
                <c:pt idx="29">
                  <c:v>3.3681930693069306</c:v>
                </c:pt>
                <c:pt idx="30">
                  <c:v>3.3681930693069306</c:v>
                </c:pt>
                <c:pt idx="31">
                  <c:v>3.3681930693069306</c:v>
                </c:pt>
                <c:pt idx="32">
                  <c:v>3.436173469387755</c:v>
                </c:pt>
                <c:pt idx="33">
                  <c:v>3.436173469387755</c:v>
                </c:pt>
                <c:pt idx="34">
                  <c:v>3.436173469387755</c:v>
                </c:pt>
                <c:pt idx="35">
                  <c:v>3.436173469387755</c:v>
                </c:pt>
                <c:pt idx="36">
                  <c:v>3.436173469387755</c:v>
                </c:pt>
                <c:pt idx="37">
                  <c:v>3.436173469387755</c:v>
                </c:pt>
                <c:pt idx="38">
                  <c:v>3.436173469387755</c:v>
                </c:pt>
                <c:pt idx="39">
                  <c:v>3.436173469387755</c:v>
                </c:pt>
                <c:pt idx="40">
                  <c:v>3.436173469387755</c:v>
                </c:pt>
                <c:pt idx="41">
                  <c:v>3.436173469387755</c:v>
                </c:pt>
                <c:pt idx="42">
                  <c:v>3.436173469387755</c:v>
                </c:pt>
                <c:pt idx="43">
                  <c:v>3.436173469387755</c:v>
                </c:pt>
                <c:pt idx="44">
                  <c:v>3.5933333333333333</c:v>
                </c:pt>
                <c:pt idx="45">
                  <c:v>3.5933333333333333</c:v>
                </c:pt>
                <c:pt idx="46">
                  <c:v>3.5933333333333333</c:v>
                </c:pt>
                <c:pt idx="47">
                  <c:v>3.5933333333333333</c:v>
                </c:pt>
                <c:pt idx="48">
                  <c:v>3.5933333333333333</c:v>
                </c:pt>
                <c:pt idx="49">
                  <c:v>3.5933333333333333</c:v>
                </c:pt>
                <c:pt idx="50">
                  <c:v>3.5933333333333333</c:v>
                </c:pt>
                <c:pt idx="51">
                  <c:v>3.5933333333333333</c:v>
                </c:pt>
                <c:pt idx="52">
                  <c:v>3.5933333333333333</c:v>
                </c:pt>
                <c:pt idx="53">
                  <c:v>3.5933333333333333</c:v>
                </c:pt>
                <c:pt idx="54">
                  <c:v>3.5933333333333333</c:v>
                </c:pt>
                <c:pt idx="55">
                  <c:v>3.5933333333333333</c:v>
                </c:pt>
                <c:pt idx="56">
                  <c:v>3.9647231638418079</c:v>
                </c:pt>
                <c:pt idx="57">
                  <c:v>3.9647231638418079</c:v>
                </c:pt>
                <c:pt idx="58">
                  <c:v>3.9647231638418079</c:v>
                </c:pt>
                <c:pt idx="59">
                  <c:v>3.9647231638418079</c:v>
                </c:pt>
                <c:pt idx="60">
                  <c:v>3.9647231638418079</c:v>
                </c:pt>
                <c:pt idx="61">
                  <c:v>3.9647231638418079</c:v>
                </c:pt>
                <c:pt idx="62">
                  <c:v>3.9647231638418079</c:v>
                </c:pt>
                <c:pt idx="63">
                  <c:v>3.9647231638418079</c:v>
                </c:pt>
                <c:pt idx="64">
                  <c:v>3.9647231638418079</c:v>
                </c:pt>
                <c:pt idx="65">
                  <c:v>3.9647231638418079</c:v>
                </c:pt>
                <c:pt idx="66">
                  <c:v>3.9647231638418079</c:v>
                </c:pt>
                <c:pt idx="67">
                  <c:v>3.9647231638418079</c:v>
                </c:pt>
                <c:pt idx="68">
                  <c:v>3.5881372549019606</c:v>
                </c:pt>
                <c:pt idx="69">
                  <c:v>3.5881372549019606</c:v>
                </c:pt>
                <c:pt idx="70">
                  <c:v>3.5881372549019606</c:v>
                </c:pt>
                <c:pt idx="71">
                  <c:v>3.5881372549019606</c:v>
                </c:pt>
                <c:pt idx="72">
                  <c:v>3.5881372549019606</c:v>
                </c:pt>
                <c:pt idx="73">
                  <c:v>3.5881372549019606</c:v>
                </c:pt>
                <c:pt idx="74">
                  <c:v>3.5881372549019606</c:v>
                </c:pt>
                <c:pt idx="75">
                  <c:v>3.5881372549019606</c:v>
                </c:pt>
                <c:pt idx="76">
                  <c:v>3.5881372549019606</c:v>
                </c:pt>
                <c:pt idx="77">
                  <c:v>3.5881372549019606</c:v>
                </c:pt>
                <c:pt idx="78">
                  <c:v>3.5881372549019606</c:v>
                </c:pt>
                <c:pt idx="79">
                  <c:v>3.5881372549019606</c:v>
                </c:pt>
                <c:pt idx="80">
                  <c:v>4.5119250000000006</c:v>
                </c:pt>
                <c:pt idx="81">
                  <c:v>4.5119250000000006</c:v>
                </c:pt>
                <c:pt idx="82">
                  <c:v>4.5119250000000006</c:v>
                </c:pt>
                <c:pt idx="83">
                  <c:v>4.5119250000000006</c:v>
                </c:pt>
                <c:pt idx="84">
                  <c:v>4.5119250000000006</c:v>
                </c:pt>
                <c:pt idx="85">
                  <c:v>4.5119250000000006</c:v>
                </c:pt>
                <c:pt idx="86">
                  <c:v>4.5119250000000006</c:v>
                </c:pt>
                <c:pt idx="87">
                  <c:v>4.5119250000000006</c:v>
                </c:pt>
                <c:pt idx="88">
                  <c:v>4.5119250000000006</c:v>
                </c:pt>
                <c:pt idx="89">
                  <c:v>4.5119250000000006</c:v>
                </c:pt>
                <c:pt idx="90">
                  <c:v>4.5119250000000006</c:v>
                </c:pt>
                <c:pt idx="91">
                  <c:v>4.5119250000000006</c:v>
                </c:pt>
                <c:pt idx="92">
                  <c:v>5.3325842105263153</c:v>
                </c:pt>
                <c:pt idx="93">
                  <c:v>5.3325842105263153</c:v>
                </c:pt>
                <c:pt idx="94">
                  <c:v>5.3325842105263153</c:v>
                </c:pt>
                <c:pt idx="95">
                  <c:v>5.3325842105263153</c:v>
                </c:pt>
                <c:pt idx="96">
                  <c:v>5.3325842105263153</c:v>
                </c:pt>
                <c:pt idx="97">
                  <c:v>5.3325842105263153</c:v>
                </c:pt>
              </c:numCache>
            </c:numRef>
          </c:val>
          <c:extLst>
            <c:ext xmlns:c16="http://schemas.microsoft.com/office/drawing/2014/chart" uri="{C3380CC4-5D6E-409C-BE32-E72D297353CC}">
              <c16:uniqueId val="{00000002-E20D-4FC3-BB2E-446E4C5570E9}"/>
            </c:ext>
          </c:extLst>
        </c:ser>
        <c:ser>
          <c:idx val="0"/>
          <c:order val="4"/>
          <c:tx>
            <c:v>Corn production input costs</c:v>
          </c:tx>
          <c:spPr>
            <a:solidFill>
              <a:schemeClr val="accent3">
                <a:lumMod val="75000"/>
              </a:schemeClr>
            </a:soli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[0]!BA</c:f>
              <c:numCache>
                <c:formatCode>_("$"* #,##0.00_);_("$"* \(#,##0.00\);_("$"* "-"??_);_(@_)</c:formatCode>
                <c:ptCount val="98"/>
                <c:pt idx="0">
                  <c:v>2.6753125</c:v>
                </c:pt>
                <c:pt idx="1">
                  <c:v>2.6753125</c:v>
                </c:pt>
                <c:pt idx="2">
                  <c:v>2.6753125</c:v>
                </c:pt>
                <c:pt idx="3">
                  <c:v>2.6753125</c:v>
                </c:pt>
                <c:pt idx="4">
                  <c:v>2.6753125</c:v>
                </c:pt>
                <c:pt idx="5">
                  <c:v>2.6753125</c:v>
                </c:pt>
                <c:pt idx="6">
                  <c:v>2.6753125</c:v>
                </c:pt>
                <c:pt idx="7">
                  <c:v>2.6753125</c:v>
                </c:pt>
                <c:pt idx="8">
                  <c:v>2.4303349753694583</c:v>
                </c:pt>
                <c:pt idx="9">
                  <c:v>2.4303349753694583</c:v>
                </c:pt>
                <c:pt idx="10">
                  <c:v>2.4303349753694583</c:v>
                </c:pt>
                <c:pt idx="11">
                  <c:v>2.4303349753694583</c:v>
                </c:pt>
                <c:pt idx="12">
                  <c:v>2.4303349753694583</c:v>
                </c:pt>
                <c:pt idx="13">
                  <c:v>2.4303349753694583</c:v>
                </c:pt>
                <c:pt idx="14">
                  <c:v>2.4303349753694583</c:v>
                </c:pt>
                <c:pt idx="15">
                  <c:v>2.4303349753694583</c:v>
                </c:pt>
                <c:pt idx="16">
                  <c:v>2.4303349753694583</c:v>
                </c:pt>
                <c:pt idx="17">
                  <c:v>2.4303349753694583</c:v>
                </c:pt>
                <c:pt idx="18">
                  <c:v>2.4303349753694583</c:v>
                </c:pt>
                <c:pt idx="19">
                  <c:v>2.4303349753694583</c:v>
                </c:pt>
                <c:pt idx="20">
                  <c:v>2.2840346534653464</c:v>
                </c:pt>
                <c:pt idx="21">
                  <c:v>2.2840346534653464</c:v>
                </c:pt>
                <c:pt idx="22">
                  <c:v>2.2840346534653464</c:v>
                </c:pt>
                <c:pt idx="23">
                  <c:v>2.2840346534653464</c:v>
                </c:pt>
                <c:pt idx="24">
                  <c:v>2.2840346534653464</c:v>
                </c:pt>
                <c:pt idx="25">
                  <c:v>2.2840346534653464</c:v>
                </c:pt>
                <c:pt idx="26">
                  <c:v>2.2840346534653464</c:v>
                </c:pt>
                <c:pt idx="27">
                  <c:v>2.2840346534653464</c:v>
                </c:pt>
                <c:pt idx="28">
                  <c:v>2.2840346534653464</c:v>
                </c:pt>
                <c:pt idx="29">
                  <c:v>2.2840346534653464</c:v>
                </c:pt>
                <c:pt idx="30">
                  <c:v>2.2840346534653464</c:v>
                </c:pt>
                <c:pt idx="31">
                  <c:v>2.2840346534653464</c:v>
                </c:pt>
                <c:pt idx="32">
                  <c:v>2.3035204081632652</c:v>
                </c:pt>
                <c:pt idx="33">
                  <c:v>2.3035204081632652</c:v>
                </c:pt>
                <c:pt idx="34">
                  <c:v>2.3035204081632652</c:v>
                </c:pt>
                <c:pt idx="35">
                  <c:v>2.3035204081632652</c:v>
                </c:pt>
                <c:pt idx="36">
                  <c:v>2.3035204081632652</c:v>
                </c:pt>
                <c:pt idx="37">
                  <c:v>2.3035204081632652</c:v>
                </c:pt>
                <c:pt idx="38">
                  <c:v>2.3035204081632652</c:v>
                </c:pt>
                <c:pt idx="39">
                  <c:v>2.3035204081632652</c:v>
                </c:pt>
                <c:pt idx="40">
                  <c:v>2.3035204081632652</c:v>
                </c:pt>
                <c:pt idx="41">
                  <c:v>2.3035204081632652</c:v>
                </c:pt>
                <c:pt idx="42">
                  <c:v>2.3035204081632652</c:v>
                </c:pt>
                <c:pt idx="43">
                  <c:v>2.3035204081632652</c:v>
                </c:pt>
                <c:pt idx="44">
                  <c:v>2.4872727272727273</c:v>
                </c:pt>
                <c:pt idx="45">
                  <c:v>2.4872727272727273</c:v>
                </c:pt>
                <c:pt idx="46">
                  <c:v>2.4872727272727273</c:v>
                </c:pt>
                <c:pt idx="47">
                  <c:v>2.4872727272727273</c:v>
                </c:pt>
                <c:pt idx="48">
                  <c:v>2.4872727272727273</c:v>
                </c:pt>
                <c:pt idx="49">
                  <c:v>2.4872727272727273</c:v>
                </c:pt>
                <c:pt idx="50">
                  <c:v>2.4872727272727273</c:v>
                </c:pt>
                <c:pt idx="51">
                  <c:v>2.4872727272727273</c:v>
                </c:pt>
                <c:pt idx="52">
                  <c:v>2.4872727272727273</c:v>
                </c:pt>
                <c:pt idx="53">
                  <c:v>2.4872727272727273</c:v>
                </c:pt>
                <c:pt idx="54">
                  <c:v>2.4872727272727273</c:v>
                </c:pt>
                <c:pt idx="55">
                  <c:v>2.4872727272727273</c:v>
                </c:pt>
                <c:pt idx="56">
                  <c:v>2.7104858757062145</c:v>
                </c:pt>
                <c:pt idx="57">
                  <c:v>2.7104858757062145</c:v>
                </c:pt>
                <c:pt idx="58">
                  <c:v>2.7104858757062145</c:v>
                </c:pt>
                <c:pt idx="59">
                  <c:v>2.7104858757062145</c:v>
                </c:pt>
                <c:pt idx="60">
                  <c:v>2.7104858757062145</c:v>
                </c:pt>
                <c:pt idx="61">
                  <c:v>2.7104858757062145</c:v>
                </c:pt>
                <c:pt idx="62">
                  <c:v>2.7104858757062145</c:v>
                </c:pt>
                <c:pt idx="63">
                  <c:v>2.7104858757062145</c:v>
                </c:pt>
                <c:pt idx="64">
                  <c:v>2.7104858757062145</c:v>
                </c:pt>
                <c:pt idx="65">
                  <c:v>2.7104858757062145</c:v>
                </c:pt>
                <c:pt idx="66">
                  <c:v>2.7104858757062145</c:v>
                </c:pt>
                <c:pt idx="67">
                  <c:v>2.7104858757062145</c:v>
                </c:pt>
                <c:pt idx="68">
                  <c:v>2.4508823529411763</c:v>
                </c:pt>
                <c:pt idx="69">
                  <c:v>2.4508823529411763</c:v>
                </c:pt>
                <c:pt idx="70">
                  <c:v>2.4508823529411763</c:v>
                </c:pt>
                <c:pt idx="71">
                  <c:v>2.4508823529411763</c:v>
                </c:pt>
                <c:pt idx="72">
                  <c:v>2.4508823529411763</c:v>
                </c:pt>
                <c:pt idx="73">
                  <c:v>2.4508823529411763</c:v>
                </c:pt>
                <c:pt idx="74">
                  <c:v>2.4508823529411763</c:v>
                </c:pt>
                <c:pt idx="75">
                  <c:v>2.4508823529411763</c:v>
                </c:pt>
                <c:pt idx="76">
                  <c:v>2.4508823529411763</c:v>
                </c:pt>
                <c:pt idx="77">
                  <c:v>2.4508823529411763</c:v>
                </c:pt>
                <c:pt idx="78">
                  <c:v>2.4508823529411763</c:v>
                </c:pt>
                <c:pt idx="79">
                  <c:v>2.4508823529411763</c:v>
                </c:pt>
                <c:pt idx="80">
                  <c:v>3.2319250000000004</c:v>
                </c:pt>
                <c:pt idx="81">
                  <c:v>3.2319250000000004</c:v>
                </c:pt>
                <c:pt idx="82">
                  <c:v>3.2319250000000004</c:v>
                </c:pt>
                <c:pt idx="83">
                  <c:v>3.2319250000000004</c:v>
                </c:pt>
                <c:pt idx="84">
                  <c:v>3.2319250000000004</c:v>
                </c:pt>
                <c:pt idx="85">
                  <c:v>3.2319250000000004</c:v>
                </c:pt>
                <c:pt idx="86">
                  <c:v>3.2319250000000004</c:v>
                </c:pt>
                <c:pt idx="87">
                  <c:v>3.2319250000000004</c:v>
                </c:pt>
                <c:pt idx="88">
                  <c:v>3.2319250000000004</c:v>
                </c:pt>
                <c:pt idx="89">
                  <c:v>3.2319250000000004</c:v>
                </c:pt>
                <c:pt idx="90">
                  <c:v>3.2319250000000004</c:v>
                </c:pt>
                <c:pt idx="91">
                  <c:v>3.2319250000000004</c:v>
                </c:pt>
                <c:pt idx="92">
                  <c:v>3.8641631578947364</c:v>
                </c:pt>
                <c:pt idx="93">
                  <c:v>3.8641631578947364</c:v>
                </c:pt>
                <c:pt idx="94">
                  <c:v>3.8641631578947364</c:v>
                </c:pt>
                <c:pt idx="95">
                  <c:v>3.8641631578947364</c:v>
                </c:pt>
                <c:pt idx="96">
                  <c:v>3.8641631578947364</c:v>
                </c:pt>
                <c:pt idx="97">
                  <c:v>3.8641631578947364</c:v>
                </c:pt>
              </c:numCache>
            </c:numRef>
          </c:val>
          <c:extLst>
            <c:ext xmlns:c16="http://schemas.microsoft.com/office/drawing/2014/chart" uri="{C3380CC4-5D6E-409C-BE32-E72D297353CC}">
              <c16:uniqueId val="{00000003-E20D-4FC3-BB2E-446E4C5570E9}"/>
            </c:ext>
          </c:extLst>
        </c:ser>
        <c:dLbls>
          <c:showLegendKey val="0"/>
          <c:showVal val="0"/>
          <c:showCatName val="0"/>
          <c:showSerName val="0"/>
          <c:showPercent val="0"/>
          <c:showBubbleSize val="0"/>
        </c:dLbls>
        <c:axId val="235730512"/>
        <c:axId val="235731072"/>
      </c:areaChart>
      <c:lineChart>
        <c:grouping val="standard"/>
        <c:varyColors val="0"/>
        <c:ser>
          <c:idx val="3"/>
          <c:order val="0"/>
          <c:tx>
            <c:v>Ethanol producer revenue</c:v>
          </c:tx>
          <c:spPr>
            <a:ln w="34925" cap="rnd">
              <a:solidFill>
                <a:schemeClr val="accent2"/>
              </a:solidFill>
              <a:round/>
            </a:ln>
            <a:effectLst>
              <a:outerShdw blurRad="40000" dist="23000" dir="5400000" rotWithShape="0">
                <a:srgbClr val="000000">
                  <a:alpha val="35000"/>
                </a:srgbClr>
              </a:outerShdw>
            </a:effectLst>
          </c:spPr>
          <c:marker>
            <c:symbol val="circle"/>
            <c:size val="5"/>
            <c:spPr>
              <a:solidFill>
                <a:schemeClr val="bg1"/>
              </a:solidFill>
              <a:ln w="12700">
                <a:solidFill>
                  <a:srgbClr val="C00000"/>
                </a:solidFill>
                <a:round/>
              </a:ln>
              <a:effectLst>
                <a:outerShdw blurRad="40000" dist="23000" dir="5400000" rotWithShape="0">
                  <a:srgbClr val="000000">
                    <a:alpha val="35000"/>
                  </a:srgbClr>
                </a:outerShdw>
              </a:effectLst>
            </c:spPr>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[0]!AV</c:f>
              <c:numCache>
                <c:formatCode>_("$"* #,##0.00_);_("$"* \(#,##0.00\);_("$"* "-"??_);_(@_)</c:formatCode>
                <c:ptCount val="98"/>
                <c:pt idx="0">
                  <c:v>4.6753520913156708</c:v>
                </c:pt>
                <c:pt idx="1">
                  <c:v>4.8867575237822534</c:v>
                </c:pt>
                <c:pt idx="2">
                  <c:v>4.8262002129598285</c:v>
                </c:pt>
                <c:pt idx="3">
                  <c:v>5.1831416417519254</c:v>
                </c:pt>
                <c:pt idx="4">
                  <c:v>5.4617637642242789</c:v>
                </c:pt>
                <c:pt idx="5">
                  <c:v>5.9541850006177208</c:v>
                </c:pt>
                <c:pt idx="6">
                  <c:v>5.5398500699877742</c:v>
                </c:pt>
                <c:pt idx="7">
                  <c:v>4.9395460520955785</c:v>
                </c:pt>
                <c:pt idx="8">
                  <c:v>5.1744409129056477</c:v>
                </c:pt>
                <c:pt idx="9">
                  <c:v>5.3521792957448993</c:v>
                </c:pt>
                <c:pt idx="10">
                  <c:v>5.4219750475949997</c:v>
                </c:pt>
                <c:pt idx="11">
                  <c:v>5.6917016676365204</c:v>
                </c:pt>
                <c:pt idx="12">
                  <c:v>4.9600299561727006</c:v>
                </c:pt>
                <c:pt idx="13">
                  <c:v>4.90863679056522</c:v>
                </c:pt>
                <c:pt idx="14">
                  <c:v>4.8963015563098002</c:v>
                </c:pt>
                <c:pt idx="15">
                  <c:v>5.3397699884489498</c:v>
                </c:pt>
                <c:pt idx="16">
                  <c:v>5.0765781589675001</c:v>
                </c:pt>
                <c:pt idx="17">
                  <c:v>5.2960890929040758</c:v>
                </c:pt>
                <c:pt idx="18">
                  <c:v>5.2295474904866994</c:v>
                </c:pt>
                <c:pt idx="19">
                  <c:v>5.3097195521907601</c:v>
                </c:pt>
                <c:pt idx="20">
                  <c:v>5.3448749466598029</c:v>
                </c:pt>
                <c:pt idx="21">
                  <c:v>5.070827389688719</c:v>
                </c:pt>
                <c:pt idx="22">
                  <c:v>4.9911350462055211</c:v>
                </c:pt>
                <c:pt idx="23">
                  <c:v>4.7841425805199149</c:v>
                </c:pt>
                <c:pt idx="24">
                  <c:v>4.868783630317961</c:v>
                </c:pt>
                <c:pt idx="25">
                  <c:v>5.1305747758235434</c:v>
                </c:pt>
                <c:pt idx="26">
                  <c:v>5.3684286619990527</c:v>
                </c:pt>
                <c:pt idx="27">
                  <c:v>5.5117090751572091</c:v>
                </c:pt>
                <c:pt idx="28">
                  <c:v>5.5719450030886044</c:v>
                </c:pt>
                <c:pt idx="29">
                  <c:v>5.3795458841080901</c:v>
                </c:pt>
                <c:pt idx="30">
                  <c:v>5.0623945691090544</c:v>
                </c:pt>
                <c:pt idx="31">
                  <c:v>5.0574550189076302</c:v>
                </c:pt>
                <c:pt idx="32">
                  <c:v>4.7254400118911271</c:v>
                </c:pt>
                <c:pt idx="33">
                  <c:v>4.6406694904773884</c:v>
                </c:pt>
                <c:pt idx="34">
                  <c:v>4.7597425217437737</c:v>
                </c:pt>
                <c:pt idx="35">
                  <c:v>4.8260156046230653</c:v>
                </c:pt>
                <c:pt idx="36">
                  <c:v>4.7773586131688521</c:v>
                </c:pt>
                <c:pt idx="37">
                  <c:v>4.7599216425069173</c:v>
                </c:pt>
                <c:pt idx="38">
                  <c:v>5.0021537473987392</c:v>
                </c:pt>
                <c:pt idx="39">
                  <c:v>4.981014499434341</c:v>
                </c:pt>
                <c:pt idx="40">
                  <c:v>4.7048844930705567</c:v>
                </c:pt>
                <c:pt idx="41">
                  <c:v>5.3673725203847891</c:v>
                </c:pt>
                <c:pt idx="42">
                  <c:v>5.4510122662412046</c:v>
                </c:pt>
                <c:pt idx="43">
                  <c:v>5.0572436477914717</c:v>
                </c:pt>
                <c:pt idx="44">
                  <c:v>4.9412400441670421</c:v>
                </c:pt>
                <c:pt idx="45">
                  <c:v>5.5243028652320589</c:v>
                </c:pt>
                <c:pt idx="46">
                  <c:v>5.3697233988797031</c:v>
                </c:pt>
                <c:pt idx="47">
                  <c:v>5.1963025455260272</c:v>
                </c:pt>
                <c:pt idx="48">
                  <c:v>4.8759694658908384</c:v>
                </c:pt>
                <c:pt idx="49">
                  <c:v>4.8801999366998672</c:v>
                </c:pt>
                <c:pt idx="50">
                  <c:v>4.4414447420053254</c:v>
                </c:pt>
                <c:pt idx="51">
                  <c:v>3.9688627587764906</c:v>
                </c:pt>
                <c:pt idx="52">
                  <c:v>4.1982033598335589</c:v>
                </c:pt>
                <c:pt idx="53">
                  <c:v>4.5894109582051774</c:v>
                </c:pt>
                <c:pt idx="54">
                  <c:v>4.7770512941427663</c:v>
                </c:pt>
                <c:pt idx="55">
                  <c:v>4.5277776248718444</c:v>
                </c:pt>
                <c:pt idx="56">
                  <c:v>5.0247333601894839</c:v>
                </c:pt>
                <c:pt idx="57">
                  <c:v>5.3777932741203767</c:v>
                </c:pt>
                <c:pt idx="58">
                  <c:v>5.6605361840649211</c:v>
                </c:pt>
                <c:pt idx="59">
                  <c:v>5.3532216326920183</c:v>
                </c:pt>
                <c:pt idx="60">
                  <c:v>5.9970166021931801</c:v>
                </c:pt>
                <c:pt idx="61">
                  <c:v>6.5617883885084956</c:v>
                </c:pt>
                <c:pt idx="62">
                  <c:v>7.078399150819572</c:v>
                </c:pt>
                <c:pt idx="63">
                  <c:v>7.6474266129543675</c:v>
                </c:pt>
                <c:pt idx="64">
                  <c:v>9.2034250808596596</c:v>
                </c:pt>
                <c:pt idx="65">
                  <c:v>8.5876259498604863</c:v>
                </c:pt>
                <c:pt idx="66">
                  <c:v>7.901746224980104</c:v>
                </c:pt>
                <c:pt idx="67">
                  <c:v>8.0737167440553144</c:v>
                </c:pt>
                <c:pt idx="68">
                  <c:v>8.4968994791571308</c:v>
                </c:pt>
                <c:pt idx="69">
                  <c:v>8.7246351331806178</c:v>
                </c:pt>
                <c:pt idx="70">
                  <c:v>10.625927502038479</c:v>
                </c:pt>
                <c:pt idx="71">
                  <c:v>10.584926665372395</c:v>
                </c:pt>
                <c:pt idx="72">
                  <c:v>8.3169674228775499</c:v>
                </c:pt>
                <c:pt idx="73">
                  <c:v>8.1034416222203411</c:v>
                </c:pt>
                <c:pt idx="74">
                  <c:v>9.3868749757745995</c:v>
                </c:pt>
                <c:pt idx="75">
                  <c:v>10.001890106130329</c:v>
                </c:pt>
                <c:pt idx="76">
                  <c:v>10.53450494492531</c:v>
                </c:pt>
                <c:pt idx="77">
                  <c:v>10.079645000679493</c:v>
                </c:pt>
                <c:pt idx="78">
                  <c:v>9.2695385020875651</c:v>
                </c:pt>
                <c:pt idx="79">
                  <c:v>9.3319670714285721</c:v>
                </c:pt>
                <c:pt idx="80">
                  <c:v>9.3507484000000005</c:v>
                </c:pt>
                <c:pt idx="81">
                  <c:v>9.1393145000000011</c:v>
                </c:pt>
                <c:pt idx="82">
                  <c:v>9.3182023928571436</c:v>
                </c:pt>
                <c:pt idx="83">
                  <c:v>8.4915669999999999</c:v>
                </c:pt>
                <c:pt idx="84">
                  <c:v>8.7708117500000018</c:v>
                </c:pt>
                <c:pt idx="85">
                  <c:v>8.3807119999999991</c:v>
                </c:pt>
                <c:pt idx="86">
                  <c:v>8.392033399999999</c:v>
                </c:pt>
                <c:pt idx="87">
                  <c:v>9.0058720000000001</c:v>
                </c:pt>
                <c:pt idx="88">
                  <c:v>8.8421802500000002</c:v>
                </c:pt>
                <c:pt idx="89">
                  <c:v>8.8086539142857134</c:v>
                </c:pt>
                <c:pt idx="90">
                  <c:v>8.7470832499999993</c:v>
                </c:pt>
                <c:pt idx="91">
                  <c:v>8.0430919999999997</c:v>
                </c:pt>
                <c:pt idx="92">
                  <c:v>8.2829257333333342</c:v>
                </c:pt>
                <c:pt idx="93">
                  <c:v>8.0659502500000002</c:v>
                </c:pt>
                <c:pt idx="94">
                  <c:v>7.306111333333333</c:v>
                </c:pt>
                <c:pt idx="95">
                  <c:v>6.5926217500000011</c:v>
                </c:pt>
                <c:pt idx="96">
                  <c:v>6.1419807500000001</c:v>
                </c:pt>
                <c:pt idx="97">
                  <c:v>6.0410722500000009</c:v>
                </c:pt>
              </c:numCache>
            </c:numRef>
          </c:val>
          <c:smooth val="0"/>
          <c:extLst>
            <c:ext xmlns:c16="http://schemas.microsoft.com/office/drawing/2014/chart" uri="{C3380CC4-5D6E-409C-BE32-E72D297353CC}">
              <c16:uniqueId val="{00000004-E20D-4FC3-BB2E-446E4C5570E9}"/>
            </c:ext>
          </c:extLst>
        </c:ser>
        <c:ser>
          <c:idx val="2"/>
          <c:order val="5"/>
          <c:tx>
            <c:v>Corn price</c:v>
          </c:tx>
          <c:spPr>
            <a:ln w="34925" cap="rnd">
              <a:solidFill>
                <a:srgbClr val="CC0000"/>
              </a:solidFill>
              <a:round/>
            </a:ln>
            <a:effectLst>
              <a:outerShdw blurRad="40000" dist="23000" dir="5400000" rotWithShape="0">
                <a:srgbClr val="000000">
                  <a:alpha val="35000"/>
                </a:srgbClr>
              </a:outerShdw>
            </a:effectLst>
          </c:spPr>
          <c:marker>
            <c:symbol val="circle"/>
            <c:size val="5"/>
            <c:spPr>
              <a:solidFill>
                <a:srgbClr val="FFFF99"/>
              </a:solidFill>
              <a:ln w="12700">
                <a:solidFill>
                  <a:schemeClr val="accent2"/>
                </a:solidFill>
                <a:round/>
              </a:ln>
              <a:effectLst>
                <a:outerShdw blurRad="40000" dist="23000" dir="5400000" rotWithShape="0">
                  <a:srgbClr val="000000">
                    <a:alpha val="35000"/>
                  </a:srgbClr>
                </a:outerShdw>
              </a:effectLst>
            </c:spPr>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[0]!AU</c:f>
              <c:numCache>
                <c:formatCode>_("$"* #,##0.00_);_("$"* \(#,##0.00\);_("$"* "-"??_);_(@_)</c:formatCode>
                <c:ptCount val="98"/>
                <c:pt idx="0">
                  <c:v>3.4529276250538077</c:v>
                </c:pt>
                <c:pt idx="1">
                  <c:v>3.4756249994039536</c:v>
                </c:pt>
                <c:pt idx="2">
                  <c:v>3.4381521688336911</c:v>
                </c:pt>
                <c:pt idx="3">
                  <c:v>3.4765476158687045</c:v>
                </c:pt>
                <c:pt idx="4">
                  <c:v>3.607440488792601</c:v>
                </c:pt>
                <c:pt idx="5">
                  <c:v>3.7821590792049062</c:v>
                </c:pt>
                <c:pt idx="6">
                  <c:v>3.1680624932050705</c:v>
                </c:pt>
                <c:pt idx="7">
                  <c:v>3.0150543373564016</c:v>
                </c:pt>
                <c:pt idx="8">
                  <c:v>3.0030059619176956</c:v>
                </c:pt>
                <c:pt idx="9">
                  <c:v>3.1482142891202698</c:v>
                </c:pt>
                <c:pt idx="10">
                  <c:v>3.1478749930999999</c:v>
                </c:pt>
                <c:pt idx="11">
                  <c:v>3.2467857101985</c:v>
                </c:pt>
                <c:pt idx="12">
                  <c:v>3.3792499899864001</c:v>
                </c:pt>
                <c:pt idx="13">
                  <c:v>3.4148684143999999</c:v>
                </c:pt>
                <c:pt idx="14">
                  <c:v>3.340516311</c:v>
                </c:pt>
                <c:pt idx="15">
                  <c:v>3.363593751192</c:v>
                </c:pt>
                <c:pt idx="16">
                  <c:v>3.3967613659100002</c:v>
                </c:pt>
                <c:pt idx="17">
                  <c:v>3.3717897724000001</c:v>
                </c:pt>
                <c:pt idx="18">
                  <c:v>3.4018750101299999</c:v>
                </c:pt>
                <c:pt idx="19">
                  <c:v>3.1971591061</c:v>
                </c:pt>
                <c:pt idx="20">
                  <c:v>3.1779375314712524</c:v>
                </c:pt>
                <c:pt idx="21">
                  <c:v>3.1547619161151705</c:v>
                </c:pt>
                <c:pt idx="22">
                  <c:v>3.1341874897480011</c:v>
                </c:pt>
                <c:pt idx="23">
                  <c:v>3.2322500169277193</c:v>
                </c:pt>
                <c:pt idx="24">
                  <c:v>3.2836904667672657</c:v>
                </c:pt>
                <c:pt idx="25">
                  <c:v>3.393486854277159</c:v>
                </c:pt>
                <c:pt idx="26">
                  <c:v>3.4911931753158569</c:v>
                </c:pt>
                <c:pt idx="27">
                  <c:v>3.5705681903795763</c:v>
                </c:pt>
                <c:pt idx="28">
                  <c:v>3.6963352371345866</c:v>
                </c:pt>
                <c:pt idx="29">
                  <c:v>3.3921131037530445</c:v>
                </c:pt>
                <c:pt idx="30">
                  <c:v>3.2088987855684188</c:v>
                </c:pt>
                <c:pt idx="31">
                  <c:v>3.2968913057576055</c:v>
                </c:pt>
                <c:pt idx="32">
                  <c:v>3.1718125075101851</c:v>
                </c:pt>
                <c:pt idx="33">
                  <c:v>3.29</c:v>
                </c:pt>
                <c:pt idx="34">
                  <c:v>3.3720625042915344</c:v>
                </c:pt>
                <c:pt idx="35">
                  <c:v>3.4561397152788498</c:v>
                </c:pt>
                <c:pt idx="36">
                  <c:v>3.5409523873102096</c:v>
                </c:pt>
                <c:pt idx="37">
                  <c:v>3.5677430596616535</c:v>
                </c:pt>
                <c:pt idx="38">
                  <c:v>3.5518154672213962</c:v>
                </c:pt>
                <c:pt idx="39">
                  <c:v>3.4867613561586897</c:v>
                </c:pt>
                <c:pt idx="40">
                  <c:v>3.6257142708415078</c:v>
                </c:pt>
                <c:pt idx="41">
                  <c:v>4.1613750010728836</c:v>
                </c:pt>
                <c:pt idx="42">
                  <c:v>4.2723295390605927</c:v>
                </c:pt>
                <c:pt idx="43">
                  <c:v>3.7810795588926838</c:v>
                </c:pt>
                <c:pt idx="44">
                  <c:v>3.6517812460660934</c:v>
                </c:pt>
                <c:pt idx="45">
                  <c:v>3.8441250085830689</c:v>
                </c:pt>
                <c:pt idx="46">
                  <c:v>3.6492434172881274</c:v>
                </c:pt>
                <c:pt idx="47">
                  <c:v>3.7299374938011169</c:v>
                </c:pt>
                <c:pt idx="48">
                  <c:v>3.8147618884132024</c:v>
                </c:pt>
                <c:pt idx="49">
                  <c:v>3.7578947364656554</c:v>
                </c:pt>
                <c:pt idx="50">
                  <c:v>3.4467613620107822</c:v>
                </c:pt>
                <c:pt idx="51">
                  <c:v>2.9318181845274838</c:v>
                </c:pt>
                <c:pt idx="52">
                  <c:v>2.9458437502384185</c:v>
                </c:pt>
                <c:pt idx="53">
                  <c:v>3.1045238082749504</c:v>
                </c:pt>
                <c:pt idx="54">
                  <c:v>3.1061363734982232</c:v>
                </c:pt>
                <c:pt idx="55">
                  <c:v>3.0920833405994235</c:v>
                </c:pt>
                <c:pt idx="56">
                  <c:v>3.5054761966069541</c:v>
                </c:pt>
                <c:pt idx="57">
                  <c:v>3.8160714166504994</c:v>
                </c:pt>
                <c:pt idx="58">
                  <c:v>4.0791776180267334</c:v>
                </c:pt>
                <c:pt idx="59">
                  <c:v>4.254047603834243</c:v>
                </c:pt>
                <c:pt idx="60">
                  <c:v>4.9731578990032794</c:v>
                </c:pt>
                <c:pt idx="61">
                  <c:v>5.3529276283163769</c:v>
                </c:pt>
                <c:pt idx="62">
                  <c:v>5.3846739115922349</c:v>
                </c:pt>
                <c:pt idx="63">
                  <c:v>6.0182440564745949</c:v>
                </c:pt>
                <c:pt idx="64">
                  <c:v>7.0493750095367433</c:v>
                </c:pt>
                <c:pt idx="65">
                  <c:v>6.8402556885372512</c:v>
                </c:pt>
                <c:pt idx="66">
                  <c:v>6.4829999983310698</c:v>
                </c:pt>
                <c:pt idx="67">
                  <c:v>6.3334659121253276</c:v>
                </c:pt>
                <c:pt idx="68">
                  <c:v>5.5563987890879316</c:v>
                </c:pt>
                <c:pt idx="69">
                  <c:v>5.302375012636185</c:v>
                </c:pt>
                <c:pt idx="70">
                  <c:v>5.6642624855041506</c:v>
                </c:pt>
                <c:pt idx="71">
                  <c:v>5.9232142823083063</c:v>
                </c:pt>
                <c:pt idx="72">
                  <c:v>6.0421250224113461</c:v>
                </c:pt>
                <c:pt idx="73">
                  <c:v>6.3834539338162068</c:v>
                </c:pt>
                <c:pt idx="74">
                  <c:v>7.1393478538679043</c:v>
                </c:pt>
                <c:pt idx="75">
                  <c:v>7.7159226281302313</c:v>
                </c:pt>
                <c:pt idx="76">
                  <c:v>7.7598059213764614</c:v>
                </c:pt>
                <c:pt idx="77">
                  <c:v>7.8222812652587894</c:v>
                </c:pt>
                <c:pt idx="78">
                  <c:v>7.2395816596730533</c:v>
                </c:pt>
                <c:pt idx="79">
                  <c:v>7.3412826086956509</c:v>
                </c:pt>
                <c:pt idx="80">
                  <c:v>7.3726690476190493</c:v>
                </c:pt>
                <c:pt idx="81">
                  <c:v>6.8905924999999995</c:v>
                </c:pt>
                <c:pt idx="82">
                  <c:v>6.8072833333333325</c:v>
                </c:pt>
                <c:pt idx="83">
                  <c:v>6.760990476190476</c:v>
                </c:pt>
                <c:pt idx="84">
                  <c:v>6.8669299999999991</c:v>
                </c:pt>
                <c:pt idx="85">
                  <c:v>6.8781421052631577</c:v>
                </c:pt>
                <c:pt idx="86">
                  <c:v>6.567354347826087</c:v>
                </c:pt>
                <c:pt idx="87">
                  <c:v>6.7493999999999987</c:v>
                </c:pt>
                <c:pt idx="88">
                  <c:v>6.3973863636363628</c:v>
                </c:pt>
                <c:pt idx="89">
                  <c:v>6.5461833333333352</c:v>
                </c:pt>
                <c:pt idx="90">
                  <c:v>5.9301549999999992</c:v>
                </c:pt>
                <c:pt idx="91">
                  <c:v>5.5886043478260872</c:v>
                </c:pt>
                <c:pt idx="92">
                  <c:v>4.8854025000000005</c:v>
                </c:pt>
                <c:pt idx="93">
                  <c:v>4.7835357142857138</c:v>
                </c:pt>
                <c:pt idx="94">
                  <c:v>4.7615249999999989</c:v>
                </c:pt>
                <c:pt idx="95">
                  <c:v>4.8121174999999994</c:v>
                </c:pt>
                <c:pt idx="96">
                  <c:v>4.5717761904761911</c:v>
                </c:pt>
                <c:pt idx="97">
                  <c:v>4.3014525000000008</c:v>
                </c:pt>
              </c:numCache>
            </c:numRef>
          </c:val>
          <c:smooth val="0"/>
          <c:extLst>
            <c:ext xmlns:c16="http://schemas.microsoft.com/office/drawing/2014/chart" uri="{C3380CC4-5D6E-409C-BE32-E72D297353CC}">
              <c16:uniqueId val="{00000005-E20D-4FC3-BB2E-446E4C5570E9}"/>
            </c:ext>
          </c:extLst>
        </c:ser>
        <c:ser>
          <c:idx val="6"/>
          <c:order val="6"/>
          <c:tx>
            <c:v>Landowner breakeven</c:v>
          </c:tx>
          <c:spPr>
            <a:ln w="31750" cap="rnd">
              <a:solidFill>
                <a:schemeClr val="accent3">
                  <a:lumMod val="50000"/>
                </a:schemeClr>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[0]!BA</c:f>
              <c:numCache>
                <c:formatCode>_("$"* #,##0.00_);_("$"* \(#,##0.00\);_("$"* "-"??_);_(@_)</c:formatCode>
                <c:ptCount val="98"/>
                <c:pt idx="0">
                  <c:v>2.6753125</c:v>
                </c:pt>
                <c:pt idx="1">
                  <c:v>2.6753125</c:v>
                </c:pt>
                <c:pt idx="2">
                  <c:v>2.6753125</c:v>
                </c:pt>
                <c:pt idx="3">
                  <c:v>2.6753125</c:v>
                </c:pt>
                <c:pt idx="4">
                  <c:v>2.6753125</c:v>
                </c:pt>
                <c:pt idx="5">
                  <c:v>2.6753125</c:v>
                </c:pt>
                <c:pt idx="6">
                  <c:v>2.6753125</c:v>
                </c:pt>
                <c:pt idx="7">
                  <c:v>2.6753125</c:v>
                </c:pt>
                <c:pt idx="8">
                  <c:v>2.4303349753694583</c:v>
                </c:pt>
                <c:pt idx="9">
                  <c:v>2.4303349753694583</c:v>
                </c:pt>
                <c:pt idx="10">
                  <c:v>2.4303349753694583</c:v>
                </c:pt>
                <c:pt idx="11">
                  <c:v>2.4303349753694583</c:v>
                </c:pt>
                <c:pt idx="12">
                  <c:v>2.4303349753694583</c:v>
                </c:pt>
                <c:pt idx="13">
                  <c:v>2.4303349753694583</c:v>
                </c:pt>
                <c:pt idx="14">
                  <c:v>2.4303349753694583</c:v>
                </c:pt>
                <c:pt idx="15">
                  <c:v>2.4303349753694583</c:v>
                </c:pt>
                <c:pt idx="16">
                  <c:v>2.4303349753694583</c:v>
                </c:pt>
                <c:pt idx="17">
                  <c:v>2.4303349753694583</c:v>
                </c:pt>
                <c:pt idx="18">
                  <c:v>2.4303349753694583</c:v>
                </c:pt>
                <c:pt idx="19">
                  <c:v>2.4303349753694583</c:v>
                </c:pt>
                <c:pt idx="20">
                  <c:v>2.2840346534653464</c:v>
                </c:pt>
                <c:pt idx="21">
                  <c:v>2.2840346534653464</c:v>
                </c:pt>
                <c:pt idx="22">
                  <c:v>2.2840346534653464</c:v>
                </c:pt>
                <c:pt idx="23">
                  <c:v>2.2840346534653464</c:v>
                </c:pt>
                <c:pt idx="24">
                  <c:v>2.2840346534653464</c:v>
                </c:pt>
                <c:pt idx="25">
                  <c:v>2.2840346534653464</c:v>
                </c:pt>
                <c:pt idx="26">
                  <c:v>2.2840346534653464</c:v>
                </c:pt>
                <c:pt idx="27">
                  <c:v>2.2840346534653464</c:v>
                </c:pt>
                <c:pt idx="28">
                  <c:v>2.2840346534653464</c:v>
                </c:pt>
                <c:pt idx="29">
                  <c:v>2.2840346534653464</c:v>
                </c:pt>
                <c:pt idx="30">
                  <c:v>2.2840346534653464</c:v>
                </c:pt>
                <c:pt idx="31">
                  <c:v>2.2840346534653464</c:v>
                </c:pt>
                <c:pt idx="32">
                  <c:v>2.3035204081632652</c:v>
                </c:pt>
                <c:pt idx="33">
                  <c:v>2.3035204081632652</c:v>
                </c:pt>
                <c:pt idx="34">
                  <c:v>2.3035204081632652</c:v>
                </c:pt>
                <c:pt idx="35">
                  <c:v>2.3035204081632652</c:v>
                </c:pt>
                <c:pt idx="36">
                  <c:v>2.3035204081632652</c:v>
                </c:pt>
                <c:pt idx="37">
                  <c:v>2.3035204081632652</c:v>
                </c:pt>
                <c:pt idx="38">
                  <c:v>2.3035204081632652</c:v>
                </c:pt>
                <c:pt idx="39">
                  <c:v>2.3035204081632652</c:v>
                </c:pt>
                <c:pt idx="40">
                  <c:v>2.3035204081632652</c:v>
                </c:pt>
                <c:pt idx="41">
                  <c:v>2.3035204081632652</c:v>
                </c:pt>
                <c:pt idx="42">
                  <c:v>2.3035204081632652</c:v>
                </c:pt>
                <c:pt idx="43">
                  <c:v>2.3035204081632652</c:v>
                </c:pt>
                <c:pt idx="44">
                  <c:v>2.4872727272727273</c:v>
                </c:pt>
                <c:pt idx="45">
                  <c:v>2.4872727272727273</c:v>
                </c:pt>
                <c:pt idx="46">
                  <c:v>2.4872727272727273</c:v>
                </c:pt>
                <c:pt idx="47">
                  <c:v>2.4872727272727273</c:v>
                </c:pt>
                <c:pt idx="48">
                  <c:v>2.4872727272727273</c:v>
                </c:pt>
                <c:pt idx="49">
                  <c:v>2.4872727272727273</c:v>
                </c:pt>
                <c:pt idx="50">
                  <c:v>2.4872727272727273</c:v>
                </c:pt>
                <c:pt idx="51">
                  <c:v>2.4872727272727273</c:v>
                </c:pt>
                <c:pt idx="52">
                  <c:v>2.4872727272727273</c:v>
                </c:pt>
                <c:pt idx="53">
                  <c:v>2.4872727272727273</c:v>
                </c:pt>
                <c:pt idx="54">
                  <c:v>2.4872727272727273</c:v>
                </c:pt>
                <c:pt idx="55">
                  <c:v>2.4872727272727273</c:v>
                </c:pt>
                <c:pt idx="56">
                  <c:v>2.7104858757062145</c:v>
                </c:pt>
                <c:pt idx="57">
                  <c:v>2.7104858757062145</c:v>
                </c:pt>
                <c:pt idx="58">
                  <c:v>2.7104858757062145</c:v>
                </c:pt>
                <c:pt idx="59">
                  <c:v>2.7104858757062145</c:v>
                </c:pt>
                <c:pt idx="60">
                  <c:v>2.7104858757062145</c:v>
                </c:pt>
                <c:pt idx="61">
                  <c:v>2.7104858757062145</c:v>
                </c:pt>
                <c:pt idx="62">
                  <c:v>2.7104858757062145</c:v>
                </c:pt>
                <c:pt idx="63">
                  <c:v>2.7104858757062145</c:v>
                </c:pt>
                <c:pt idx="64">
                  <c:v>2.7104858757062145</c:v>
                </c:pt>
                <c:pt idx="65">
                  <c:v>2.7104858757062145</c:v>
                </c:pt>
                <c:pt idx="66">
                  <c:v>2.7104858757062145</c:v>
                </c:pt>
                <c:pt idx="67">
                  <c:v>2.7104858757062145</c:v>
                </c:pt>
                <c:pt idx="68">
                  <c:v>2.4508823529411763</c:v>
                </c:pt>
                <c:pt idx="69">
                  <c:v>2.4508823529411763</c:v>
                </c:pt>
                <c:pt idx="70">
                  <c:v>2.4508823529411763</c:v>
                </c:pt>
                <c:pt idx="71">
                  <c:v>2.4508823529411763</c:v>
                </c:pt>
                <c:pt idx="72">
                  <c:v>2.4508823529411763</c:v>
                </c:pt>
                <c:pt idx="73">
                  <c:v>2.4508823529411763</c:v>
                </c:pt>
                <c:pt idx="74">
                  <c:v>2.4508823529411763</c:v>
                </c:pt>
                <c:pt idx="75">
                  <c:v>2.4508823529411763</c:v>
                </c:pt>
                <c:pt idx="76">
                  <c:v>2.4508823529411763</c:v>
                </c:pt>
                <c:pt idx="77">
                  <c:v>2.4508823529411763</c:v>
                </c:pt>
                <c:pt idx="78">
                  <c:v>2.4508823529411763</c:v>
                </c:pt>
                <c:pt idx="79">
                  <c:v>2.4508823529411763</c:v>
                </c:pt>
                <c:pt idx="80">
                  <c:v>3.2319250000000004</c:v>
                </c:pt>
                <c:pt idx="81">
                  <c:v>3.2319250000000004</c:v>
                </c:pt>
                <c:pt idx="82">
                  <c:v>3.2319250000000004</c:v>
                </c:pt>
                <c:pt idx="83">
                  <c:v>3.2319250000000004</c:v>
                </c:pt>
                <c:pt idx="84">
                  <c:v>3.2319250000000004</c:v>
                </c:pt>
                <c:pt idx="85">
                  <c:v>3.2319250000000004</c:v>
                </c:pt>
                <c:pt idx="86">
                  <c:v>3.2319250000000004</c:v>
                </c:pt>
                <c:pt idx="87">
                  <c:v>3.2319250000000004</c:v>
                </c:pt>
                <c:pt idx="88">
                  <c:v>3.2319250000000004</c:v>
                </c:pt>
                <c:pt idx="89">
                  <c:v>3.2319250000000004</c:v>
                </c:pt>
                <c:pt idx="90">
                  <c:v>3.2319250000000004</c:v>
                </c:pt>
                <c:pt idx="91">
                  <c:v>3.2319250000000004</c:v>
                </c:pt>
                <c:pt idx="92">
                  <c:v>3.8641631578947364</c:v>
                </c:pt>
                <c:pt idx="93">
                  <c:v>3.8641631578947364</c:v>
                </c:pt>
                <c:pt idx="94">
                  <c:v>3.8641631578947364</c:v>
                </c:pt>
                <c:pt idx="95">
                  <c:v>3.8641631578947364</c:v>
                </c:pt>
                <c:pt idx="96">
                  <c:v>3.8641631578947364</c:v>
                </c:pt>
                <c:pt idx="97">
                  <c:v>3.8641631578947364</c:v>
                </c:pt>
              </c:numCache>
            </c:numRef>
          </c:val>
          <c:smooth val="1"/>
          <c:extLst>
            <c:ext xmlns:c16="http://schemas.microsoft.com/office/drawing/2014/chart" uri="{C3380CC4-5D6E-409C-BE32-E72D297353CC}">
              <c16:uniqueId val="{00000006-E20D-4FC3-BB2E-446E4C5570E9}"/>
            </c:ext>
          </c:extLst>
        </c:ser>
        <c:ser>
          <c:idx val="7"/>
          <c:order val="7"/>
          <c:tx>
            <c:v>Cash rent farmer breakeven corn price</c:v>
          </c:tx>
          <c:spPr>
            <a:ln w="31750" cap="rnd">
              <a:solidFill>
                <a:schemeClr val="tx2"/>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[0]!AY</c:f>
              <c:numCache>
                <c:formatCode>_("$"* #,##0.00_);_("$"* \(#,##0.00\);_("$"* "-"??_);_(@_)</c:formatCode>
                <c:ptCount val="98"/>
                <c:pt idx="0">
                  <c:v>3.9565625</c:v>
                </c:pt>
                <c:pt idx="1">
                  <c:v>3.9565625</c:v>
                </c:pt>
                <c:pt idx="2">
                  <c:v>3.9565625</c:v>
                </c:pt>
                <c:pt idx="3">
                  <c:v>3.9565625</c:v>
                </c:pt>
                <c:pt idx="4">
                  <c:v>3.9565625</c:v>
                </c:pt>
                <c:pt idx="5">
                  <c:v>3.9565625</c:v>
                </c:pt>
                <c:pt idx="6">
                  <c:v>3.9565625</c:v>
                </c:pt>
                <c:pt idx="7">
                  <c:v>3.9565625</c:v>
                </c:pt>
                <c:pt idx="8">
                  <c:v>3.5633399014778329</c:v>
                </c:pt>
                <c:pt idx="9">
                  <c:v>3.5633399014778329</c:v>
                </c:pt>
                <c:pt idx="10">
                  <c:v>3.5633399014778329</c:v>
                </c:pt>
                <c:pt idx="11">
                  <c:v>3.5633399014778329</c:v>
                </c:pt>
                <c:pt idx="12">
                  <c:v>3.5633399014778329</c:v>
                </c:pt>
                <c:pt idx="13">
                  <c:v>3.5633399014778329</c:v>
                </c:pt>
                <c:pt idx="14">
                  <c:v>3.5633399014778329</c:v>
                </c:pt>
                <c:pt idx="15">
                  <c:v>3.5633399014778329</c:v>
                </c:pt>
                <c:pt idx="16">
                  <c:v>3.5633399014778329</c:v>
                </c:pt>
                <c:pt idx="17">
                  <c:v>3.5633399014778329</c:v>
                </c:pt>
                <c:pt idx="18">
                  <c:v>3.5633399014778329</c:v>
                </c:pt>
                <c:pt idx="19">
                  <c:v>3.5633399014778329</c:v>
                </c:pt>
                <c:pt idx="20">
                  <c:v>3.3681930693069306</c:v>
                </c:pt>
                <c:pt idx="21">
                  <c:v>3.3681930693069306</c:v>
                </c:pt>
                <c:pt idx="22">
                  <c:v>3.3681930693069306</c:v>
                </c:pt>
                <c:pt idx="23">
                  <c:v>3.3681930693069306</c:v>
                </c:pt>
                <c:pt idx="24">
                  <c:v>3.3681930693069306</c:v>
                </c:pt>
                <c:pt idx="25">
                  <c:v>3.3681930693069306</c:v>
                </c:pt>
                <c:pt idx="26">
                  <c:v>3.3681930693069306</c:v>
                </c:pt>
                <c:pt idx="27">
                  <c:v>3.3681930693069306</c:v>
                </c:pt>
                <c:pt idx="28">
                  <c:v>3.3681930693069306</c:v>
                </c:pt>
                <c:pt idx="29">
                  <c:v>3.3681930693069306</c:v>
                </c:pt>
                <c:pt idx="30">
                  <c:v>3.3681930693069306</c:v>
                </c:pt>
                <c:pt idx="31">
                  <c:v>3.3681930693069306</c:v>
                </c:pt>
                <c:pt idx="32">
                  <c:v>3.436173469387755</c:v>
                </c:pt>
                <c:pt idx="33">
                  <c:v>3.436173469387755</c:v>
                </c:pt>
                <c:pt idx="34">
                  <c:v>3.436173469387755</c:v>
                </c:pt>
                <c:pt idx="35">
                  <c:v>3.436173469387755</c:v>
                </c:pt>
                <c:pt idx="36">
                  <c:v>3.436173469387755</c:v>
                </c:pt>
                <c:pt idx="37">
                  <c:v>3.436173469387755</c:v>
                </c:pt>
                <c:pt idx="38">
                  <c:v>3.436173469387755</c:v>
                </c:pt>
                <c:pt idx="39">
                  <c:v>3.436173469387755</c:v>
                </c:pt>
                <c:pt idx="40">
                  <c:v>3.436173469387755</c:v>
                </c:pt>
                <c:pt idx="41">
                  <c:v>3.436173469387755</c:v>
                </c:pt>
                <c:pt idx="42">
                  <c:v>3.436173469387755</c:v>
                </c:pt>
                <c:pt idx="43">
                  <c:v>3.436173469387755</c:v>
                </c:pt>
                <c:pt idx="44">
                  <c:v>3.5933333333333333</c:v>
                </c:pt>
                <c:pt idx="45">
                  <c:v>3.5933333333333333</c:v>
                </c:pt>
                <c:pt idx="46">
                  <c:v>3.5933333333333333</c:v>
                </c:pt>
                <c:pt idx="47">
                  <c:v>3.5933333333333333</c:v>
                </c:pt>
                <c:pt idx="48">
                  <c:v>3.5933333333333333</c:v>
                </c:pt>
                <c:pt idx="49">
                  <c:v>3.5933333333333333</c:v>
                </c:pt>
                <c:pt idx="50">
                  <c:v>3.5933333333333333</c:v>
                </c:pt>
                <c:pt idx="51">
                  <c:v>3.5933333333333333</c:v>
                </c:pt>
                <c:pt idx="52">
                  <c:v>3.5933333333333333</c:v>
                </c:pt>
                <c:pt idx="53">
                  <c:v>3.5933333333333333</c:v>
                </c:pt>
                <c:pt idx="54">
                  <c:v>3.5933333333333333</c:v>
                </c:pt>
                <c:pt idx="55">
                  <c:v>3.5933333333333333</c:v>
                </c:pt>
                <c:pt idx="56">
                  <c:v>3.9647231638418079</c:v>
                </c:pt>
                <c:pt idx="57">
                  <c:v>3.9647231638418079</c:v>
                </c:pt>
                <c:pt idx="58">
                  <c:v>3.9647231638418079</c:v>
                </c:pt>
                <c:pt idx="59">
                  <c:v>3.9647231638418079</c:v>
                </c:pt>
                <c:pt idx="60">
                  <c:v>3.9647231638418079</c:v>
                </c:pt>
                <c:pt idx="61">
                  <c:v>3.9647231638418079</c:v>
                </c:pt>
                <c:pt idx="62">
                  <c:v>3.9647231638418079</c:v>
                </c:pt>
                <c:pt idx="63">
                  <c:v>3.9647231638418079</c:v>
                </c:pt>
                <c:pt idx="64">
                  <c:v>3.9647231638418079</c:v>
                </c:pt>
                <c:pt idx="65">
                  <c:v>3.9647231638418079</c:v>
                </c:pt>
                <c:pt idx="66">
                  <c:v>3.9647231638418079</c:v>
                </c:pt>
                <c:pt idx="67">
                  <c:v>3.9647231638418079</c:v>
                </c:pt>
                <c:pt idx="68">
                  <c:v>3.5881372549019606</c:v>
                </c:pt>
                <c:pt idx="69">
                  <c:v>3.5881372549019606</c:v>
                </c:pt>
                <c:pt idx="70">
                  <c:v>3.5881372549019606</c:v>
                </c:pt>
                <c:pt idx="71">
                  <c:v>3.5881372549019606</c:v>
                </c:pt>
                <c:pt idx="72">
                  <c:v>3.5881372549019606</c:v>
                </c:pt>
                <c:pt idx="73">
                  <c:v>3.5881372549019606</c:v>
                </c:pt>
                <c:pt idx="74">
                  <c:v>3.5881372549019606</c:v>
                </c:pt>
                <c:pt idx="75">
                  <c:v>3.5881372549019606</c:v>
                </c:pt>
                <c:pt idx="76">
                  <c:v>3.5881372549019606</c:v>
                </c:pt>
                <c:pt idx="77">
                  <c:v>3.5881372549019606</c:v>
                </c:pt>
                <c:pt idx="78">
                  <c:v>3.5881372549019606</c:v>
                </c:pt>
                <c:pt idx="79">
                  <c:v>3.5881372549019606</c:v>
                </c:pt>
                <c:pt idx="80">
                  <c:v>4.5119250000000006</c:v>
                </c:pt>
                <c:pt idx="81">
                  <c:v>4.5119250000000006</c:v>
                </c:pt>
                <c:pt idx="82">
                  <c:v>4.5119250000000006</c:v>
                </c:pt>
                <c:pt idx="83">
                  <c:v>4.5119250000000006</c:v>
                </c:pt>
                <c:pt idx="84">
                  <c:v>4.5119250000000006</c:v>
                </c:pt>
                <c:pt idx="85">
                  <c:v>4.5119250000000006</c:v>
                </c:pt>
                <c:pt idx="86">
                  <c:v>4.5119250000000006</c:v>
                </c:pt>
                <c:pt idx="87">
                  <c:v>4.5119250000000006</c:v>
                </c:pt>
                <c:pt idx="88">
                  <c:v>4.5119250000000006</c:v>
                </c:pt>
                <c:pt idx="89">
                  <c:v>4.5119250000000006</c:v>
                </c:pt>
                <c:pt idx="90">
                  <c:v>4.5119250000000006</c:v>
                </c:pt>
                <c:pt idx="91">
                  <c:v>4.5119250000000006</c:v>
                </c:pt>
                <c:pt idx="92">
                  <c:v>5.3325842105263153</c:v>
                </c:pt>
                <c:pt idx="93">
                  <c:v>5.3325842105263153</c:v>
                </c:pt>
                <c:pt idx="94">
                  <c:v>5.3325842105263153</c:v>
                </c:pt>
                <c:pt idx="95">
                  <c:v>5.3325842105263153</c:v>
                </c:pt>
                <c:pt idx="96">
                  <c:v>5.3325842105263153</c:v>
                </c:pt>
                <c:pt idx="97">
                  <c:v>5.3325842105263153</c:v>
                </c:pt>
              </c:numCache>
            </c:numRef>
          </c:val>
          <c:smooth val="1"/>
          <c:extLst>
            <c:ext xmlns:c16="http://schemas.microsoft.com/office/drawing/2014/chart" uri="{C3380CC4-5D6E-409C-BE32-E72D297353CC}">
              <c16:uniqueId val="{00000007-E20D-4FC3-BB2E-446E4C5570E9}"/>
            </c:ext>
          </c:extLst>
        </c:ser>
        <c:ser>
          <c:idx val="8"/>
          <c:order val="8"/>
          <c:tx>
            <c:v>Ethanol breakeven corn purchase price</c:v>
          </c:tx>
          <c:spPr>
            <a:ln w="31750" cap="rnd">
              <a:solidFill>
                <a:schemeClr val="accent6">
                  <a:lumMod val="75000"/>
                </a:schemeClr>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[0]!AW</c:f>
              <c:numCache>
                <c:formatCode>_("$"* #,##0.00_);_("$"* \(#,##0.00\);_("$"* "-"??_);_(@_)</c:formatCode>
                <c:ptCount val="98"/>
                <c:pt idx="0">
                  <c:v>3.0624059567702169</c:v>
                </c:pt>
                <c:pt idx="1">
                  <c:v>3.3293863892367992</c:v>
                </c:pt>
                <c:pt idx="2">
                  <c:v>3.2260790784143745</c:v>
                </c:pt>
                <c:pt idx="3">
                  <c:v>3.6189305072064712</c:v>
                </c:pt>
                <c:pt idx="4">
                  <c:v>3.9291876296788248</c:v>
                </c:pt>
                <c:pt idx="5">
                  <c:v>4.3899738660722658</c:v>
                </c:pt>
                <c:pt idx="6">
                  <c:v>3.9568289354423198</c:v>
                </c:pt>
                <c:pt idx="7">
                  <c:v>3.3847399175501245</c:v>
                </c:pt>
                <c:pt idx="8">
                  <c:v>3.5657697783601936</c:v>
                </c:pt>
                <c:pt idx="9">
                  <c:v>3.7452181611994448</c:v>
                </c:pt>
                <c:pt idx="10">
                  <c:v>3.8372439130495457</c:v>
                </c:pt>
                <c:pt idx="11">
                  <c:v>4.0667855330910658</c:v>
                </c:pt>
                <c:pt idx="12">
                  <c:v>3.3291288216272461</c:v>
                </c:pt>
                <c:pt idx="13">
                  <c:v>3.2845756560197659</c:v>
                </c:pt>
                <c:pt idx="14">
                  <c:v>3.3107154217643462</c:v>
                </c:pt>
                <c:pt idx="15">
                  <c:v>3.7225488539034952</c:v>
                </c:pt>
                <c:pt idx="16">
                  <c:v>3.437982024422046</c:v>
                </c:pt>
                <c:pt idx="17">
                  <c:v>3.6403929583586216</c:v>
                </c:pt>
                <c:pt idx="18">
                  <c:v>3.5806913559412448</c:v>
                </c:pt>
                <c:pt idx="19">
                  <c:v>3.6822384176453058</c:v>
                </c:pt>
                <c:pt idx="20">
                  <c:v>3.7045688121143487</c:v>
                </c:pt>
                <c:pt idx="21">
                  <c:v>3.4536062551432649</c:v>
                </c:pt>
                <c:pt idx="22">
                  <c:v>3.3687839116600671</c:v>
                </c:pt>
                <c:pt idx="23">
                  <c:v>3.125026445974461</c:v>
                </c:pt>
                <c:pt idx="24">
                  <c:v>3.2096674957725071</c:v>
                </c:pt>
                <c:pt idx="25">
                  <c:v>3.4261436412780895</c:v>
                </c:pt>
                <c:pt idx="26">
                  <c:v>3.7323975274535988</c:v>
                </c:pt>
                <c:pt idx="27">
                  <c:v>3.8842279406117552</c:v>
                </c:pt>
                <c:pt idx="28">
                  <c:v>4.0137188685431511</c:v>
                </c:pt>
                <c:pt idx="29">
                  <c:v>3.8247397495626361</c:v>
                </c:pt>
                <c:pt idx="30">
                  <c:v>3.4964734345636002</c:v>
                </c:pt>
                <c:pt idx="31">
                  <c:v>3.4633188843621756</c:v>
                </c:pt>
                <c:pt idx="32">
                  <c:v>3.0808588773456727</c:v>
                </c:pt>
                <c:pt idx="33">
                  <c:v>3.0243033559319343</c:v>
                </c:pt>
                <c:pt idx="34">
                  <c:v>3.0775413871983197</c:v>
                </c:pt>
                <c:pt idx="35">
                  <c:v>3.098499470077611</c:v>
                </c:pt>
                <c:pt idx="36">
                  <c:v>3.1712524786233978</c:v>
                </c:pt>
                <c:pt idx="37">
                  <c:v>3.1760455079614633</c:v>
                </c:pt>
                <c:pt idx="38">
                  <c:v>3.4020326128532847</c:v>
                </c:pt>
                <c:pt idx="39">
                  <c:v>3.4287733648888867</c:v>
                </c:pt>
                <c:pt idx="40">
                  <c:v>3.1671783585251028</c:v>
                </c:pt>
                <c:pt idx="41">
                  <c:v>3.8288113858393347</c:v>
                </c:pt>
                <c:pt idx="42">
                  <c:v>3.9423761316957506</c:v>
                </c:pt>
                <c:pt idx="43">
                  <c:v>3.5665625132460179</c:v>
                </c:pt>
                <c:pt idx="44">
                  <c:v>3.4129389096215883</c:v>
                </c:pt>
                <c:pt idx="45">
                  <c:v>3.9900167306866048</c:v>
                </c:pt>
                <c:pt idx="46">
                  <c:v>3.8328722643342492</c:v>
                </c:pt>
                <c:pt idx="47">
                  <c:v>3.6509014109805733</c:v>
                </c:pt>
                <c:pt idx="48">
                  <c:v>3.2809783313453842</c:v>
                </c:pt>
                <c:pt idx="49">
                  <c:v>3.3424938021544128</c:v>
                </c:pt>
                <c:pt idx="50">
                  <c:v>2.9003186074598708</c:v>
                </c:pt>
                <c:pt idx="51">
                  <c:v>2.448256624231036</c:v>
                </c:pt>
                <c:pt idx="52">
                  <c:v>2.6613522252881041</c:v>
                </c:pt>
                <c:pt idx="53">
                  <c:v>3.0987298236597232</c:v>
                </c:pt>
                <c:pt idx="54">
                  <c:v>3.2820951595973118</c:v>
                </c:pt>
                <c:pt idx="55">
                  <c:v>2.9875064903263904</c:v>
                </c:pt>
                <c:pt idx="56">
                  <c:v>3.4211922256440297</c:v>
                </c:pt>
                <c:pt idx="57">
                  <c:v>3.8033221395749224</c:v>
                </c:pt>
                <c:pt idx="58">
                  <c:v>3.9928700495194667</c:v>
                </c:pt>
                <c:pt idx="59">
                  <c:v>3.7274504981465642</c:v>
                </c:pt>
                <c:pt idx="60">
                  <c:v>4.4302404676477263</c:v>
                </c:pt>
                <c:pt idx="61">
                  <c:v>4.7462072539630418</c:v>
                </c:pt>
                <c:pt idx="62">
                  <c:v>5.3491730162741176</c:v>
                </c:pt>
                <c:pt idx="63">
                  <c:v>5.9600954784089133</c:v>
                </c:pt>
                <c:pt idx="64">
                  <c:v>7.5083989463142045</c:v>
                </c:pt>
                <c:pt idx="65">
                  <c:v>6.8968748153150319</c:v>
                </c:pt>
                <c:pt idx="66">
                  <c:v>6.1793600904346491</c:v>
                </c:pt>
                <c:pt idx="67">
                  <c:v>6.2709606095098591</c:v>
                </c:pt>
                <c:pt idx="68">
                  <c:v>6.6847383446116764</c:v>
                </c:pt>
                <c:pt idx="69">
                  <c:v>6.8663039986351633</c:v>
                </c:pt>
                <c:pt idx="70">
                  <c:v>8.6932113674930243</c:v>
                </c:pt>
                <c:pt idx="71">
                  <c:v>8.549610530826941</c:v>
                </c:pt>
                <c:pt idx="72">
                  <c:v>6.4124662883320962</c:v>
                </c:pt>
                <c:pt idx="73">
                  <c:v>6.1698704876748858</c:v>
                </c:pt>
                <c:pt idx="74">
                  <c:v>7.3968738412291435</c:v>
                </c:pt>
                <c:pt idx="75">
                  <c:v>8.0837089715848744</c:v>
                </c:pt>
                <c:pt idx="76">
                  <c:v>8.5872538103798544</c:v>
                </c:pt>
                <c:pt idx="77">
                  <c:v>8.1093088661340378</c:v>
                </c:pt>
                <c:pt idx="78">
                  <c:v>7.4137723675421103</c:v>
                </c:pt>
                <c:pt idx="79">
                  <c:v>7.4471309368831173</c:v>
                </c:pt>
                <c:pt idx="80">
                  <c:v>7.3513422654545453</c:v>
                </c:pt>
                <c:pt idx="81">
                  <c:v>7.2544783654545464</c:v>
                </c:pt>
                <c:pt idx="82">
                  <c:v>7.4667112583116886</c:v>
                </c:pt>
                <c:pt idx="83">
                  <c:v>6.5161008654545443</c:v>
                </c:pt>
                <c:pt idx="84">
                  <c:v>6.6594006154545466</c:v>
                </c:pt>
                <c:pt idx="85">
                  <c:v>6.359930865454543</c:v>
                </c:pt>
                <c:pt idx="86">
                  <c:v>6.5559322654545449</c:v>
                </c:pt>
                <c:pt idx="87">
                  <c:v>7.2937458654545457</c:v>
                </c:pt>
                <c:pt idx="88">
                  <c:v>7.1505741154545461</c:v>
                </c:pt>
                <c:pt idx="89">
                  <c:v>7.1136277797402592</c:v>
                </c:pt>
                <c:pt idx="90">
                  <c:v>7.0272621154545449</c:v>
                </c:pt>
                <c:pt idx="91">
                  <c:v>6.3412258654545459</c:v>
                </c:pt>
                <c:pt idx="92">
                  <c:v>6.6614295987878798</c:v>
                </c:pt>
                <c:pt idx="93">
                  <c:v>6.4683941154545463</c:v>
                </c:pt>
                <c:pt idx="94">
                  <c:v>5.6521251987878784</c:v>
                </c:pt>
                <c:pt idx="95">
                  <c:v>4.9129856154545468</c:v>
                </c:pt>
                <c:pt idx="96">
                  <c:v>4.4623446154545459</c:v>
                </c:pt>
                <c:pt idx="97">
                  <c:v>4.3614361154545467</c:v>
                </c:pt>
              </c:numCache>
            </c:numRef>
          </c:val>
          <c:smooth val="0"/>
          <c:extLst>
            <c:ext xmlns:c16="http://schemas.microsoft.com/office/drawing/2014/chart" uri="{C3380CC4-5D6E-409C-BE32-E72D297353CC}">
              <c16:uniqueId val="{00000008-E20D-4FC3-BB2E-446E4C5570E9}"/>
            </c:ext>
          </c:extLst>
        </c:ser>
        <c:dLbls>
          <c:showLegendKey val="0"/>
          <c:showVal val="0"/>
          <c:showCatName val="0"/>
          <c:showSerName val="0"/>
          <c:showPercent val="0"/>
          <c:showBubbleSize val="0"/>
        </c:dLbls>
        <c:marker val="1"/>
        <c:smooth val="0"/>
        <c:axId val="235730512"/>
        <c:axId val="235731072"/>
      </c:lineChart>
      <c:dateAx>
        <c:axId val="235730512"/>
        <c:scaling>
          <c:orientation val="minMax"/>
        </c:scaling>
        <c:delete val="0"/>
        <c:axPos val="b"/>
        <c:numFmt formatCode="mmm\-yy" sourceLinked="0"/>
        <c:majorTickMark val="out"/>
        <c:minorTickMark val="none"/>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235731072"/>
        <c:crosses val="autoZero"/>
        <c:auto val="1"/>
        <c:lblOffset val="100"/>
        <c:baseTimeUnit val="months"/>
        <c:majorUnit val="5"/>
        <c:majorTimeUnit val="months"/>
        <c:minorUnit val="1"/>
        <c:minorTimeUnit val="months"/>
      </c:dateAx>
      <c:valAx>
        <c:axId val="235731072"/>
        <c:scaling>
          <c:orientation val="minMax"/>
          <c:min val="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r>
                  <a:rPr lang="en-US" sz="1600"/>
                  <a:t>$ per bushel</a:t>
                </a:r>
              </a:p>
            </c:rich>
          </c:tx>
          <c:layout>
            <c:manualLayout>
              <c:xMode val="edge"/>
              <c:yMode val="edge"/>
              <c:x val="1.1830775587441018E-2"/>
              <c:y val="0.26665075956414541"/>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235730512"/>
        <c:crosses val="autoZero"/>
        <c:crossBetween val="midCat"/>
        <c:majorUnit val="2"/>
      </c:valAx>
      <c:spPr>
        <a:noFill/>
        <a:ln>
          <a:noFill/>
        </a:ln>
        <a:effectLst/>
      </c:spPr>
    </c:plotArea>
    <c:legend>
      <c:legendPos val="b"/>
      <c:legendEntry>
        <c:idx val="0"/>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1"/>
        <c:delete val="1"/>
      </c:legendEntry>
      <c:legendEntry>
        <c:idx val="2"/>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3"/>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4"/>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5"/>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6"/>
        <c:delete val="1"/>
      </c:legendEntry>
      <c:legendEntry>
        <c:idx val="7"/>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8"/>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ayout>
        <c:manualLayout>
          <c:xMode val="edge"/>
          <c:yMode val="edge"/>
          <c:x val="0.13488627399702469"/>
          <c:y val="0.78734144595561917"/>
          <c:w val="0.80064298170521608"/>
          <c:h val="0.17225451364034042"/>
        </c:manualLayout>
      </c:layout>
      <c:overlay val="0"/>
      <c:spPr>
        <a:noFill/>
        <a:ln>
          <a:solidFill>
            <a:schemeClr val="accent1"/>
          </a:solidFill>
        </a:ln>
        <a:effectLst/>
      </c:spPr>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latin typeface="Arial Narrow" panose="020B0606020202030204" pitchFamily="34" charset="0"/>
        </a:defRPr>
      </a:pPr>
      <a:endParaRPr lang="en-US"/>
    </a:p>
  </c:txPr>
  <c:printSettings>
    <c:headerFooter/>
    <c:pageMargins b="0.750000000000002" l="0.70000000000000095" r="0.70000000000000095" t="0.750000000000002"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235733872"/>
        <c:axId val="235734432"/>
      </c:barChart>
      <c:catAx>
        <c:axId val="235733872"/>
        <c:scaling>
          <c:orientation val="minMax"/>
        </c:scaling>
        <c:delete val="0"/>
        <c:axPos val="b"/>
        <c:majorTickMark val="out"/>
        <c:minorTickMark val="none"/>
        <c:tickLblPos val="nextTo"/>
        <c:crossAx val="235734432"/>
        <c:crosses val="autoZero"/>
        <c:auto val="1"/>
        <c:lblAlgn val="ctr"/>
        <c:lblOffset val="100"/>
        <c:noMultiLvlLbl val="0"/>
      </c:catAx>
      <c:valAx>
        <c:axId val="235734432"/>
        <c:scaling>
          <c:orientation val="minMax"/>
        </c:scaling>
        <c:delete val="0"/>
        <c:axPos val="l"/>
        <c:majorGridlines/>
        <c:majorTickMark val="out"/>
        <c:minorTickMark val="none"/>
        <c:tickLblPos val="nextTo"/>
        <c:crossAx val="235733872"/>
        <c:crosses val="autoZero"/>
        <c:crossBetween val="between"/>
      </c:valAx>
    </c:plotArea>
    <c:legend>
      <c:legendPos val="r"/>
      <c:overlay val="0"/>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r>
              <a:rPr lang="en-US"/>
              <a:t>Monthly Output Prices</a:t>
            </a:r>
            <a:endParaRPr lang="en-US" b="0"/>
          </a:p>
          <a:p>
            <a:pPr>
              <a:defRPr/>
            </a:pPr>
            <a:r>
              <a:rPr lang="en-US" b="0"/>
              <a:t>(Iowa Ethanol, Distillers Corn Oil, and DDGS Prices)</a:t>
            </a:r>
          </a:p>
        </c:rich>
      </c:tx>
      <c:layout>
        <c:manualLayout>
          <c:xMode val="edge"/>
          <c:yMode val="edge"/>
          <c:x val="0.27971344436349677"/>
          <c:y val="1.248891243976974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108361788703401"/>
          <c:y val="0.22375057180876215"/>
          <c:w val="0.7708437413763648"/>
          <c:h val="0.44791082636343732"/>
        </c:manualLayout>
      </c:layout>
      <c:lineChart>
        <c:grouping val="standard"/>
        <c:varyColors val="0"/>
        <c:ser>
          <c:idx val="0"/>
          <c:order val="0"/>
          <c:tx>
            <c:v>Ethanol price per gallon</c:v>
          </c:tx>
          <c:spPr>
            <a:ln w="31750" cap="rnd">
              <a:solidFill>
                <a:schemeClr val="accent1"/>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[0]!D</c:f>
              <c:numCache>
                <c:formatCode>_("$"* #,##0.00_);_("$"* \(#,##0.00\);_("$"* "-"??_);_(@_)</c:formatCode>
                <c:ptCount val="98"/>
                <c:pt idx="0">
                  <c:v>1.2348157845798291</c:v>
                </c:pt>
                <c:pt idx="1">
                  <c:v>1.3037500083446503</c:v>
                </c:pt>
                <c:pt idx="2">
                  <c:v>1.272826085401618</c:v>
                </c:pt>
                <c:pt idx="3">
                  <c:v>1.4169047531627474</c:v>
                </c:pt>
                <c:pt idx="4">
                  <c:v>1.4661904602959042</c:v>
                </c:pt>
                <c:pt idx="5">
                  <c:v>1.5622727274894714</c:v>
                </c:pt>
                <c:pt idx="6">
                  <c:v>1.4805000245571136</c:v>
                </c:pt>
                <c:pt idx="7">
                  <c:v>1.3334782486376555</c:v>
                </c:pt>
                <c:pt idx="8">
                  <c:v>1.4297618909109207</c:v>
                </c:pt>
                <c:pt idx="9">
                  <c:v>1.51714286066237</c:v>
                </c:pt>
                <c:pt idx="10">
                  <c:v>1.5450000167</c:v>
                </c:pt>
                <c:pt idx="11">
                  <c:v>1.649285714626</c:v>
                </c:pt>
                <c:pt idx="12">
                  <c:v>1.4004999846220001</c:v>
                </c:pt>
                <c:pt idx="13">
                  <c:v>1.3807894556</c:v>
                </c:pt>
                <c:pt idx="14">
                  <c:v>1.378478273</c:v>
                </c:pt>
                <c:pt idx="15">
                  <c:v>1.541749995947</c:v>
                </c:pt>
                <c:pt idx="16">
                  <c:v>1.4459090828900001</c:v>
                </c:pt>
                <c:pt idx="17">
                  <c:v>1.5050000007</c:v>
                </c:pt>
                <c:pt idx="18">
                  <c:v>1.472249996662</c:v>
                </c:pt>
                <c:pt idx="19">
                  <c:v>1.486136366</c:v>
                </c:pt>
                <c:pt idx="20">
                  <c:v>1.5102499812841415</c:v>
                </c:pt>
                <c:pt idx="21">
                  <c:v>1.4045238125891912</c:v>
                </c:pt>
                <c:pt idx="22">
                  <c:v>1.3580000162124635</c:v>
                </c:pt>
                <c:pt idx="23">
                  <c:v>1.2672500282526016</c:v>
                </c:pt>
                <c:pt idx="24">
                  <c:v>1.2700000206629436</c:v>
                </c:pt>
                <c:pt idx="25">
                  <c:v>1.3376315926250659</c:v>
                </c:pt>
                <c:pt idx="26">
                  <c:v>1.408181827176701</c:v>
                </c:pt>
                <c:pt idx="27">
                  <c:v>1.429090903563933</c:v>
                </c:pt>
                <c:pt idx="28">
                  <c:v>1.3965909101746299</c:v>
                </c:pt>
                <c:pt idx="29">
                  <c:v>1.4030952141398476</c:v>
                </c:pt>
                <c:pt idx="30">
                  <c:v>1.4059523968469529</c:v>
                </c:pt>
                <c:pt idx="31">
                  <c:v>1.3408695718516475</c:v>
                </c:pt>
                <c:pt idx="32">
                  <c:v>1.223750004172325</c:v>
                </c:pt>
                <c:pt idx="33">
                  <c:v>1.1963636170734058</c:v>
                </c:pt>
                <c:pt idx="34">
                  <c:v>1.2295000076293945</c:v>
                </c:pt>
                <c:pt idx="35">
                  <c:v>1.1594117704559774</c:v>
                </c:pt>
                <c:pt idx="36">
                  <c:v>1.1721428717885698</c:v>
                </c:pt>
                <c:pt idx="37">
                  <c:v>1.2102777693006728</c:v>
                </c:pt>
                <c:pt idx="38">
                  <c:v>1.3085714067731584</c:v>
                </c:pt>
                <c:pt idx="39">
                  <c:v>1.3038636202161962</c:v>
                </c:pt>
                <c:pt idx="40">
                  <c:v>1.25238094159535</c:v>
                </c:pt>
                <c:pt idx="41">
                  <c:v>1.4487500071525574</c:v>
                </c:pt>
                <c:pt idx="42">
                  <c:v>1.476818179542368</c:v>
                </c:pt>
                <c:pt idx="43">
                  <c:v>1.3538636403734032</c:v>
                </c:pt>
                <c:pt idx="44">
                  <c:v>1.3025000154972077</c:v>
                </c:pt>
                <c:pt idx="45">
                  <c:v>1.4821428599811735</c:v>
                </c:pt>
                <c:pt idx="46">
                  <c:v>1.4331578869568673</c:v>
                </c:pt>
                <c:pt idx="47">
                  <c:v>1.3645000159740448</c:v>
                </c:pt>
                <c:pt idx="48">
                  <c:v>1.244523789201464</c:v>
                </c:pt>
                <c:pt idx="49">
                  <c:v>1.2384210304210062</c:v>
                </c:pt>
                <c:pt idx="50">
                  <c:v>1.074285707303456</c:v>
                </c:pt>
                <c:pt idx="51">
                  <c:v>0.77250001105395227</c:v>
                </c:pt>
                <c:pt idx="52">
                  <c:v>0.99650000929832461</c:v>
                </c:pt>
                <c:pt idx="53">
                  <c:v>1.1869047639483497</c:v>
                </c:pt>
                <c:pt idx="54">
                  <c:v>1.2840908847071908</c:v>
                </c:pt>
                <c:pt idx="55">
                  <c:v>1.1823809544245403</c:v>
                </c:pt>
                <c:pt idx="56">
                  <c:v>1.3026190570422582</c:v>
                </c:pt>
                <c:pt idx="57">
                  <c:v>1.3699999792235238</c:v>
                </c:pt>
                <c:pt idx="58">
                  <c:v>1.3832352967823254</c:v>
                </c:pt>
                <c:pt idx="59">
                  <c:v>1.2119047499838329</c:v>
                </c:pt>
                <c:pt idx="60">
                  <c:v>1.3913157976301094</c:v>
                </c:pt>
                <c:pt idx="61">
                  <c:v>1.5415789359494259</c:v>
                </c:pt>
                <c:pt idx="62">
                  <c:v>1.7289130506308183</c:v>
                </c:pt>
                <c:pt idx="63">
                  <c:v>1.978095219248817</c:v>
                </c:pt>
                <c:pt idx="64">
                  <c:v>2.4390000283718107</c:v>
                </c:pt>
                <c:pt idx="65">
                  <c:v>2.3145454688505693</c:v>
                </c:pt>
                <c:pt idx="66">
                  <c:v>2.1787500143051148</c:v>
                </c:pt>
                <c:pt idx="67">
                  <c:v>2.1522727012634277</c:v>
                </c:pt>
                <c:pt idx="68">
                  <c:v>2.2902380795705888</c:v>
                </c:pt>
                <c:pt idx="69">
                  <c:v>2.4010000467300414</c:v>
                </c:pt>
                <c:pt idx="70">
                  <c:v>3.1180000007152557</c:v>
                </c:pt>
                <c:pt idx="71">
                  <c:v>3.0957142852601551</c:v>
                </c:pt>
                <c:pt idx="72">
                  <c:v>2.2252499729394914</c:v>
                </c:pt>
                <c:pt idx="73">
                  <c:v>2.0268421204466569</c:v>
                </c:pt>
                <c:pt idx="74">
                  <c:v>2.3513043393259463</c:v>
                </c:pt>
                <c:pt idx="75">
                  <c:v>2.5026190848577592</c:v>
                </c:pt>
                <c:pt idx="76">
                  <c:v>2.7110526122544942</c:v>
                </c:pt>
                <c:pt idx="77">
                  <c:v>2.6997500002384185</c:v>
                </c:pt>
                <c:pt idx="78">
                  <c:v>2.5071428428377422</c:v>
                </c:pt>
                <c:pt idx="79">
                  <c:v>2.4648714285714286</c:v>
                </c:pt>
                <c:pt idx="80">
                  <c:v>2.3894600000000001</c:v>
                </c:pt>
                <c:pt idx="81">
                  <c:v>2.33474</c:v>
                </c:pt>
                <c:pt idx="82">
                  <c:v>2.4573428571428573</c:v>
                </c:pt>
                <c:pt idx="83">
                  <c:v>2.1183999999999998</c:v>
                </c:pt>
                <c:pt idx="84">
                  <c:v>2.1330333333333336</c:v>
                </c:pt>
                <c:pt idx="85">
                  <c:v>2.0254249999999998</c:v>
                </c:pt>
                <c:pt idx="86">
                  <c:v>2.1003999999999996</c:v>
                </c:pt>
                <c:pt idx="87">
                  <c:v>2.3316833333333333</c:v>
                </c:pt>
                <c:pt idx="88">
                  <c:v>2.3174333333333332</c:v>
                </c:pt>
                <c:pt idx="89">
                  <c:v>2.3866142857142854</c:v>
                </c:pt>
                <c:pt idx="90">
                  <c:v>2.368525</c:v>
                </c:pt>
                <c:pt idx="91">
                  <c:v>2.1169799999999999</c:v>
                </c:pt>
                <c:pt idx="92">
                  <c:v>2.205888888888889</c:v>
                </c:pt>
                <c:pt idx="93">
                  <c:v>2.160425</c:v>
                </c:pt>
                <c:pt idx="94">
                  <c:v>1.8783000000000001</c:v>
                </c:pt>
                <c:pt idx="95">
                  <c:v>1.5902000000000003</c:v>
                </c:pt>
                <c:pt idx="96">
                  <c:v>1.4786250000000001</c:v>
                </c:pt>
                <c:pt idx="97">
                  <c:v>1.460925</c:v>
                </c:pt>
              </c:numCache>
            </c:numRef>
          </c:val>
          <c:smooth val="0"/>
          <c:extLst>
            <c:ext xmlns:c16="http://schemas.microsoft.com/office/drawing/2014/chart" uri="{C3380CC4-5D6E-409C-BE32-E72D297353CC}">
              <c16:uniqueId val="{00000000-44FE-4154-A007-69398E66159B}"/>
            </c:ext>
          </c:extLst>
        </c:ser>
        <c:ser>
          <c:idx val="2"/>
          <c:order val="2"/>
          <c:tx>
            <c:v>Distillers corn oil price per pound</c:v>
          </c:tx>
          <c:spPr>
            <a:ln w="31750" cap="rnd">
              <a:solidFill>
                <a:schemeClr val="accent3"/>
              </a:solidFill>
              <a:round/>
            </a:ln>
            <a:effectLst>
              <a:outerShdw blurRad="40000" dist="23000" dir="5400000" rotWithShape="0">
                <a:srgbClr val="000000">
                  <a:alpha val="35000"/>
                </a:srgbClr>
              </a:outerShdw>
            </a:effectLst>
          </c:spPr>
          <c:marker>
            <c:symbol val="none"/>
          </c:marker>
          <c:val>
            <c:numRef>
              <c:f>[0]!F</c:f>
              <c:numCache>
                <c:formatCode>_("$"* #,##0.00_);_("$"* \(#,##0.00\);_("$"* "-"??_);_(@_)</c:formatCode>
                <c:ptCount val="98"/>
                <c:pt idx="0">
                  <c:v>0.2429</c:v>
                </c:pt>
                <c:pt idx="1">
                  <c:v>0.255</c:v>
                </c:pt>
                <c:pt idx="2">
                  <c:v>0.27989999999999998</c:v>
                </c:pt>
                <c:pt idx="3">
                  <c:v>0.30049999999999999</c:v>
                </c:pt>
                <c:pt idx="4">
                  <c:v>0.30760000000000004</c:v>
                </c:pt>
                <c:pt idx="5">
                  <c:v>0.28339999999999999</c:v>
                </c:pt>
                <c:pt idx="6">
                  <c:v>0.26179999999999998</c:v>
                </c:pt>
                <c:pt idx="7">
                  <c:v>0.26280000000000003</c:v>
                </c:pt>
                <c:pt idx="8">
                  <c:v>0.27940000000000004</c:v>
                </c:pt>
                <c:pt idx="9">
                  <c:v>0.28309999999999996</c:v>
                </c:pt>
                <c:pt idx="10">
                  <c:v>0.28050000000000003</c:v>
                </c:pt>
                <c:pt idx="11">
                  <c:v>0.26989999999999997</c:v>
                </c:pt>
                <c:pt idx="12">
                  <c:v>0.2671</c:v>
                </c:pt>
                <c:pt idx="13">
                  <c:v>0.27200000000000002</c:v>
                </c:pt>
                <c:pt idx="14">
                  <c:v>0.28129999999999999</c:v>
                </c:pt>
                <c:pt idx="15">
                  <c:v>0.27629999999999999</c:v>
                </c:pt>
                <c:pt idx="16">
                  <c:v>0.29139999999999999</c:v>
                </c:pt>
                <c:pt idx="17">
                  <c:v>0.29920000000000002</c:v>
                </c:pt>
                <c:pt idx="18">
                  <c:v>0.28010000000000002</c:v>
                </c:pt>
                <c:pt idx="19">
                  <c:v>0.28160000000000002</c:v>
                </c:pt>
                <c:pt idx="20">
                  <c:v>0.28760000000000002</c:v>
                </c:pt>
                <c:pt idx="21">
                  <c:v>0.26850000000000002</c:v>
                </c:pt>
                <c:pt idx="22">
                  <c:v>0.25940000000000002</c:v>
                </c:pt>
                <c:pt idx="23">
                  <c:v>0.22500000000000001</c:v>
                </c:pt>
                <c:pt idx="24">
                  <c:v>0.22070000000000001</c:v>
                </c:pt>
                <c:pt idx="25">
                  <c:v>0.22219999999999998</c:v>
                </c:pt>
                <c:pt idx="26">
                  <c:v>0.22760000000000002</c:v>
                </c:pt>
                <c:pt idx="27">
                  <c:v>0.23449999999999999</c:v>
                </c:pt>
                <c:pt idx="28">
                  <c:v>0.24030000000000001</c:v>
                </c:pt>
                <c:pt idx="29">
                  <c:v>0.24510000000000001</c:v>
                </c:pt>
                <c:pt idx="30">
                  <c:v>0.2389</c:v>
                </c:pt>
                <c:pt idx="31">
                  <c:v>0.2397</c:v>
                </c:pt>
                <c:pt idx="32">
                  <c:v>0.25019999999999998</c:v>
                </c:pt>
                <c:pt idx="33">
                  <c:v>0.25059999999999999</c:v>
                </c:pt>
                <c:pt idx="34">
                  <c:v>0.24780000000000002</c:v>
                </c:pt>
                <c:pt idx="35">
                  <c:v>0.25730000000000003</c:v>
                </c:pt>
                <c:pt idx="36">
                  <c:v>0.25319999999999998</c:v>
                </c:pt>
                <c:pt idx="37">
                  <c:v>0.25019999999999998</c:v>
                </c:pt>
                <c:pt idx="38">
                  <c:v>0.2452</c:v>
                </c:pt>
                <c:pt idx="39">
                  <c:v>0.25239999999999996</c:v>
                </c:pt>
                <c:pt idx="40">
                  <c:v>0.2505</c:v>
                </c:pt>
                <c:pt idx="41">
                  <c:v>0.25329999999999997</c:v>
                </c:pt>
                <c:pt idx="42">
                  <c:v>0.25239999999999996</c:v>
                </c:pt>
                <c:pt idx="43">
                  <c:v>0.24420000000000003</c:v>
                </c:pt>
                <c:pt idx="44">
                  <c:v>0.24179999999999999</c:v>
                </c:pt>
                <c:pt idx="45">
                  <c:v>0.2364</c:v>
                </c:pt>
                <c:pt idx="46">
                  <c:v>0.23070000000000002</c:v>
                </c:pt>
                <c:pt idx="47">
                  <c:v>0.23100000000000001</c:v>
                </c:pt>
                <c:pt idx="48">
                  <c:v>0.25440000000000002</c:v>
                </c:pt>
                <c:pt idx="49">
                  <c:v>0.27399999999999997</c:v>
                </c:pt>
                <c:pt idx="50">
                  <c:v>0.2676</c:v>
                </c:pt>
                <c:pt idx="51">
                  <c:v>0.29609999999999997</c:v>
                </c:pt>
                <c:pt idx="52">
                  <c:v>0.28129999999999999</c:v>
                </c:pt>
                <c:pt idx="53">
                  <c:v>0.2482</c:v>
                </c:pt>
                <c:pt idx="54">
                  <c:v>0.23260000000000003</c:v>
                </c:pt>
                <c:pt idx="55">
                  <c:v>0.2432</c:v>
                </c:pt>
                <c:pt idx="56">
                  <c:v>0.27600000000000002</c:v>
                </c:pt>
                <c:pt idx="57">
                  <c:v>0.2944</c:v>
                </c:pt>
                <c:pt idx="58">
                  <c:v>0.32530000000000003</c:v>
                </c:pt>
                <c:pt idx="59">
                  <c:v>0.34770000000000001</c:v>
                </c:pt>
                <c:pt idx="60">
                  <c:v>0.39390000000000003</c:v>
                </c:pt>
                <c:pt idx="61">
                  <c:v>0.43180000000000002</c:v>
                </c:pt>
                <c:pt idx="62">
                  <c:v>0.50340000000000007</c:v>
                </c:pt>
                <c:pt idx="63">
                  <c:v>0.52139999999999997</c:v>
                </c:pt>
                <c:pt idx="64">
                  <c:v>0.51840000000000008</c:v>
                </c:pt>
                <c:pt idx="65">
                  <c:v>0.55889999999999995</c:v>
                </c:pt>
                <c:pt idx="66">
                  <c:v>0.59089999999999998</c:v>
                </c:pt>
                <c:pt idx="67">
                  <c:v>0.63890000000000002</c:v>
                </c:pt>
                <c:pt idx="68">
                  <c:v>0.5786</c:v>
                </c:pt>
                <c:pt idx="69">
                  <c:v>0.61229999999999996</c:v>
                </c:pt>
                <c:pt idx="70">
                  <c:v>0.6079</c:v>
                </c:pt>
                <c:pt idx="71">
                  <c:v>0.5494</c:v>
                </c:pt>
                <c:pt idx="72">
                  <c:v>0.59549999999999992</c:v>
                </c:pt>
                <c:pt idx="73">
                  <c:v>0.71239999999999992</c:v>
                </c:pt>
                <c:pt idx="74">
                  <c:v>0.8175</c:v>
                </c:pt>
                <c:pt idx="75">
                  <c:v>0.80559999999999998</c:v>
                </c:pt>
                <c:pt idx="76">
                  <c:v>0.82869999999999999</c:v>
                </c:pt>
                <c:pt idx="77">
                  <c:v>0.76430000000000009</c:v>
                </c:pt>
                <c:pt idx="78">
                  <c:v>0.68400000000000005</c:v>
                </c:pt>
                <c:pt idx="79">
                  <c:v>0.70909999999999995</c:v>
                </c:pt>
                <c:pt idx="80">
                  <c:v>0.73181999999999992</c:v>
                </c:pt>
                <c:pt idx="81">
                  <c:v>0.73180000000000001</c:v>
                </c:pt>
                <c:pt idx="82">
                  <c:v>0.77570000000000006</c:v>
                </c:pt>
                <c:pt idx="83">
                  <c:v>0.68745999999999996</c:v>
                </c:pt>
                <c:pt idx="84">
                  <c:v>0.68020000000000003</c:v>
                </c:pt>
                <c:pt idx="85">
                  <c:v>0.63124999999999998</c:v>
                </c:pt>
                <c:pt idx="86">
                  <c:v>0.55728</c:v>
                </c:pt>
                <c:pt idx="87">
                  <c:v>0.53957500000000003</c:v>
                </c:pt>
                <c:pt idx="88">
                  <c:v>0.55210000000000004</c:v>
                </c:pt>
                <c:pt idx="89">
                  <c:v>0.57003999999999999</c:v>
                </c:pt>
                <c:pt idx="90">
                  <c:v>0.650725</c:v>
                </c:pt>
                <c:pt idx="91">
                  <c:v>0.68402499999999988</c:v>
                </c:pt>
                <c:pt idx="92">
                  <c:v>0.6765000000000001</c:v>
                </c:pt>
                <c:pt idx="93">
                  <c:v>0.623475</c:v>
                </c:pt>
                <c:pt idx="94">
                  <c:v>0.5534</c:v>
                </c:pt>
                <c:pt idx="95">
                  <c:v>0.52507499999999996</c:v>
                </c:pt>
                <c:pt idx="96">
                  <c:v>0.48694999999999999</c:v>
                </c:pt>
                <c:pt idx="97">
                  <c:v>0.45290000000000002</c:v>
                </c:pt>
              </c:numCache>
            </c:numRef>
          </c:val>
          <c:smooth val="0"/>
          <c:extLst>
            <c:ext xmlns:c16="http://schemas.microsoft.com/office/drawing/2014/chart" uri="{C3380CC4-5D6E-409C-BE32-E72D297353CC}">
              <c16:uniqueId val="{00000000-9FF6-4B0A-B03F-66ECFC86F9A4}"/>
            </c:ext>
          </c:extLst>
        </c:ser>
        <c:dLbls>
          <c:showLegendKey val="0"/>
          <c:showVal val="0"/>
          <c:showCatName val="0"/>
          <c:showSerName val="0"/>
          <c:showPercent val="0"/>
          <c:showBubbleSize val="0"/>
        </c:dLbls>
        <c:marker val="1"/>
        <c:smooth val="0"/>
        <c:axId val="229947888"/>
        <c:axId val="229948448"/>
      </c:lineChart>
      <c:lineChart>
        <c:grouping val="standard"/>
        <c:varyColors val="0"/>
        <c:ser>
          <c:idx val="1"/>
          <c:order val="1"/>
          <c:tx>
            <c:v>DDGS price per ton</c:v>
          </c:tx>
          <c:spPr>
            <a:ln w="31750" cap="rnd">
              <a:solidFill>
                <a:schemeClr val="accent2"/>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[0]!E</c:f>
              <c:numCache>
                <c:formatCode>_("$"* #,##0_);_("$"* \(#,##0\);_("$"* "-"??_);_(@_)</c:formatCode>
                <c:ptCount val="98"/>
                <c:pt idx="0">
                  <c:v>121.73684210526316</c:v>
                </c:pt>
                <c:pt idx="1">
                  <c:v>122.6</c:v>
                </c:pt>
                <c:pt idx="2">
                  <c:v>123.98913043478261</c:v>
                </c:pt>
                <c:pt idx="3">
                  <c:v>115.80952380952381</c:v>
                </c:pt>
                <c:pt idx="4">
                  <c:v>132.0952380952381</c:v>
                </c:pt>
                <c:pt idx="5">
                  <c:v>160.67045454545453</c:v>
                </c:pt>
                <c:pt idx="6">
                  <c:v>140.27500000000001</c:v>
                </c:pt>
                <c:pt idx="7">
                  <c:v>118.08695652173913</c:v>
                </c:pt>
                <c:pt idx="8">
                  <c:v>111.95238095238095</c:v>
                </c:pt>
                <c:pt idx="9">
                  <c:v>102.96428571428601</c:v>
                </c:pt>
                <c:pt idx="10">
                  <c:v>102</c:v>
                </c:pt>
                <c:pt idx="11">
                  <c:v>99.488095238100001</c:v>
                </c:pt>
                <c:pt idx="12">
                  <c:v>96.95</c:v>
                </c:pt>
                <c:pt idx="13">
                  <c:v>97.144736842100002</c:v>
                </c:pt>
                <c:pt idx="14">
                  <c:v>95.706521738999996</c:v>
                </c:pt>
                <c:pt idx="15">
                  <c:v>93.4375</c:v>
                </c:pt>
                <c:pt idx="16">
                  <c:v>93.454545455000002</c:v>
                </c:pt>
                <c:pt idx="17">
                  <c:v>99.068181818179994</c:v>
                </c:pt>
                <c:pt idx="18">
                  <c:v>103.85</c:v>
                </c:pt>
                <c:pt idx="19">
                  <c:v>108.6818181818</c:v>
                </c:pt>
                <c:pt idx="20">
                  <c:v>104.1125</c:v>
                </c:pt>
                <c:pt idx="21">
                  <c:v>108.95238095238095</c:v>
                </c:pt>
                <c:pt idx="22">
                  <c:v>116.125</c:v>
                </c:pt>
                <c:pt idx="23">
                  <c:v>125.15</c:v>
                </c:pt>
                <c:pt idx="24">
                  <c:v>134.85714285714286</c:v>
                </c:pt>
                <c:pt idx="25">
                  <c:v>143.15789473684211</c:v>
                </c:pt>
                <c:pt idx="26">
                  <c:v>147.21590909090909</c:v>
                </c:pt>
                <c:pt idx="27">
                  <c:v>156.875</c:v>
                </c:pt>
                <c:pt idx="28">
                  <c:v>175.05681818181819</c:v>
                </c:pt>
                <c:pt idx="29">
                  <c:v>148.95238095238096</c:v>
                </c:pt>
                <c:pt idx="30">
                  <c:v>109.77380952380952</c:v>
                </c:pt>
                <c:pt idx="31">
                  <c:v>131.72826086956522</c:v>
                </c:pt>
                <c:pt idx="32">
                  <c:v>131.11250000000001</c:v>
                </c:pt>
                <c:pt idx="33">
                  <c:v>130.26136363636363</c:v>
                </c:pt>
                <c:pt idx="34">
                  <c:v>133.48750000000001</c:v>
                </c:pt>
                <c:pt idx="35">
                  <c:v>165.1764705882353</c:v>
                </c:pt>
                <c:pt idx="36">
                  <c:v>155.14285714285714</c:v>
                </c:pt>
                <c:pt idx="37">
                  <c:v>140</c:v>
                </c:pt>
                <c:pt idx="38">
                  <c:v>135.77380952380952</c:v>
                </c:pt>
                <c:pt idx="39">
                  <c:v>134.26136363636363</c:v>
                </c:pt>
                <c:pt idx="40">
                  <c:v>118.63095238095238</c:v>
                </c:pt>
                <c:pt idx="41">
                  <c:v>130.94999999999999</c:v>
                </c:pt>
                <c:pt idx="42">
                  <c:v>131.46590909090909</c:v>
                </c:pt>
                <c:pt idx="43">
                  <c:v>126.82954545454545</c:v>
                </c:pt>
                <c:pt idx="44">
                  <c:v>130.72499999999999</c:v>
                </c:pt>
                <c:pt idx="45">
                  <c:v>139.82142857142858</c:v>
                </c:pt>
                <c:pt idx="46">
                  <c:v>138.44736842105263</c:v>
                </c:pt>
                <c:pt idx="47">
                  <c:v>141.13749999999999</c:v>
                </c:pt>
                <c:pt idx="48">
                  <c:v>141.91666666666666</c:v>
                </c:pt>
                <c:pt idx="49">
                  <c:v>143</c:v>
                </c:pt>
                <c:pt idx="50">
                  <c:v>147.04761904761904</c:v>
                </c:pt>
                <c:pt idx="51">
                  <c:v>192.04545454545453</c:v>
                </c:pt>
                <c:pt idx="52">
                  <c:v>143.33333333333334</c:v>
                </c:pt>
                <c:pt idx="53">
                  <c:v>127.48809523809524</c:v>
                </c:pt>
                <c:pt idx="54">
                  <c:v>117.82954545454545</c:v>
                </c:pt>
                <c:pt idx="55">
                  <c:v>121.94047619047619</c:v>
                </c:pt>
                <c:pt idx="56">
                  <c:v>138.1547619047619</c:v>
                </c:pt>
                <c:pt idx="57">
                  <c:v>156.33333333333334</c:v>
                </c:pt>
                <c:pt idx="58">
                  <c:v>183.76470588235293</c:v>
                </c:pt>
                <c:pt idx="59">
                  <c:v>204.0595238095238</c:v>
                </c:pt>
                <c:pt idx="60">
                  <c:v>216.55263157894737</c:v>
                </c:pt>
                <c:pt idx="61">
                  <c:v>230.19736842105263</c:v>
                </c:pt>
                <c:pt idx="62">
                  <c:v>222.41304347826087</c:v>
                </c:pt>
                <c:pt idx="63">
                  <c:v>203.77380952380952</c:v>
                </c:pt>
                <c:pt idx="64">
                  <c:v>233.57499999999999</c:v>
                </c:pt>
                <c:pt idx="65">
                  <c:v>198.52272727272728</c:v>
                </c:pt>
                <c:pt idx="66">
                  <c:v>159.53947368421052</c:v>
                </c:pt>
                <c:pt idx="67">
                  <c:v>185.90909090909091</c:v>
                </c:pt>
                <c:pt idx="68">
                  <c:v>194.3452380952381</c:v>
                </c:pt>
                <c:pt idx="69">
                  <c:v>180.95</c:v>
                </c:pt>
                <c:pt idx="70">
                  <c:v>163.96250000000001</c:v>
                </c:pt>
                <c:pt idx="71">
                  <c:v>171.3452380952381</c:v>
                </c:pt>
                <c:pt idx="72">
                  <c:v>193.65</c:v>
                </c:pt>
                <c:pt idx="73">
                  <c:v>227.30263157894737</c:v>
                </c:pt>
                <c:pt idx="74">
                  <c:v>262.71739130434781</c:v>
                </c:pt>
                <c:pt idx="75">
                  <c:v>286.07142857142856</c:v>
                </c:pt>
                <c:pt idx="76">
                  <c:v>276.75</c:v>
                </c:pt>
                <c:pt idx="77">
                  <c:v>230.3125</c:v>
                </c:pt>
                <c:pt idx="78">
                  <c:v>204.827</c:v>
                </c:pt>
                <c:pt idx="79">
                  <c:v>225.14249999999998</c:v>
                </c:pt>
                <c:pt idx="80">
                  <c:v>251.84200000000001</c:v>
                </c:pt>
                <c:pt idx="81">
                  <c:v>245.07750000000001</c:v>
                </c:pt>
                <c:pt idx="82">
                  <c:v>220.80124999999998</c:v>
                </c:pt>
                <c:pt idx="83">
                  <c:v>244.79000000000002</c:v>
                </c:pt>
                <c:pt idx="84">
                  <c:v>274.33375000000001</c:v>
                </c:pt>
                <c:pt idx="85">
                  <c:v>268.04124999999999</c:v>
                </c:pt>
                <c:pt idx="86">
                  <c:v>249.227</c:v>
                </c:pt>
                <c:pt idx="87">
                  <c:v>245.10375000000002</c:v>
                </c:pt>
                <c:pt idx="88">
                  <c:v>229.10124999999999</c:v>
                </c:pt>
                <c:pt idx="89">
                  <c:v>199.54599999999999</c:v>
                </c:pt>
                <c:pt idx="90">
                  <c:v>191.92875000000001</c:v>
                </c:pt>
                <c:pt idx="91">
                  <c:v>190.86374999999998</c:v>
                </c:pt>
                <c:pt idx="92">
                  <c:v>189.80699999999999</c:v>
                </c:pt>
                <c:pt idx="93">
                  <c:v>183.35124999999999</c:v>
                </c:pt>
                <c:pt idx="94">
                  <c:v>194.29833333333332</c:v>
                </c:pt>
                <c:pt idx="95">
                  <c:v>209.66499999999999</c:v>
                </c:pt>
                <c:pt idx="96">
                  <c:v>196.51</c:v>
                </c:pt>
                <c:pt idx="97">
                  <c:v>193.05500000000001</c:v>
                </c:pt>
              </c:numCache>
            </c:numRef>
          </c:val>
          <c:smooth val="0"/>
          <c:extLst>
            <c:ext xmlns:c16="http://schemas.microsoft.com/office/drawing/2014/chart" uri="{C3380CC4-5D6E-409C-BE32-E72D297353CC}">
              <c16:uniqueId val="{00000001-44FE-4154-A007-69398E66159B}"/>
            </c:ext>
          </c:extLst>
        </c:ser>
        <c:dLbls>
          <c:showLegendKey val="0"/>
          <c:showVal val="0"/>
          <c:showCatName val="0"/>
          <c:showSerName val="0"/>
          <c:showPercent val="0"/>
          <c:showBubbleSize val="0"/>
        </c:dLbls>
        <c:marker val="1"/>
        <c:smooth val="0"/>
        <c:axId val="229949008"/>
        <c:axId val="229949568"/>
      </c:lineChart>
      <c:dateAx>
        <c:axId val="229947888"/>
        <c:scaling>
          <c:orientation val="minMax"/>
        </c:scaling>
        <c:delete val="0"/>
        <c:axPos val="b"/>
        <c:numFmt formatCode="mmm\-yy" sourceLinked="0"/>
        <c:majorTickMark val="out"/>
        <c:minorTickMark val="out"/>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29948448"/>
        <c:crosses val="autoZero"/>
        <c:auto val="1"/>
        <c:lblOffset val="100"/>
        <c:baseTimeUnit val="months"/>
        <c:majorUnit val="5"/>
        <c:majorTimeUnit val="months"/>
        <c:minorUnit val="1"/>
        <c:minorTimeUnit val="months"/>
      </c:dateAx>
      <c:valAx>
        <c:axId val="229948448"/>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r>
                  <a:rPr lang="en-US" sz="1200"/>
                  <a:t>$ per gallon</a:t>
                </a:r>
                <a:r>
                  <a:rPr lang="en-US" sz="1200" baseline="0"/>
                  <a:t> or pound</a:t>
                </a:r>
                <a:endParaRPr lang="en-US" sz="1200"/>
              </a:p>
            </c:rich>
          </c:tx>
          <c:layout>
            <c:manualLayout>
              <c:xMode val="edge"/>
              <c:yMode val="edge"/>
              <c:x val="1.5073346600905658E-2"/>
              <c:y val="0.1993986327441078"/>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29947888"/>
        <c:crosses val="autoZero"/>
        <c:crossBetween val="between"/>
      </c:valAx>
      <c:dateAx>
        <c:axId val="229949008"/>
        <c:scaling>
          <c:orientation val="minMax"/>
        </c:scaling>
        <c:delete val="1"/>
        <c:axPos val="b"/>
        <c:numFmt formatCode="mmm\-yy" sourceLinked="1"/>
        <c:majorTickMark val="out"/>
        <c:minorTickMark val="none"/>
        <c:tickLblPos val="none"/>
        <c:crossAx val="229949568"/>
        <c:crosses val="autoZero"/>
        <c:auto val="1"/>
        <c:lblOffset val="100"/>
        <c:baseTimeUnit val="months"/>
      </c:dateAx>
      <c:valAx>
        <c:axId val="229949568"/>
        <c:scaling>
          <c:orientation val="minMax"/>
        </c:scaling>
        <c:delete val="0"/>
        <c:axPos val="r"/>
        <c:title>
          <c:tx>
            <c:rich>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r>
                  <a:rPr lang="en-US" sz="1200"/>
                  <a:t>DDGS $ Per Ton</a:t>
                </a:r>
              </a:p>
            </c:rich>
          </c:tx>
          <c:layout>
            <c:manualLayout>
              <c:xMode val="edge"/>
              <c:yMode val="edge"/>
              <c:x val="0.95425878033574196"/>
              <c:y val="0.25793954871687103"/>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29949008"/>
        <c:crosses val="max"/>
        <c:crossBetween val="between"/>
      </c:valAx>
      <c:spPr>
        <a:noFill/>
        <a:ln>
          <a:noFill/>
        </a:ln>
        <a:effectLst/>
      </c:spPr>
    </c:plotArea>
    <c:legend>
      <c:legendPos val="b"/>
      <c:layout>
        <c:manualLayout>
          <c:xMode val="edge"/>
          <c:yMode val="edge"/>
          <c:x val="0.11942012900987124"/>
          <c:y val="0.84344637435578351"/>
          <c:w val="0.76115962646902846"/>
          <c:h val="7.9201163524643639E-2"/>
        </c:manualLayout>
      </c:layout>
      <c:overlay val="0"/>
      <c:spPr>
        <a:noFill/>
        <a:ln>
          <a:solidFill>
            <a:schemeClr val="accent1"/>
          </a:solidFill>
        </a:ln>
        <a:effectLst/>
      </c:spPr>
      <c:txPr>
        <a:bodyPr rot="0" spcFirstLastPara="1" vertOverflow="ellipsis" vert="horz"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latin typeface="Arial Narrow" panose="020B0606020202030204" pitchFamily="34" charset="0"/>
        </a:defRPr>
      </a:pPr>
      <a:endParaRPr lang="en-US"/>
    </a:p>
  </c:txPr>
  <c:printSettings>
    <c:headerFooter alignWithMargins="0"/>
    <c:pageMargins b="1" l="0.750000000000002" r="0.750000000000002" t="1" header="0.5" footer="0.5"/>
    <c:pageSetup orientation="landscape"/>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baseline="0">
                <a:solidFill>
                  <a:schemeClr val="tx2"/>
                </a:solidFill>
                <a:latin typeface="Arial Narrow" panose="020B0606020202030204" pitchFamily="34" charset="0"/>
                <a:ea typeface="+mn-ea"/>
                <a:cs typeface="+mn-cs"/>
              </a:defRPr>
            </a:pPr>
            <a:r>
              <a:rPr lang="en-US"/>
              <a:t>Cost to Produce Ethanol</a:t>
            </a:r>
            <a:endParaRPr lang="en-US" b="0"/>
          </a:p>
          <a:p>
            <a:pPr>
              <a:defRPr/>
            </a:pPr>
            <a:r>
              <a:rPr lang="en-US" b="0"/>
              <a:t>(corn at cost of production)</a:t>
            </a:r>
          </a:p>
        </c:rich>
      </c:tx>
      <c:layout>
        <c:manualLayout>
          <c:xMode val="edge"/>
          <c:yMode val="edge"/>
          <c:x val="0.39463833838483192"/>
          <c:y val="1.0471168376680188E-2"/>
        </c:manualLayout>
      </c:layout>
      <c:overlay val="0"/>
      <c:spPr>
        <a:noFill/>
        <a:ln>
          <a:noFill/>
        </a:ln>
        <a:effectLst/>
      </c:spPr>
      <c:txPr>
        <a:bodyPr rot="0" spcFirstLastPara="1" vertOverflow="ellipsis" vert="horz" wrap="square" anchor="ctr" anchorCtr="1"/>
        <a:lstStyle/>
        <a:p>
          <a:pPr>
            <a:defRPr sz="168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41201654074595"/>
          <c:y val="0.13675240594925636"/>
          <c:w val="0.85007913096744003"/>
          <c:h val="0.64756207746758931"/>
        </c:manualLayout>
      </c:layout>
      <c:areaChart>
        <c:grouping val="stacked"/>
        <c:varyColors val="0"/>
        <c:ser>
          <c:idx val="2"/>
          <c:order val="0"/>
          <c:tx>
            <c:v>Cropland rent</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[0]!AF</c:f>
              <c:numCache>
                <c:formatCode>_("$"* #,##0.00_);_("$"* \(#,##0.00\);_("$"* "-"??_);_(@_)</c:formatCode>
                <c:ptCount val="98"/>
                <c:pt idx="0">
                  <c:v>0.44956140350877194</c:v>
                </c:pt>
                <c:pt idx="1">
                  <c:v>0.44956140350877194</c:v>
                </c:pt>
                <c:pt idx="2">
                  <c:v>0.44956140350877194</c:v>
                </c:pt>
                <c:pt idx="3">
                  <c:v>0.44956140350877194</c:v>
                </c:pt>
                <c:pt idx="4">
                  <c:v>0.44956140350877194</c:v>
                </c:pt>
                <c:pt idx="5">
                  <c:v>0.44956140350877194</c:v>
                </c:pt>
                <c:pt idx="6">
                  <c:v>0.44956140350877194</c:v>
                </c:pt>
                <c:pt idx="7">
                  <c:v>0.44956140350877194</c:v>
                </c:pt>
                <c:pt idx="8">
                  <c:v>0.39754558810820151</c:v>
                </c:pt>
                <c:pt idx="9">
                  <c:v>0.39754558810820151</c:v>
                </c:pt>
                <c:pt idx="10">
                  <c:v>0.39754558810820151</c:v>
                </c:pt>
                <c:pt idx="11">
                  <c:v>0.39754558810820151</c:v>
                </c:pt>
                <c:pt idx="12">
                  <c:v>0.39754558810820151</c:v>
                </c:pt>
                <c:pt idx="13">
                  <c:v>0.39754558810820151</c:v>
                </c:pt>
                <c:pt idx="14">
                  <c:v>0.39754558810820151</c:v>
                </c:pt>
                <c:pt idx="15">
                  <c:v>0.39754558810820151</c:v>
                </c:pt>
                <c:pt idx="16">
                  <c:v>0.39754558810820151</c:v>
                </c:pt>
                <c:pt idx="17">
                  <c:v>0.39754558810820151</c:v>
                </c:pt>
                <c:pt idx="18">
                  <c:v>0.39754558810820151</c:v>
                </c:pt>
                <c:pt idx="19">
                  <c:v>0.39754558810820151</c:v>
                </c:pt>
                <c:pt idx="20">
                  <c:v>0.38040646169880149</c:v>
                </c:pt>
                <c:pt idx="21">
                  <c:v>0.38040646169880149</c:v>
                </c:pt>
                <c:pt idx="22">
                  <c:v>0.38040646169880149</c:v>
                </c:pt>
                <c:pt idx="23">
                  <c:v>0.38040646169880149</c:v>
                </c:pt>
                <c:pt idx="24">
                  <c:v>0.38040646169880149</c:v>
                </c:pt>
                <c:pt idx="25">
                  <c:v>0.38040646169880149</c:v>
                </c:pt>
                <c:pt idx="26">
                  <c:v>0.38040646169880149</c:v>
                </c:pt>
                <c:pt idx="27">
                  <c:v>0.38040646169880149</c:v>
                </c:pt>
                <c:pt idx="28">
                  <c:v>0.38040646169880149</c:v>
                </c:pt>
                <c:pt idx="29">
                  <c:v>0.38040646169880149</c:v>
                </c:pt>
                <c:pt idx="30">
                  <c:v>0.38040646169880149</c:v>
                </c:pt>
                <c:pt idx="31">
                  <c:v>0.38040646169880149</c:v>
                </c:pt>
                <c:pt idx="32">
                  <c:v>0.39742212674543503</c:v>
                </c:pt>
                <c:pt idx="33">
                  <c:v>0.39742212674543503</c:v>
                </c:pt>
                <c:pt idx="34">
                  <c:v>0.39742212674543503</c:v>
                </c:pt>
                <c:pt idx="35">
                  <c:v>0.39742212674543503</c:v>
                </c:pt>
                <c:pt idx="36">
                  <c:v>0.39742212674543503</c:v>
                </c:pt>
                <c:pt idx="37">
                  <c:v>0.39742212674543503</c:v>
                </c:pt>
                <c:pt idx="38">
                  <c:v>0.39742212674543503</c:v>
                </c:pt>
                <c:pt idx="39">
                  <c:v>0.39742212674543503</c:v>
                </c:pt>
                <c:pt idx="40">
                  <c:v>0.39742212674543503</c:v>
                </c:pt>
                <c:pt idx="41">
                  <c:v>0.39742212674543503</c:v>
                </c:pt>
                <c:pt idx="42">
                  <c:v>0.39742212674543503</c:v>
                </c:pt>
                <c:pt idx="43">
                  <c:v>0.39742212674543503</c:v>
                </c:pt>
                <c:pt idx="44">
                  <c:v>0.3880914407230196</c:v>
                </c:pt>
                <c:pt idx="45">
                  <c:v>0.3880914407230196</c:v>
                </c:pt>
                <c:pt idx="46">
                  <c:v>0.3880914407230196</c:v>
                </c:pt>
                <c:pt idx="47">
                  <c:v>0.3880914407230196</c:v>
                </c:pt>
                <c:pt idx="48">
                  <c:v>0.3880914407230196</c:v>
                </c:pt>
                <c:pt idx="49">
                  <c:v>0.3880914407230196</c:v>
                </c:pt>
                <c:pt idx="50">
                  <c:v>0.3880914407230196</c:v>
                </c:pt>
                <c:pt idx="51">
                  <c:v>0.3880914407230196</c:v>
                </c:pt>
                <c:pt idx="52">
                  <c:v>0.3880914407230196</c:v>
                </c:pt>
                <c:pt idx="53">
                  <c:v>0.3880914407230196</c:v>
                </c:pt>
                <c:pt idx="54">
                  <c:v>0.3880914407230196</c:v>
                </c:pt>
                <c:pt idx="55">
                  <c:v>0.3880914407230196</c:v>
                </c:pt>
                <c:pt idx="56">
                  <c:v>0.44008325899494499</c:v>
                </c:pt>
                <c:pt idx="57">
                  <c:v>0.44008325899494499</c:v>
                </c:pt>
                <c:pt idx="58">
                  <c:v>0.44008325899494499</c:v>
                </c:pt>
                <c:pt idx="59">
                  <c:v>0.44008325899494499</c:v>
                </c:pt>
                <c:pt idx="60">
                  <c:v>0.44008325899494499</c:v>
                </c:pt>
                <c:pt idx="61">
                  <c:v>0.44008325899494499</c:v>
                </c:pt>
                <c:pt idx="62">
                  <c:v>0.44008325899494499</c:v>
                </c:pt>
                <c:pt idx="63">
                  <c:v>0.44008325899494499</c:v>
                </c:pt>
                <c:pt idx="64">
                  <c:v>0.44008325899494499</c:v>
                </c:pt>
                <c:pt idx="65">
                  <c:v>0.44008325899494499</c:v>
                </c:pt>
                <c:pt idx="66">
                  <c:v>0.44008325899494499</c:v>
                </c:pt>
                <c:pt idx="67">
                  <c:v>0.44008325899494499</c:v>
                </c:pt>
                <c:pt idx="68">
                  <c:v>0.39903680770553834</c:v>
                </c:pt>
                <c:pt idx="69">
                  <c:v>0.39903680770553834</c:v>
                </c:pt>
                <c:pt idx="70">
                  <c:v>0.39903680770553834</c:v>
                </c:pt>
                <c:pt idx="71">
                  <c:v>0.39903680770553834</c:v>
                </c:pt>
                <c:pt idx="72">
                  <c:v>0.39903680770553834</c:v>
                </c:pt>
                <c:pt idx="73">
                  <c:v>0.39903680770553834</c:v>
                </c:pt>
                <c:pt idx="74">
                  <c:v>0.39903680770553834</c:v>
                </c:pt>
                <c:pt idx="75">
                  <c:v>0.39903680770553834</c:v>
                </c:pt>
                <c:pt idx="76">
                  <c:v>0.39903680770553834</c:v>
                </c:pt>
                <c:pt idx="77">
                  <c:v>0.39903680770553834</c:v>
                </c:pt>
                <c:pt idx="78">
                  <c:v>0.39903680770553834</c:v>
                </c:pt>
                <c:pt idx="79">
                  <c:v>0.39903680770553834</c:v>
                </c:pt>
                <c:pt idx="80">
                  <c:v>0.44912280701754387</c:v>
                </c:pt>
                <c:pt idx="81">
                  <c:v>0.44912280701754387</c:v>
                </c:pt>
                <c:pt idx="82">
                  <c:v>0.44912280701754387</c:v>
                </c:pt>
                <c:pt idx="83">
                  <c:v>0.44912280701754387</c:v>
                </c:pt>
                <c:pt idx="84">
                  <c:v>0.44912280701754387</c:v>
                </c:pt>
                <c:pt idx="85">
                  <c:v>0.44912280701754387</c:v>
                </c:pt>
                <c:pt idx="86">
                  <c:v>0.44912280701754387</c:v>
                </c:pt>
                <c:pt idx="87">
                  <c:v>0.44912280701754387</c:v>
                </c:pt>
                <c:pt idx="88">
                  <c:v>0.44912280701754387</c:v>
                </c:pt>
                <c:pt idx="89">
                  <c:v>0.44912280701754387</c:v>
                </c:pt>
                <c:pt idx="90">
                  <c:v>0.44912280701754387</c:v>
                </c:pt>
                <c:pt idx="91">
                  <c:v>0.44912280701754387</c:v>
                </c:pt>
                <c:pt idx="92">
                  <c:v>0.51523545706371188</c:v>
                </c:pt>
                <c:pt idx="93">
                  <c:v>0.51523545706371188</c:v>
                </c:pt>
                <c:pt idx="94">
                  <c:v>0.51523545706371188</c:v>
                </c:pt>
                <c:pt idx="95">
                  <c:v>0.51523545706371188</c:v>
                </c:pt>
                <c:pt idx="96">
                  <c:v>0.51523545706371188</c:v>
                </c:pt>
                <c:pt idx="97">
                  <c:v>0.51523545706371188</c:v>
                </c:pt>
              </c:numCache>
            </c:numRef>
          </c:val>
          <c:extLst>
            <c:ext xmlns:c16="http://schemas.microsoft.com/office/drawing/2014/chart" uri="{C3380CC4-5D6E-409C-BE32-E72D297353CC}">
              <c16:uniqueId val="{00000000-E497-4D28-A7A1-BB28E9E670B2}"/>
            </c:ext>
          </c:extLst>
        </c:ser>
        <c:ser>
          <c:idx val="6"/>
          <c:order val="1"/>
          <c:tx>
            <c:v>Corn input costs</c:v>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[0]!AG</c:f>
              <c:numCache>
                <c:formatCode>_("$"* #,##0.00_);_("$"* \(#,##0.00\);_("$"* "-"??_);_(@_)</c:formatCode>
                <c:ptCount val="98"/>
                <c:pt idx="0">
                  <c:v>0.93870614035087707</c:v>
                </c:pt>
                <c:pt idx="1">
                  <c:v>0.93870614035087707</c:v>
                </c:pt>
                <c:pt idx="2">
                  <c:v>0.93870614035087707</c:v>
                </c:pt>
                <c:pt idx="3">
                  <c:v>0.93870614035087707</c:v>
                </c:pt>
                <c:pt idx="4">
                  <c:v>0.93870614035087707</c:v>
                </c:pt>
                <c:pt idx="5">
                  <c:v>0.93870614035087707</c:v>
                </c:pt>
                <c:pt idx="6">
                  <c:v>0.93870614035087707</c:v>
                </c:pt>
                <c:pt idx="7">
                  <c:v>0.93870614035087707</c:v>
                </c:pt>
                <c:pt idx="8">
                  <c:v>0.85274911416472232</c:v>
                </c:pt>
                <c:pt idx="9">
                  <c:v>0.85274911416472232</c:v>
                </c:pt>
                <c:pt idx="10">
                  <c:v>0.85274911416472232</c:v>
                </c:pt>
                <c:pt idx="11">
                  <c:v>0.85274911416472232</c:v>
                </c:pt>
                <c:pt idx="12">
                  <c:v>0.85274911416472232</c:v>
                </c:pt>
                <c:pt idx="13">
                  <c:v>0.85274911416472232</c:v>
                </c:pt>
                <c:pt idx="14">
                  <c:v>0.85274911416472232</c:v>
                </c:pt>
                <c:pt idx="15">
                  <c:v>0.85274911416472232</c:v>
                </c:pt>
                <c:pt idx="16">
                  <c:v>0.85274911416472232</c:v>
                </c:pt>
                <c:pt idx="17">
                  <c:v>0.85274911416472232</c:v>
                </c:pt>
                <c:pt idx="18">
                  <c:v>0.85274911416472232</c:v>
                </c:pt>
                <c:pt idx="19">
                  <c:v>0.85274911416472232</c:v>
                </c:pt>
                <c:pt idx="20">
                  <c:v>0.80141566788257768</c:v>
                </c:pt>
                <c:pt idx="21">
                  <c:v>0.80141566788257768</c:v>
                </c:pt>
                <c:pt idx="22">
                  <c:v>0.80141566788257768</c:v>
                </c:pt>
                <c:pt idx="23">
                  <c:v>0.80141566788257768</c:v>
                </c:pt>
                <c:pt idx="24">
                  <c:v>0.80141566788257768</c:v>
                </c:pt>
                <c:pt idx="25">
                  <c:v>0.80141566788257768</c:v>
                </c:pt>
                <c:pt idx="26">
                  <c:v>0.80141566788257768</c:v>
                </c:pt>
                <c:pt idx="27">
                  <c:v>0.80141566788257768</c:v>
                </c:pt>
                <c:pt idx="28">
                  <c:v>0.80141566788257768</c:v>
                </c:pt>
                <c:pt idx="29">
                  <c:v>0.80141566788257768</c:v>
                </c:pt>
                <c:pt idx="30">
                  <c:v>0.80141566788257768</c:v>
                </c:pt>
                <c:pt idx="31">
                  <c:v>0.80141566788257768</c:v>
                </c:pt>
                <c:pt idx="32">
                  <c:v>0.80825277479412816</c:v>
                </c:pt>
                <c:pt idx="33">
                  <c:v>0.80825277479412816</c:v>
                </c:pt>
                <c:pt idx="34">
                  <c:v>0.80825277479412816</c:v>
                </c:pt>
                <c:pt idx="35">
                  <c:v>0.80825277479412816</c:v>
                </c:pt>
                <c:pt idx="36">
                  <c:v>0.80825277479412816</c:v>
                </c:pt>
                <c:pt idx="37">
                  <c:v>0.80825277479412816</c:v>
                </c:pt>
                <c:pt idx="38">
                  <c:v>0.80825277479412816</c:v>
                </c:pt>
                <c:pt idx="39">
                  <c:v>0.80825277479412816</c:v>
                </c:pt>
                <c:pt idx="40">
                  <c:v>0.80825277479412816</c:v>
                </c:pt>
                <c:pt idx="41">
                  <c:v>0.80825277479412816</c:v>
                </c:pt>
                <c:pt idx="42">
                  <c:v>0.80825277479412816</c:v>
                </c:pt>
                <c:pt idx="43">
                  <c:v>0.80825277479412816</c:v>
                </c:pt>
                <c:pt idx="44">
                  <c:v>0.8727272727272728</c:v>
                </c:pt>
                <c:pt idx="45">
                  <c:v>0.8727272727272728</c:v>
                </c:pt>
                <c:pt idx="46">
                  <c:v>0.8727272727272728</c:v>
                </c:pt>
                <c:pt idx="47">
                  <c:v>0.8727272727272728</c:v>
                </c:pt>
                <c:pt idx="48">
                  <c:v>0.8727272727272728</c:v>
                </c:pt>
                <c:pt idx="49">
                  <c:v>0.8727272727272728</c:v>
                </c:pt>
                <c:pt idx="50">
                  <c:v>0.8727272727272728</c:v>
                </c:pt>
                <c:pt idx="51">
                  <c:v>0.8727272727272728</c:v>
                </c:pt>
                <c:pt idx="52">
                  <c:v>0.8727272727272728</c:v>
                </c:pt>
                <c:pt idx="53">
                  <c:v>0.8727272727272728</c:v>
                </c:pt>
                <c:pt idx="54">
                  <c:v>0.8727272727272728</c:v>
                </c:pt>
                <c:pt idx="55">
                  <c:v>0.8727272727272728</c:v>
                </c:pt>
                <c:pt idx="56">
                  <c:v>0.95104767568639104</c:v>
                </c:pt>
                <c:pt idx="57">
                  <c:v>0.95104767568639104</c:v>
                </c:pt>
                <c:pt idx="58">
                  <c:v>0.95104767568639104</c:v>
                </c:pt>
                <c:pt idx="59">
                  <c:v>0.95104767568639104</c:v>
                </c:pt>
                <c:pt idx="60">
                  <c:v>0.95104767568639104</c:v>
                </c:pt>
                <c:pt idx="61">
                  <c:v>0.95104767568639104</c:v>
                </c:pt>
                <c:pt idx="62">
                  <c:v>0.95104767568639104</c:v>
                </c:pt>
                <c:pt idx="63">
                  <c:v>0.95104767568639104</c:v>
                </c:pt>
                <c:pt idx="64">
                  <c:v>0.95104767568639104</c:v>
                </c:pt>
                <c:pt idx="65">
                  <c:v>0.95104767568639104</c:v>
                </c:pt>
                <c:pt idx="66">
                  <c:v>0.95104767568639104</c:v>
                </c:pt>
                <c:pt idx="67">
                  <c:v>0.95104767568639104</c:v>
                </c:pt>
                <c:pt idx="68">
                  <c:v>0.85995872033023724</c:v>
                </c:pt>
                <c:pt idx="69">
                  <c:v>0.85995872033023724</c:v>
                </c:pt>
                <c:pt idx="70">
                  <c:v>0.85995872033023724</c:v>
                </c:pt>
                <c:pt idx="71">
                  <c:v>0.85995872033023724</c:v>
                </c:pt>
                <c:pt idx="72">
                  <c:v>0.85995872033023724</c:v>
                </c:pt>
                <c:pt idx="73">
                  <c:v>0.85995872033023724</c:v>
                </c:pt>
                <c:pt idx="74">
                  <c:v>0.85995872033023724</c:v>
                </c:pt>
                <c:pt idx="75">
                  <c:v>0.85995872033023724</c:v>
                </c:pt>
                <c:pt idx="76">
                  <c:v>0.85995872033023724</c:v>
                </c:pt>
                <c:pt idx="77">
                  <c:v>0.85995872033023724</c:v>
                </c:pt>
                <c:pt idx="78">
                  <c:v>0.85995872033023724</c:v>
                </c:pt>
                <c:pt idx="79">
                  <c:v>0.85995872033023724</c:v>
                </c:pt>
                <c:pt idx="80">
                  <c:v>1.1340087719298246</c:v>
                </c:pt>
                <c:pt idx="81">
                  <c:v>1.1340087719298246</c:v>
                </c:pt>
                <c:pt idx="82">
                  <c:v>1.1340087719298246</c:v>
                </c:pt>
                <c:pt idx="83">
                  <c:v>1.1340087719298246</c:v>
                </c:pt>
                <c:pt idx="84">
                  <c:v>1.1340087719298246</c:v>
                </c:pt>
                <c:pt idx="85">
                  <c:v>1.1340087719298246</c:v>
                </c:pt>
                <c:pt idx="86">
                  <c:v>1.1340087719298246</c:v>
                </c:pt>
                <c:pt idx="87">
                  <c:v>1.1340087719298246</c:v>
                </c:pt>
                <c:pt idx="88">
                  <c:v>1.1340087719298246</c:v>
                </c:pt>
                <c:pt idx="89">
                  <c:v>1.1340087719298246</c:v>
                </c:pt>
                <c:pt idx="90">
                  <c:v>1.1340087719298246</c:v>
                </c:pt>
                <c:pt idx="91">
                  <c:v>1.1340087719298246</c:v>
                </c:pt>
                <c:pt idx="92">
                  <c:v>1.3558467220683286</c:v>
                </c:pt>
                <c:pt idx="93">
                  <c:v>1.3558467220683286</c:v>
                </c:pt>
                <c:pt idx="94">
                  <c:v>1.3558467220683286</c:v>
                </c:pt>
                <c:pt idx="95">
                  <c:v>1.3558467220683286</c:v>
                </c:pt>
                <c:pt idx="96">
                  <c:v>1.3558467220683286</c:v>
                </c:pt>
                <c:pt idx="97">
                  <c:v>1.3558467220683286</c:v>
                </c:pt>
              </c:numCache>
            </c:numRef>
          </c:val>
          <c:extLst>
            <c:ext xmlns:c16="http://schemas.microsoft.com/office/drawing/2014/chart" uri="{C3380CC4-5D6E-409C-BE32-E72D297353CC}">
              <c16:uniqueId val="{00000001-E497-4D28-A7A1-BB28E9E670B2}"/>
            </c:ext>
          </c:extLst>
        </c:ser>
        <c:ser>
          <c:idx val="3"/>
          <c:order val="2"/>
          <c:tx>
            <c:v>Natural gas</c:v>
          </c:tx>
          <c:spPr>
            <a:solidFill>
              <a:schemeClr val="accent2"/>
            </a:soli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[0]!RR</c:f>
              <c:numCache>
                <c:formatCode>_("$"* #,##0.00_);_("$"* \(#,##0.00\);_("$"* "-"??_);_(@_)</c:formatCode>
                <c:ptCount val="98"/>
                <c:pt idx="0">
                  <c:v>0.15029999999999999</c:v>
                </c:pt>
                <c:pt idx="1">
                  <c:v>0.1308</c:v>
                </c:pt>
                <c:pt idx="2">
                  <c:v>0.14580000000000001</c:v>
                </c:pt>
                <c:pt idx="3">
                  <c:v>0.13320000000000001</c:v>
                </c:pt>
                <c:pt idx="4">
                  <c:v>0.12210000000000001</c:v>
                </c:pt>
                <c:pt idx="5">
                  <c:v>0.13320000000000001</c:v>
                </c:pt>
                <c:pt idx="6">
                  <c:v>0.13980000000000001</c:v>
                </c:pt>
                <c:pt idx="7">
                  <c:v>0.12989999999999999</c:v>
                </c:pt>
                <c:pt idx="8">
                  <c:v>0.14879999999999999</c:v>
                </c:pt>
                <c:pt idx="9">
                  <c:v>0.14820000000000003</c:v>
                </c:pt>
                <c:pt idx="10">
                  <c:v>0.1404</c:v>
                </c:pt>
                <c:pt idx="11">
                  <c:v>0.1545</c:v>
                </c:pt>
                <c:pt idx="12">
                  <c:v>0.15659999999999999</c:v>
                </c:pt>
                <c:pt idx="13">
                  <c:v>0.15419999999999998</c:v>
                </c:pt>
                <c:pt idx="14">
                  <c:v>0.14070000000000002</c:v>
                </c:pt>
                <c:pt idx="15">
                  <c:v>0.15179999999999999</c:v>
                </c:pt>
                <c:pt idx="16">
                  <c:v>0.1593</c:v>
                </c:pt>
                <c:pt idx="17">
                  <c:v>0.1653</c:v>
                </c:pt>
                <c:pt idx="18">
                  <c:v>0.16289999999999999</c:v>
                </c:pt>
                <c:pt idx="19">
                  <c:v>0.15539999999999998</c:v>
                </c:pt>
                <c:pt idx="20">
                  <c:v>0.15989999999999999</c:v>
                </c:pt>
                <c:pt idx="21">
                  <c:v>0.15179999999999999</c:v>
                </c:pt>
                <c:pt idx="22">
                  <c:v>0.15360000000000001</c:v>
                </c:pt>
                <c:pt idx="23">
                  <c:v>0.16650000000000001</c:v>
                </c:pt>
                <c:pt idx="24">
                  <c:v>0.16650000000000001</c:v>
                </c:pt>
                <c:pt idx="25">
                  <c:v>0.18240000000000001</c:v>
                </c:pt>
                <c:pt idx="26">
                  <c:v>0.15839999999999999</c:v>
                </c:pt>
                <c:pt idx="27">
                  <c:v>0.15539999999999998</c:v>
                </c:pt>
                <c:pt idx="28">
                  <c:v>0.13109999999999999</c:v>
                </c:pt>
                <c:pt idx="29">
                  <c:v>0.12989999999999999</c:v>
                </c:pt>
                <c:pt idx="30">
                  <c:v>0.13379999999999997</c:v>
                </c:pt>
                <c:pt idx="31">
                  <c:v>0.14369999999999999</c:v>
                </c:pt>
                <c:pt idx="32">
                  <c:v>0.16140000000000002</c:v>
                </c:pt>
                <c:pt idx="33">
                  <c:v>0.1515</c:v>
                </c:pt>
                <c:pt idx="34">
                  <c:v>0.17460000000000001</c:v>
                </c:pt>
                <c:pt idx="35">
                  <c:v>0.1905</c:v>
                </c:pt>
                <c:pt idx="36">
                  <c:v>0.14789999999999998</c:v>
                </c:pt>
                <c:pt idx="37">
                  <c:v>0.1401</c:v>
                </c:pt>
                <c:pt idx="38">
                  <c:v>0.14580000000000001</c:v>
                </c:pt>
                <c:pt idx="39">
                  <c:v>0.129</c:v>
                </c:pt>
                <c:pt idx="40">
                  <c:v>0.1239</c:v>
                </c:pt>
                <c:pt idx="41">
                  <c:v>0.12419999999999999</c:v>
                </c:pt>
                <c:pt idx="42">
                  <c:v>0.1137</c:v>
                </c:pt>
                <c:pt idx="43">
                  <c:v>0.10740000000000001</c:v>
                </c:pt>
                <c:pt idx="44">
                  <c:v>0.12059999999999998</c:v>
                </c:pt>
                <c:pt idx="45">
                  <c:v>0.1227</c:v>
                </c:pt>
                <c:pt idx="46">
                  <c:v>0.12360000000000002</c:v>
                </c:pt>
                <c:pt idx="47">
                  <c:v>0.12659999999999999</c:v>
                </c:pt>
                <c:pt idx="48">
                  <c:v>0.14399999999999999</c:v>
                </c:pt>
                <c:pt idx="49">
                  <c:v>0.1239</c:v>
                </c:pt>
                <c:pt idx="50">
                  <c:v>0.12509999999999999</c:v>
                </c:pt>
                <c:pt idx="51">
                  <c:v>0.1179</c:v>
                </c:pt>
                <c:pt idx="52">
                  <c:v>0.12360000000000002</c:v>
                </c:pt>
                <c:pt idx="53">
                  <c:v>0.10740000000000001</c:v>
                </c:pt>
                <c:pt idx="54">
                  <c:v>0.1089</c:v>
                </c:pt>
                <c:pt idx="55">
                  <c:v>0.12480000000000002</c:v>
                </c:pt>
                <c:pt idx="56">
                  <c:v>0.14700000000000002</c:v>
                </c:pt>
                <c:pt idx="57">
                  <c:v>0.1368</c:v>
                </c:pt>
                <c:pt idx="58">
                  <c:v>0.16950000000000001</c:v>
                </c:pt>
                <c:pt idx="59">
                  <c:v>0.15480000000000002</c:v>
                </c:pt>
                <c:pt idx="60">
                  <c:v>0.1341</c:v>
                </c:pt>
                <c:pt idx="61">
                  <c:v>0.22140000000000001</c:v>
                </c:pt>
                <c:pt idx="62">
                  <c:v>0.19109999999999999</c:v>
                </c:pt>
                <c:pt idx="63">
                  <c:v>0.1764</c:v>
                </c:pt>
                <c:pt idx="64">
                  <c:v>0.17909999999999998</c:v>
                </c:pt>
                <c:pt idx="65">
                  <c:v>0.17760000000000001</c:v>
                </c:pt>
                <c:pt idx="66">
                  <c:v>0.18870000000000001</c:v>
                </c:pt>
                <c:pt idx="67">
                  <c:v>0.21690000000000001</c:v>
                </c:pt>
                <c:pt idx="68">
                  <c:v>0.22020000000000001</c:v>
                </c:pt>
                <c:pt idx="69">
                  <c:v>0.2364</c:v>
                </c:pt>
                <c:pt idx="70">
                  <c:v>0.26250000000000001</c:v>
                </c:pt>
                <c:pt idx="71">
                  <c:v>0.29849999999999999</c:v>
                </c:pt>
                <c:pt idx="72">
                  <c:v>0.25259999999999999</c:v>
                </c:pt>
                <c:pt idx="73">
                  <c:v>0.26280000000000003</c:v>
                </c:pt>
                <c:pt idx="74">
                  <c:v>0.28259999999999996</c:v>
                </c:pt>
                <c:pt idx="75">
                  <c:v>0.25740000000000002</c:v>
                </c:pt>
                <c:pt idx="76">
                  <c:v>0.26759999999999995</c:v>
                </c:pt>
                <c:pt idx="77">
                  <c:v>0.2757</c:v>
                </c:pt>
                <c:pt idx="78">
                  <c:v>0.23549999999999999</c:v>
                </c:pt>
                <c:pt idx="79">
                  <c:v>0.24569999999999997</c:v>
                </c:pt>
                <c:pt idx="80">
                  <c:v>0.28589999999999993</c:v>
                </c:pt>
                <c:pt idx="81">
                  <c:v>0.24569999999999997</c:v>
                </c:pt>
                <c:pt idx="82">
                  <c:v>0.23399999999999999</c:v>
                </c:pt>
                <c:pt idx="83">
                  <c:v>0.27749999999999997</c:v>
                </c:pt>
                <c:pt idx="84">
                  <c:v>0.32520000000000004</c:v>
                </c:pt>
                <c:pt idx="85">
                  <c:v>0.29339999999999994</c:v>
                </c:pt>
                <c:pt idx="86">
                  <c:v>0.2286</c:v>
                </c:pt>
                <c:pt idx="87">
                  <c:v>0.18510000000000001</c:v>
                </c:pt>
                <c:pt idx="88">
                  <c:v>0.17789999999999997</c:v>
                </c:pt>
                <c:pt idx="89">
                  <c:v>0.17909999999999998</c:v>
                </c:pt>
                <c:pt idx="90">
                  <c:v>0.18779999999999999</c:v>
                </c:pt>
                <c:pt idx="91">
                  <c:v>0.18149999999999999</c:v>
                </c:pt>
                <c:pt idx="92">
                  <c:v>0.15329999999999999</c:v>
                </c:pt>
                <c:pt idx="93">
                  <c:v>0.1449</c:v>
                </c:pt>
                <c:pt idx="94">
                  <c:v>0.16470000000000001</c:v>
                </c:pt>
                <c:pt idx="95">
                  <c:v>0.17369999999999999</c:v>
                </c:pt>
                <c:pt idx="96">
                  <c:v>0.17369999999999999</c:v>
                </c:pt>
                <c:pt idx="97">
                  <c:v>0.17369999999999999</c:v>
                </c:pt>
              </c:numCache>
            </c:numRef>
          </c:val>
          <c:extLst>
            <c:ext xmlns:c16="http://schemas.microsoft.com/office/drawing/2014/chart" uri="{C3380CC4-5D6E-409C-BE32-E72D297353CC}">
              <c16:uniqueId val="{00000002-E497-4D28-A7A1-BB28E9E670B2}"/>
            </c:ext>
          </c:extLst>
        </c:ser>
        <c:ser>
          <c:idx val="4"/>
          <c:order val="3"/>
          <c:tx>
            <c:v>Ethanol variable costs</c:v>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[0]!S</c:f>
              <c:numCache>
                <c:formatCode>_("$"* #,##0.00_);_("$"* \(#,##0.00\);_("$"* "-"??_);_(@_)</c:formatCode>
                <c:ptCount val="98"/>
                <c:pt idx="0">
                  <c:v>0.21939999999999998</c:v>
                </c:pt>
                <c:pt idx="1">
                  <c:v>0.21939999999999998</c:v>
                </c:pt>
                <c:pt idx="2">
                  <c:v>0.21939999999999998</c:v>
                </c:pt>
                <c:pt idx="3">
                  <c:v>0.21939999999999998</c:v>
                </c:pt>
                <c:pt idx="4">
                  <c:v>0.21939999999999998</c:v>
                </c:pt>
                <c:pt idx="5">
                  <c:v>0.21939999999999998</c:v>
                </c:pt>
                <c:pt idx="6">
                  <c:v>0.21939999999999998</c:v>
                </c:pt>
                <c:pt idx="7">
                  <c:v>0.21939999999999998</c:v>
                </c:pt>
                <c:pt idx="8">
                  <c:v>0.21939999999999998</c:v>
                </c:pt>
                <c:pt idx="9">
                  <c:v>0.21939999999999998</c:v>
                </c:pt>
                <c:pt idx="10">
                  <c:v>0.21939999999999998</c:v>
                </c:pt>
                <c:pt idx="11">
                  <c:v>0.21939999999999998</c:v>
                </c:pt>
                <c:pt idx="12">
                  <c:v>0.21939999999999998</c:v>
                </c:pt>
                <c:pt idx="13">
                  <c:v>0.21939999999999998</c:v>
                </c:pt>
                <c:pt idx="14">
                  <c:v>0.21939999999999998</c:v>
                </c:pt>
                <c:pt idx="15">
                  <c:v>0.21939999999999998</c:v>
                </c:pt>
                <c:pt idx="16">
                  <c:v>0.21939999999999998</c:v>
                </c:pt>
                <c:pt idx="17">
                  <c:v>0.21939999999999998</c:v>
                </c:pt>
                <c:pt idx="18">
                  <c:v>0.21939999999999998</c:v>
                </c:pt>
                <c:pt idx="19">
                  <c:v>0.21939999999999998</c:v>
                </c:pt>
                <c:pt idx="20">
                  <c:v>0.21939999999999998</c:v>
                </c:pt>
                <c:pt idx="21">
                  <c:v>0.21939999999999998</c:v>
                </c:pt>
                <c:pt idx="22">
                  <c:v>0.21939999999999998</c:v>
                </c:pt>
                <c:pt idx="23">
                  <c:v>0.21939999999999998</c:v>
                </c:pt>
                <c:pt idx="24">
                  <c:v>0.21939999999999998</c:v>
                </c:pt>
                <c:pt idx="25">
                  <c:v>0.21939999999999998</c:v>
                </c:pt>
                <c:pt idx="26">
                  <c:v>0.21939999999999998</c:v>
                </c:pt>
                <c:pt idx="27">
                  <c:v>0.21939999999999998</c:v>
                </c:pt>
                <c:pt idx="28">
                  <c:v>0.21939999999999998</c:v>
                </c:pt>
                <c:pt idx="29">
                  <c:v>0.21939999999999998</c:v>
                </c:pt>
                <c:pt idx="30">
                  <c:v>0.21939999999999998</c:v>
                </c:pt>
                <c:pt idx="31">
                  <c:v>0.21939999999999998</c:v>
                </c:pt>
                <c:pt idx="32">
                  <c:v>0.21939999999999998</c:v>
                </c:pt>
                <c:pt idx="33">
                  <c:v>0.21939999999999998</c:v>
                </c:pt>
                <c:pt idx="34">
                  <c:v>0.21939999999999998</c:v>
                </c:pt>
                <c:pt idx="35">
                  <c:v>0.21939999999999998</c:v>
                </c:pt>
                <c:pt idx="36">
                  <c:v>0.21939999999999998</c:v>
                </c:pt>
                <c:pt idx="37">
                  <c:v>0.21939999999999998</c:v>
                </c:pt>
                <c:pt idx="38">
                  <c:v>0.21939999999999998</c:v>
                </c:pt>
                <c:pt idx="39">
                  <c:v>0.21939999999999998</c:v>
                </c:pt>
                <c:pt idx="40">
                  <c:v>0.21939999999999998</c:v>
                </c:pt>
                <c:pt idx="41">
                  <c:v>0.21939999999999998</c:v>
                </c:pt>
                <c:pt idx="42">
                  <c:v>0.21939999999999998</c:v>
                </c:pt>
                <c:pt idx="43">
                  <c:v>0.21939999999999998</c:v>
                </c:pt>
                <c:pt idx="44">
                  <c:v>0.21939999999999998</c:v>
                </c:pt>
                <c:pt idx="45">
                  <c:v>0.21939999999999998</c:v>
                </c:pt>
                <c:pt idx="46">
                  <c:v>0.21939999999999998</c:v>
                </c:pt>
                <c:pt idx="47">
                  <c:v>0.21939999999999998</c:v>
                </c:pt>
                <c:pt idx="48">
                  <c:v>0.21939999999999998</c:v>
                </c:pt>
                <c:pt idx="49">
                  <c:v>0.21939999999999998</c:v>
                </c:pt>
                <c:pt idx="50">
                  <c:v>0.21939999999999998</c:v>
                </c:pt>
                <c:pt idx="51">
                  <c:v>0.21939999999999998</c:v>
                </c:pt>
                <c:pt idx="52">
                  <c:v>0.21939999999999998</c:v>
                </c:pt>
                <c:pt idx="53">
                  <c:v>0.21939999999999998</c:v>
                </c:pt>
                <c:pt idx="54">
                  <c:v>0.21939999999999998</c:v>
                </c:pt>
                <c:pt idx="55">
                  <c:v>0.21939999999999998</c:v>
                </c:pt>
                <c:pt idx="56">
                  <c:v>0.21939999999999998</c:v>
                </c:pt>
                <c:pt idx="57">
                  <c:v>0.21939999999999998</c:v>
                </c:pt>
                <c:pt idx="58">
                  <c:v>0.21939999999999998</c:v>
                </c:pt>
                <c:pt idx="59">
                  <c:v>0.21939999999999998</c:v>
                </c:pt>
                <c:pt idx="60">
                  <c:v>0.21939999999999998</c:v>
                </c:pt>
                <c:pt idx="61">
                  <c:v>0.21939999999999998</c:v>
                </c:pt>
                <c:pt idx="62">
                  <c:v>0.21939999999999998</c:v>
                </c:pt>
                <c:pt idx="63">
                  <c:v>0.21939999999999998</c:v>
                </c:pt>
                <c:pt idx="64">
                  <c:v>0.21939999999999998</c:v>
                </c:pt>
                <c:pt idx="65">
                  <c:v>0.21939999999999998</c:v>
                </c:pt>
                <c:pt idx="66">
                  <c:v>0.21939999999999998</c:v>
                </c:pt>
                <c:pt idx="67">
                  <c:v>0.21939999999999998</c:v>
                </c:pt>
                <c:pt idx="68">
                  <c:v>0.21939999999999998</c:v>
                </c:pt>
                <c:pt idx="69">
                  <c:v>0.21939999999999998</c:v>
                </c:pt>
                <c:pt idx="70">
                  <c:v>0.21939999999999998</c:v>
                </c:pt>
                <c:pt idx="71">
                  <c:v>0.21939999999999998</c:v>
                </c:pt>
                <c:pt idx="72">
                  <c:v>0.21939999999999998</c:v>
                </c:pt>
                <c:pt idx="73">
                  <c:v>0.21939999999999998</c:v>
                </c:pt>
                <c:pt idx="74">
                  <c:v>0.21939999999999998</c:v>
                </c:pt>
                <c:pt idx="75">
                  <c:v>0.21939999999999998</c:v>
                </c:pt>
                <c:pt idx="76">
                  <c:v>0.21939999999999998</c:v>
                </c:pt>
                <c:pt idx="77">
                  <c:v>0.21939999999999998</c:v>
                </c:pt>
                <c:pt idx="78">
                  <c:v>0.21939999999999998</c:v>
                </c:pt>
                <c:pt idx="79">
                  <c:v>0.21939999999999998</c:v>
                </c:pt>
                <c:pt idx="80">
                  <c:v>0.21939999999999998</c:v>
                </c:pt>
                <c:pt idx="81">
                  <c:v>0.21939999999999998</c:v>
                </c:pt>
                <c:pt idx="82">
                  <c:v>0.21939999999999998</c:v>
                </c:pt>
                <c:pt idx="83">
                  <c:v>0.21939999999999998</c:v>
                </c:pt>
                <c:pt idx="84">
                  <c:v>0.21939999999999998</c:v>
                </c:pt>
                <c:pt idx="85">
                  <c:v>0.21939999999999998</c:v>
                </c:pt>
                <c:pt idx="86">
                  <c:v>0.21939999999999998</c:v>
                </c:pt>
                <c:pt idx="87">
                  <c:v>0.21939999999999998</c:v>
                </c:pt>
                <c:pt idx="88">
                  <c:v>0.21939999999999998</c:v>
                </c:pt>
                <c:pt idx="89">
                  <c:v>0.21939999999999998</c:v>
                </c:pt>
                <c:pt idx="90">
                  <c:v>0.21939999999999998</c:v>
                </c:pt>
                <c:pt idx="91">
                  <c:v>0.21939999999999998</c:v>
                </c:pt>
                <c:pt idx="92">
                  <c:v>0.21939999999999998</c:v>
                </c:pt>
                <c:pt idx="93">
                  <c:v>0.21939999999999998</c:v>
                </c:pt>
                <c:pt idx="94">
                  <c:v>0.21939999999999998</c:v>
                </c:pt>
                <c:pt idx="95">
                  <c:v>0.21939999999999998</c:v>
                </c:pt>
                <c:pt idx="96">
                  <c:v>0.21939999999999998</c:v>
                </c:pt>
                <c:pt idx="97">
                  <c:v>0.21939999999999998</c:v>
                </c:pt>
              </c:numCache>
            </c:numRef>
          </c:val>
          <c:extLst>
            <c:ext xmlns:c16="http://schemas.microsoft.com/office/drawing/2014/chart" uri="{C3380CC4-5D6E-409C-BE32-E72D297353CC}">
              <c16:uniqueId val="{00000003-E497-4D28-A7A1-BB28E9E670B2}"/>
            </c:ext>
          </c:extLst>
        </c:ser>
        <c:ser>
          <c:idx val="5"/>
          <c:order val="4"/>
          <c:tx>
            <c:v>Ethanol fixed costs</c:v>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[0]!U</c:f>
              <c:numCache>
                <c:formatCode>_("$"* #,##0.00_);_("$"* \(#,##0.00\);_("$"* "-"??_);_(@_)</c:formatCode>
                <c:ptCount val="98"/>
                <c:pt idx="0">
                  <c:v>0.19624601212121212</c:v>
                </c:pt>
                <c:pt idx="1">
                  <c:v>0.19624601212121212</c:v>
                </c:pt>
                <c:pt idx="2">
                  <c:v>0.19624601212121212</c:v>
                </c:pt>
                <c:pt idx="3">
                  <c:v>0.19624601212121212</c:v>
                </c:pt>
                <c:pt idx="4">
                  <c:v>0.19624601212121212</c:v>
                </c:pt>
                <c:pt idx="5">
                  <c:v>0.19624601212121212</c:v>
                </c:pt>
                <c:pt idx="6">
                  <c:v>0.19624601212121212</c:v>
                </c:pt>
                <c:pt idx="7">
                  <c:v>0.19624601212121212</c:v>
                </c:pt>
                <c:pt idx="8">
                  <c:v>0.19624601212121212</c:v>
                </c:pt>
                <c:pt idx="9">
                  <c:v>0.19624601212121212</c:v>
                </c:pt>
                <c:pt idx="10">
                  <c:v>0.19624601212121212</c:v>
                </c:pt>
                <c:pt idx="11">
                  <c:v>0.19624601212121212</c:v>
                </c:pt>
                <c:pt idx="12">
                  <c:v>0.19624601212121212</c:v>
                </c:pt>
                <c:pt idx="13">
                  <c:v>0.19624601212121212</c:v>
                </c:pt>
                <c:pt idx="14">
                  <c:v>0.19624601212121212</c:v>
                </c:pt>
                <c:pt idx="15">
                  <c:v>0.19624601212121212</c:v>
                </c:pt>
                <c:pt idx="16">
                  <c:v>0.19624601212121212</c:v>
                </c:pt>
                <c:pt idx="17">
                  <c:v>0.19624601212121212</c:v>
                </c:pt>
                <c:pt idx="18">
                  <c:v>0.19624601212121212</c:v>
                </c:pt>
                <c:pt idx="19">
                  <c:v>0.19624601212121212</c:v>
                </c:pt>
                <c:pt idx="20">
                  <c:v>0.19624601212121212</c:v>
                </c:pt>
                <c:pt idx="21">
                  <c:v>0.19624601212121212</c:v>
                </c:pt>
                <c:pt idx="22">
                  <c:v>0.19624601212121212</c:v>
                </c:pt>
                <c:pt idx="23">
                  <c:v>0.19624601212121212</c:v>
                </c:pt>
                <c:pt idx="24">
                  <c:v>0.19624601212121212</c:v>
                </c:pt>
                <c:pt idx="25">
                  <c:v>0.19624601212121212</c:v>
                </c:pt>
                <c:pt idx="26">
                  <c:v>0.19624601212121212</c:v>
                </c:pt>
                <c:pt idx="27">
                  <c:v>0.19624601212121212</c:v>
                </c:pt>
                <c:pt idx="28">
                  <c:v>0.19624601212121212</c:v>
                </c:pt>
                <c:pt idx="29">
                  <c:v>0.19624601212121212</c:v>
                </c:pt>
                <c:pt idx="30">
                  <c:v>0.19624601212121212</c:v>
                </c:pt>
                <c:pt idx="31">
                  <c:v>0.19624601212121212</c:v>
                </c:pt>
                <c:pt idx="32">
                  <c:v>0.19624601212121212</c:v>
                </c:pt>
                <c:pt idx="33">
                  <c:v>0.19624601212121212</c:v>
                </c:pt>
                <c:pt idx="34">
                  <c:v>0.19624601212121212</c:v>
                </c:pt>
                <c:pt idx="35">
                  <c:v>0.19624601212121212</c:v>
                </c:pt>
                <c:pt idx="36">
                  <c:v>0.19624601212121212</c:v>
                </c:pt>
                <c:pt idx="37">
                  <c:v>0.19624601212121212</c:v>
                </c:pt>
                <c:pt idx="38">
                  <c:v>0.19624601212121212</c:v>
                </c:pt>
                <c:pt idx="39">
                  <c:v>0.19624601212121212</c:v>
                </c:pt>
                <c:pt idx="40">
                  <c:v>0.19624601212121212</c:v>
                </c:pt>
                <c:pt idx="41">
                  <c:v>0.19624601212121212</c:v>
                </c:pt>
                <c:pt idx="42">
                  <c:v>0.19624601212121212</c:v>
                </c:pt>
                <c:pt idx="43">
                  <c:v>0.19624601212121212</c:v>
                </c:pt>
                <c:pt idx="44">
                  <c:v>0.19624601212121212</c:v>
                </c:pt>
                <c:pt idx="45">
                  <c:v>0.19624601212121212</c:v>
                </c:pt>
                <c:pt idx="46">
                  <c:v>0.19624601212121212</c:v>
                </c:pt>
                <c:pt idx="47">
                  <c:v>0.19624601212121212</c:v>
                </c:pt>
                <c:pt idx="48">
                  <c:v>0.19624601212121212</c:v>
                </c:pt>
                <c:pt idx="49">
                  <c:v>0.19624601212121212</c:v>
                </c:pt>
                <c:pt idx="50">
                  <c:v>0.19624601212121212</c:v>
                </c:pt>
                <c:pt idx="51">
                  <c:v>0.19624601212121212</c:v>
                </c:pt>
                <c:pt idx="52">
                  <c:v>0.19624601212121212</c:v>
                </c:pt>
                <c:pt idx="53">
                  <c:v>0.19624601212121212</c:v>
                </c:pt>
                <c:pt idx="54">
                  <c:v>0.19624601212121212</c:v>
                </c:pt>
                <c:pt idx="55">
                  <c:v>0.19624601212121212</c:v>
                </c:pt>
                <c:pt idx="56">
                  <c:v>0.19624601212121212</c:v>
                </c:pt>
                <c:pt idx="57">
                  <c:v>0.19624601212121212</c:v>
                </c:pt>
                <c:pt idx="58">
                  <c:v>0.19624601212121212</c:v>
                </c:pt>
                <c:pt idx="59">
                  <c:v>0.19624601212121212</c:v>
                </c:pt>
                <c:pt idx="60">
                  <c:v>0.19624601212121212</c:v>
                </c:pt>
                <c:pt idx="61">
                  <c:v>0.19624601212121212</c:v>
                </c:pt>
                <c:pt idx="62">
                  <c:v>0.19624601212121212</c:v>
                </c:pt>
                <c:pt idx="63">
                  <c:v>0.19624601212121212</c:v>
                </c:pt>
                <c:pt idx="64">
                  <c:v>0.19624601212121212</c:v>
                </c:pt>
                <c:pt idx="65">
                  <c:v>0.19624601212121212</c:v>
                </c:pt>
                <c:pt idx="66">
                  <c:v>0.19624601212121212</c:v>
                </c:pt>
                <c:pt idx="67">
                  <c:v>0.19624601212121212</c:v>
                </c:pt>
                <c:pt idx="68">
                  <c:v>0.19624601212121212</c:v>
                </c:pt>
                <c:pt idx="69">
                  <c:v>0.19624601212121212</c:v>
                </c:pt>
                <c:pt idx="70">
                  <c:v>0.19624601212121212</c:v>
                </c:pt>
                <c:pt idx="71">
                  <c:v>0.19624601212121212</c:v>
                </c:pt>
                <c:pt idx="72">
                  <c:v>0.19624601212121212</c:v>
                </c:pt>
                <c:pt idx="73">
                  <c:v>0.19624601212121212</c:v>
                </c:pt>
                <c:pt idx="74">
                  <c:v>0.19624601212121212</c:v>
                </c:pt>
                <c:pt idx="75">
                  <c:v>0.19624601212121212</c:v>
                </c:pt>
                <c:pt idx="76">
                  <c:v>0.19624601212121212</c:v>
                </c:pt>
                <c:pt idx="77">
                  <c:v>0.19624601212121212</c:v>
                </c:pt>
                <c:pt idx="78">
                  <c:v>0.19624601212121212</c:v>
                </c:pt>
                <c:pt idx="79">
                  <c:v>0.19624601212121212</c:v>
                </c:pt>
                <c:pt idx="80">
                  <c:v>0.19624601212121212</c:v>
                </c:pt>
                <c:pt idx="81">
                  <c:v>0.19624601212121212</c:v>
                </c:pt>
                <c:pt idx="82">
                  <c:v>0.19624601212121212</c:v>
                </c:pt>
                <c:pt idx="83">
                  <c:v>0.19624601212121212</c:v>
                </c:pt>
                <c:pt idx="84">
                  <c:v>0.19624601212121212</c:v>
                </c:pt>
                <c:pt idx="85">
                  <c:v>0.19624601212121212</c:v>
                </c:pt>
                <c:pt idx="86">
                  <c:v>0.19624601212121212</c:v>
                </c:pt>
                <c:pt idx="87">
                  <c:v>0.19624601212121212</c:v>
                </c:pt>
                <c:pt idx="88">
                  <c:v>0.19624601212121212</c:v>
                </c:pt>
                <c:pt idx="89">
                  <c:v>0.19624601212121212</c:v>
                </c:pt>
                <c:pt idx="90">
                  <c:v>0.19624601212121212</c:v>
                </c:pt>
                <c:pt idx="91">
                  <c:v>0.19624601212121212</c:v>
                </c:pt>
                <c:pt idx="92">
                  <c:v>0.19624601212121212</c:v>
                </c:pt>
                <c:pt idx="93">
                  <c:v>0.19624601212121212</c:v>
                </c:pt>
                <c:pt idx="94">
                  <c:v>0.19624601212121212</c:v>
                </c:pt>
                <c:pt idx="95">
                  <c:v>0.19624601212121212</c:v>
                </c:pt>
                <c:pt idx="96">
                  <c:v>0.19624601212121212</c:v>
                </c:pt>
                <c:pt idx="97">
                  <c:v>0.19624601212121212</c:v>
                </c:pt>
              </c:numCache>
            </c:numRef>
          </c:val>
          <c:extLst>
            <c:ext xmlns:c16="http://schemas.microsoft.com/office/drawing/2014/chart" uri="{C3380CC4-5D6E-409C-BE32-E72D297353CC}">
              <c16:uniqueId val="{00000004-E497-4D28-A7A1-BB28E9E670B2}"/>
            </c:ext>
          </c:extLst>
        </c:ser>
        <c:dLbls>
          <c:showLegendKey val="0"/>
          <c:showVal val="0"/>
          <c:showCatName val="0"/>
          <c:showSerName val="0"/>
          <c:showPercent val="0"/>
          <c:showBubbleSize val="0"/>
        </c:dLbls>
        <c:axId val="286172096"/>
        <c:axId val="286172656"/>
      </c:areaChart>
      <c:dateAx>
        <c:axId val="286172096"/>
        <c:scaling>
          <c:orientation val="minMax"/>
        </c:scaling>
        <c:delete val="0"/>
        <c:axPos val="b"/>
        <c:numFmt formatCode="mmm\-yy" sourceLinked="0"/>
        <c:majorTickMark val="out"/>
        <c:minorTickMark val="none"/>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286172656"/>
        <c:crosses val="autoZero"/>
        <c:auto val="1"/>
        <c:lblOffset val="100"/>
        <c:baseTimeUnit val="months"/>
        <c:majorUnit val="5"/>
        <c:majorTimeUnit val="months"/>
        <c:minorUnit val="1"/>
        <c:minorTimeUnit val="months"/>
      </c:dateAx>
      <c:valAx>
        <c:axId val="286172656"/>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2"/>
                    </a:solidFill>
                    <a:latin typeface="Arial Narrow" panose="020B0606020202030204" pitchFamily="34" charset="0"/>
                    <a:ea typeface="+mn-ea"/>
                    <a:cs typeface="+mn-cs"/>
                  </a:defRPr>
                </a:pPr>
                <a:r>
                  <a:rPr lang="en-US"/>
                  <a:t>$ per gallon</a:t>
                </a:r>
              </a:p>
            </c:rich>
          </c:tx>
          <c:layout>
            <c:manualLayout>
              <c:xMode val="edge"/>
              <c:yMode val="edge"/>
              <c:x val="7.1174704409549504E-3"/>
              <c:y val="0.3664922308265189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286172096"/>
        <c:crosses val="autoZero"/>
        <c:crossBetween val="midCat"/>
      </c:valAx>
      <c:spPr>
        <a:noFill/>
        <a:ln>
          <a:noFill/>
        </a:ln>
        <a:effectLst/>
      </c:spPr>
    </c:plotArea>
    <c:legend>
      <c:legendPos val="b"/>
      <c:legendEntry>
        <c:idx val="0"/>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1"/>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2"/>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3"/>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egendEntry>
        <c:idx val="4"/>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Entry>
      <c:layout>
        <c:manualLayout>
          <c:xMode val="edge"/>
          <c:yMode val="edge"/>
          <c:x val="4.5598981745413943E-2"/>
          <c:y val="0.90971414936769268"/>
          <c:w val="0.86468956877001446"/>
          <c:h val="4.382120416766086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latin typeface="Arial Narrow" panose="020B0606020202030204" pitchFamily="34" charset="0"/>
        </a:defRPr>
      </a:pPr>
      <a:endParaRPr lang="en-US"/>
    </a:p>
  </c:txPr>
  <c:printSettings>
    <c:headerFooter/>
    <c:pageMargins b="0.750000000000002" l="0.70000000000000095" r="0.70000000000000095" t="0.750000000000002"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219"/>
        <c:overlap val="-27"/>
        <c:axId val="286175456"/>
        <c:axId val="286176016"/>
      </c:barChart>
      <c:catAx>
        <c:axId val="2861754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6176016"/>
        <c:crosses val="autoZero"/>
        <c:auto val="1"/>
        <c:lblAlgn val="ctr"/>
        <c:lblOffset val="100"/>
        <c:noMultiLvlLbl val="0"/>
      </c:catAx>
      <c:valAx>
        <c:axId val="286176016"/>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6175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baseline="0">
                <a:solidFill>
                  <a:schemeClr val="tx2"/>
                </a:solidFill>
                <a:latin typeface="Arial Narrow" panose="020B0606020202030204" pitchFamily="34" charset="0"/>
                <a:ea typeface="+mn-ea"/>
                <a:cs typeface="+mn-cs"/>
              </a:defRPr>
            </a:pPr>
            <a:r>
              <a:rPr lang="en-US"/>
              <a:t>Ethanol Production Revenue, Costs, and Profit</a:t>
            </a:r>
          </a:p>
          <a:p>
            <a:pPr>
              <a:defRPr/>
            </a:pPr>
            <a:r>
              <a:rPr lang="en-US" b="0"/>
              <a:t>(corn at cost of production)</a:t>
            </a:r>
          </a:p>
        </c:rich>
      </c:tx>
      <c:layout>
        <c:manualLayout>
          <c:xMode val="edge"/>
          <c:yMode val="edge"/>
          <c:x val="0.26533379799650397"/>
          <c:y val="1.3430048516662692E-2"/>
        </c:manualLayout>
      </c:layout>
      <c:overlay val="0"/>
      <c:spPr>
        <a:noFill/>
        <a:ln>
          <a:noFill/>
        </a:ln>
        <a:effectLst/>
      </c:spPr>
      <c:txPr>
        <a:bodyPr rot="0" spcFirstLastPara="1" vertOverflow="ellipsis" vert="horz" wrap="square" anchor="ctr" anchorCtr="1"/>
        <a:lstStyle/>
        <a:p>
          <a:pPr>
            <a:defRPr sz="192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973805403083941"/>
          <c:y val="0.13730820011134973"/>
          <c:w val="0.8426689701145883"/>
          <c:h val="0.76587337946393075"/>
        </c:manualLayout>
      </c:layout>
      <c:lineChart>
        <c:grouping val="standard"/>
        <c:varyColors val="0"/>
        <c:ser>
          <c:idx val="1"/>
          <c:order val="0"/>
          <c:tx>
            <c:v>Cost per gallon</c:v>
          </c:tx>
          <c:spPr>
            <a:ln w="31750" cap="rnd">
              <a:solidFill>
                <a:schemeClr val="accent2"/>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[0]!AL</c:f>
              <c:numCache>
                <c:formatCode>_("$"* #,##0.00_);_("$"* \(#,##0.00\);_("$"* "-"??_);_(@_)</c:formatCode>
                <c:ptCount val="98"/>
                <c:pt idx="0">
                  <c:v>1.9542135559808611</c:v>
                </c:pt>
                <c:pt idx="1">
                  <c:v>1.9347135559808613</c:v>
                </c:pt>
                <c:pt idx="2">
                  <c:v>1.9497135559808612</c:v>
                </c:pt>
                <c:pt idx="3">
                  <c:v>1.9371135559808612</c:v>
                </c:pt>
                <c:pt idx="4">
                  <c:v>1.9260135559808613</c:v>
                </c:pt>
                <c:pt idx="5">
                  <c:v>1.9371135559808612</c:v>
                </c:pt>
                <c:pt idx="6">
                  <c:v>1.9437135559808612</c:v>
                </c:pt>
                <c:pt idx="7">
                  <c:v>1.9338135559808611</c:v>
                </c:pt>
                <c:pt idx="8">
                  <c:v>1.8147407143941361</c:v>
                </c:pt>
                <c:pt idx="9">
                  <c:v>1.8141407143941362</c:v>
                </c:pt>
                <c:pt idx="10">
                  <c:v>1.8063407143941361</c:v>
                </c:pt>
                <c:pt idx="11">
                  <c:v>1.8204407143941361</c:v>
                </c:pt>
                <c:pt idx="12">
                  <c:v>1.8225407143941361</c:v>
                </c:pt>
                <c:pt idx="13">
                  <c:v>1.8201407143941359</c:v>
                </c:pt>
                <c:pt idx="14">
                  <c:v>1.8066407143941361</c:v>
                </c:pt>
                <c:pt idx="15">
                  <c:v>1.817740714394136</c:v>
                </c:pt>
                <c:pt idx="16">
                  <c:v>1.825240714394136</c:v>
                </c:pt>
                <c:pt idx="17">
                  <c:v>1.831240714394136</c:v>
                </c:pt>
                <c:pt idx="18">
                  <c:v>1.8288407143941361</c:v>
                </c:pt>
                <c:pt idx="19">
                  <c:v>1.821340714394136</c:v>
                </c:pt>
                <c:pt idx="20">
                  <c:v>1.7573681417025913</c:v>
                </c:pt>
                <c:pt idx="21">
                  <c:v>1.7492681417025913</c:v>
                </c:pt>
                <c:pt idx="22">
                  <c:v>1.7510681417025913</c:v>
                </c:pt>
                <c:pt idx="23">
                  <c:v>1.7639681417025914</c:v>
                </c:pt>
                <c:pt idx="24">
                  <c:v>1.7639681417025914</c:v>
                </c:pt>
                <c:pt idx="25">
                  <c:v>1.7798681417025914</c:v>
                </c:pt>
                <c:pt idx="26">
                  <c:v>1.7558681417025914</c:v>
                </c:pt>
                <c:pt idx="27">
                  <c:v>1.7528681417025913</c:v>
                </c:pt>
                <c:pt idx="28">
                  <c:v>1.7285681417025913</c:v>
                </c:pt>
                <c:pt idx="29">
                  <c:v>1.7273681417025912</c:v>
                </c:pt>
                <c:pt idx="30">
                  <c:v>1.7312681417025912</c:v>
                </c:pt>
                <c:pt idx="31">
                  <c:v>1.7411681417025913</c:v>
                </c:pt>
                <c:pt idx="32">
                  <c:v>1.7827209136607753</c:v>
                </c:pt>
                <c:pt idx="33">
                  <c:v>1.7728209136607753</c:v>
                </c:pt>
                <c:pt idx="34">
                  <c:v>1.7959209136607754</c:v>
                </c:pt>
                <c:pt idx="35">
                  <c:v>1.8118209136607755</c:v>
                </c:pt>
                <c:pt idx="36">
                  <c:v>1.7692209136607753</c:v>
                </c:pt>
                <c:pt idx="37">
                  <c:v>1.7614209136607752</c:v>
                </c:pt>
                <c:pt idx="38">
                  <c:v>1.7671209136607753</c:v>
                </c:pt>
                <c:pt idx="39">
                  <c:v>1.7503209136607754</c:v>
                </c:pt>
                <c:pt idx="40">
                  <c:v>1.7452209136607753</c:v>
                </c:pt>
                <c:pt idx="41">
                  <c:v>1.7455209136607754</c:v>
                </c:pt>
                <c:pt idx="42">
                  <c:v>1.7350209136607753</c:v>
                </c:pt>
                <c:pt idx="43">
                  <c:v>1.7287209136607753</c:v>
                </c:pt>
                <c:pt idx="44">
                  <c:v>1.7970647255715047</c:v>
                </c:pt>
                <c:pt idx="45">
                  <c:v>1.7991647255715046</c:v>
                </c:pt>
                <c:pt idx="46">
                  <c:v>1.8000647255715045</c:v>
                </c:pt>
                <c:pt idx="47">
                  <c:v>1.8030647255715047</c:v>
                </c:pt>
                <c:pt idx="48">
                  <c:v>1.8204647255715045</c:v>
                </c:pt>
                <c:pt idx="49">
                  <c:v>1.8003647255715045</c:v>
                </c:pt>
                <c:pt idx="50">
                  <c:v>1.8015647255715046</c:v>
                </c:pt>
                <c:pt idx="51">
                  <c:v>1.7943647255715045</c:v>
                </c:pt>
                <c:pt idx="52">
                  <c:v>1.8000647255715045</c:v>
                </c:pt>
                <c:pt idx="53">
                  <c:v>1.7838647255715046</c:v>
                </c:pt>
                <c:pt idx="54">
                  <c:v>1.7853647255715046</c:v>
                </c:pt>
                <c:pt idx="55">
                  <c:v>1.8012647255715046</c:v>
                </c:pt>
                <c:pt idx="56">
                  <c:v>1.9537769468025483</c:v>
                </c:pt>
                <c:pt idx="57">
                  <c:v>1.9435769468025483</c:v>
                </c:pt>
                <c:pt idx="58">
                  <c:v>1.9762769468025483</c:v>
                </c:pt>
                <c:pt idx="59">
                  <c:v>1.9615769468025483</c:v>
                </c:pt>
                <c:pt idx="60">
                  <c:v>1.9408769468025482</c:v>
                </c:pt>
                <c:pt idx="61">
                  <c:v>2.0281769468025481</c:v>
                </c:pt>
                <c:pt idx="62">
                  <c:v>1.9978769468025483</c:v>
                </c:pt>
                <c:pt idx="63">
                  <c:v>1.9831769468025482</c:v>
                </c:pt>
                <c:pt idx="64">
                  <c:v>1.9858769468025483</c:v>
                </c:pt>
                <c:pt idx="65">
                  <c:v>1.9843769468025483</c:v>
                </c:pt>
                <c:pt idx="66">
                  <c:v>1.9954769468025484</c:v>
                </c:pt>
                <c:pt idx="67">
                  <c:v>2.0236769468025484</c:v>
                </c:pt>
                <c:pt idx="68">
                  <c:v>1.8948415401569878</c:v>
                </c:pt>
                <c:pt idx="69">
                  <c:v>1.9110415401569878</c:v>
                </c:pt>
                <c:pt idx="70">
                  <c:v>1.9371415401569878</c:v>
                </c:pt>
                <c:pt idx="71">
                  <c:v>1.9731415401569878</c:v>
                </c:pt>
                <c:pt idx="72">
                  <c:v>1.9272415401569878</c:v>
                </c:pt>
                <c:pt idx="73">
                  <c:v>1.9374415401569878</c:v>
                </c:pt>
                <c:pt idx="74">
                  <c:v>1.9572415401569878</c:v>
                </c:pt>
                <c:pt idx="75">
                  <c:v>1.9320415401569879</c:v>
                </c:pt>
                <c:pt idx="76">
                  <c:v>1.9422415401569877</c:v>
                </c:pt>
                <c:pt idx="77">
                  <c:v>1.9503415401569879</c:v>
                </c:pt>
                <c:pt idx="78">
                  <c:v>1.9101415401569879</c:v>
                </c:pt>
                <c:pt idx="79">
                  <c:v>1.9203415401569879</c:v>
                </c:pt>
                <c:pt idx="80">
                  <c:v>2.2846775910685801</c:v>
                </c:pt>
                <c:pt idx="81">
                  <c:v>2.2444775910685806</c:v>
                </c:pt>
                <c:pt idx="82">
                  <c:v>2.2327775910685803</c:v>
                </c:pt>
                <c:pt idx="83">
                  <c:v>2.2762775910685802</c:v>
                </c:pt>
                <c:pt idx="84">
                  <c:v>2.3239775910685805</c:v>
                </c:pt>
                <c:pt idx="85">
                  <c:v>2.2921775910685804</c:v>
                </c:pt>
                <c:pt idx="86">
                  <c:v>2.2273775910685805</c:v>
                </c:pt>
                <c:pt idx="87">
                  <c:v>2.1838775910685806</c:v>
                </c:pt>
                <c:pt idx="88">
                  <c:v>2.1766775910685805</c:v>
                </c:pt>
                <c:pt idx="89">
                  <c:v>2.1778775910685808</c:v>
                </c:pt>
                <c:pt idx="90">
                  <c:v>2.1865775910685805</c:v>
                </c:pt>
                <c:pt idx="91">
                  <c:v>2.1802775910685805</c:v>
                </c:pt>
                <c:pt idx="92">
                  <c:v>2.4400281912532522</c:v>
                </c:pt>
                <c:pt idx="93">
                  <c:v>2.4316281912532522</c:v>
                </c:pt>
                <c:pt idx="94">
                  <c:v>2.4514281912532523</c:v>
                </c:pt>
                <c:pt idx="95">
                  <c:v>2.4604281912532522</c:v>
                </c:pt>
                <c:pt idx="96">
                  <c:v>2.4604281912532522</c:v>
                </c:pt>
                <c:pt idx="97">
                  <c:v>2.4604281912532522</c:v>
                </c:pt>
              </c:numCache>
            </c:numRef>
          </c:val>
          <c:smooth val="0"/>
          <c:extLst>
            <c:ext xmlns:c16="http://schemas.microsoft.com/office/drawing/2014/chart" uri="{C3380CC4-5D6E-409C-BE32-E72D297353CC}">
              <c16:uniqueId val="{00000000-313C-4978-A311-5AD9B8EF7BBB}"/>
            </c:ext>
          </c:extLst>
        </c:ser>
        <c:ser>
          <c:idx val="0"/>
          <c:order val="1"/>
          <c:tx>
            <c:v>Revenue per gallon</c:v>
          </c:tx>
          <c:spPr>
            <a:ln w="31750" cap="rnd">
              <a:solidFill>
                <a:schemeClr val="accent1"/>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[0]!N</c:f>
              <c:numCache>
                <c:formatCode>_("$"* #,##0.00_);_("$"* \(#,##0.00\);_("$"* "-"??_);_(@_)</c:formatCode>
                <c:ptCount val="98"/>
                <c:pt idx="0">
                  <c:v>1.6404744180054986</c:v>
                </c:pt>
                <c:pt idx="1">
                  <c:v>1.7146517627306153</c:v>
                </c:pt>
                <c:pt idx="2">
                  <c:v>1.6934035834946766</c:v>
                </c:pt>
                <c:pt idx="3">
                  <c:v>1.818646190088395</c:v>
                </c:pt>
                <c:pt idx="4">
                  <c:v>1.9164083383243085</c:v>
                </c:pt>
                <c:pt idx="5">
                  <c:v>2.0891877195149893</c:v>
                </c:pt>
                <c:pt idx="6">
                  <c:v>1.9438070421009732</c:v>
                </c:pt>
                <c:pt idx="7">
                  <c:v>1.7331740533668698</c:v>
                </c:pt>
                <c:pt idx="8">
                  <c:v>1.8155933027739115</c:v>
                </c:pt>
                <c:pt idx="9">
                  <c:v>1.8779576476297895</c:v>
                </c:pt>
                <c:pt idx="10">
                  <c:v>1.9024473851210526</c:v>
                </c:pt>
                <c:pt idx="11">
                  <c:v>1.9970883044338665</c:v>
                </c:pt>
                <c:pt idx="12">
                  <c:v>1.740361388130772</c:v>
                </c:pt>
                <c:pt idx="13">
                  <c:v>1.722328698443937</c:v>
                </c:pt>
                <c:pt idx="14">
                  <c:v>1.7180005460736141</c:v>
                </c:pt>
                <c:pt idx="15">
                  <c:v>1.8736035047189299</c:v>
                </c:pt>
                <c:pt idx="16">
                  <c:v>1.7812554943745615</c:v>
                </c:pt>
                <c:pt idx="17">
                  <c:v>1.8582768747031844</c:v>
                </c:pt>
                <c:pt idx="18">
                  <c:v>1.8349289440304211</c:v>
                </c:pt>
                <c:pt idx="19">
                  <c:v>1.8630594919967578</c:v>
                </c:pt>
                <c:pt idx="20">
                  <c:v>1.8753947181262467</c:v>
                </c:pt>
                <c:pt idx="21">
                  <c:v>1.779237680592533</c:v>
                </c:pt>
                <c:pt idx="22">
                  <c:v>1.7512754548089549</c:v>
                </c:pt>
                <c:pt idx="23">
                  <c:v>1.6786465194806717</c:v>
                </c:pt>
                <c:pt idx="24">
                  <c:v>1.7083451334448985</c:v>
                </c:pt>
                <c:pt idx="25">
                  <c:v>1.800201675727559</c:v>
                </c:pt>
                <c:pt idx="26">
                  <c:v>1.8836591796487903</c:v>
                </c:pt>
                <c:pt idx="27">
                  <c:v>1.9339330088270907</c:v>
                </c:pt>
                <c:pt idx="28">
                  <c:v>1.9550684221363523</c:v>
                </c:pt>
                <c:pt idx="29">
                  <c:v>1.8875599593361718</c:v>
                </c:pt>
                <c:pt idx="30">
                  <c:v>1.7762787961786153</c:v>
                </c:pt>
                <c:pt idx="31">
                  <c:v>1.7745456206693437</c:v>
                </c:pt>
                <c:pt idx="32">
                  <c:v>1.6580491269793427</c:v>
                </c:pt>
                <c:pt idx="33">
                  <c:v>1.6283050843780309</c:v>
                </c:pt>
                <c:pt idx="34">
                  <c:v>1.6700850953486928</c:v>
                </c:pt>
                <c:pt idx="35">
                  <c:v>1.6933388086396721</c:v>
                </c:pt>
                <c:pt idx="36">
                  <c:v>1.6762661800592464</c:v>
                </c:pt>
                <c:pt idx="37">
                  <c:v>1.6701479447392693</c:v>
                </c:pt>
                <c:pt idx="38">
                  <c:v>1.7551416657539438</c:v>
                </c:pt>
                <c:pt idx="39">
                  <c:v>1.7477243857664355</c:v>
                </c:pt>
                <c:pt idx="40">
                  <c:v>1.650836664235283</c:v>
                </c:pt>
                <c:pt idx="41">
                  <c:v>1.8832886036437853</c:v>
                </c:pt>
                <c:pt idx="42">
                  <c:v>1.9126358828916503</c:v>
                </c:pt>
                <c:pt idx="43">
                  <c:v>1.7744714553654286</c:v>
                </c:pt>
                <c:pt idx="44">
                  <c:v>1.7337684365498394</c:v>
                </c:pt>
                <c:pt idx="45">
                  <c:v>1.9383518825375643</c:v>
                </c:pt>
                <c:pt idx="46">
                  <c:v>1.884113473291124</c:v>
                </c:pt>
                <c:pt idx="47">
                  <c:v>1.8232640510617641</c:v>
                </c:pt>
                <c:pt idx="48">
                  <c:v>1.7108664792599435</c:v>
                </c:pt>
                <c:pt idx="49">
                  <c:v>1.7123508549824096</c:v>
                </c:pt>
                <c:pt idx="50">
                  <c:v>1.5584016638615177</c:v>
                </c:pt>
                <c:pt idx="51">
                  <c:v>1.392583424132102</c:v>
                </c:pt>
                <c:pt idx="52">
                  <c:v>1.4730538104679152</c:v>
                </c:pt>
                <c:pt idx="53">
                  <c:v>1.6103196344579569</c:v>
                </c:pt>
                <c:pt idx="54">
                  <c:v>1.6761583488220233</c:v>
                </c:pt>
                <c:pt idx="55">
                  <c:v>1.5886939034638052</c:v>
                </c:pt>
                <c:pt idx="56">
                  <c:v>1.7630643369085908</c:v>
                </c:pt>
                <c:pt idx="57">
                  <c:v>1.8869450084632897</c:v>
                </c:pt>
                <c:pt idx="58">
                  <c:v>1.9861530470403235</c:v>
                </c:pt>
                <c:pt idx="59">
                  <c:v>1.8783233798919363</c:v>
                </c:pt>
                <c:pt idx="60">
                  <c:v>2.10421635164673</c:v>
                </c:pt>
                <c:pt idx="61">
                  <c:v>2.3023818907047353</c:v>
                </c:pt>
                <c:pt idx="62">
                  <c:v>2.4836488248489723</c:v>
                </c:pt>
                <c:pt idx="63">
                  <c:v>2.68330758349276</c:v>
                </c:pt>
                <c:pt idx="64">
                  <c:v>3.2292719581963722</c:v>
                </c:pt>
                <c:pt idx="65">
                  <c:v>3.0132020876703463</c:v>
                </c:pt>
                <c:pt idx="66">
                  <c:v>2.772542535080738</c:v>
                </c:pt>
                <c:pt idx="67">
                  <c:v>2.832883068089584</c:v>
                </c:pt>
                <c:pt idx="68">
                  <c:v>2.9813682383007478</c:v>
                </c:pt>
                <c:pt idx="69">
                  <c:v>3.0612754853265329</c:v>
                </c:pt>
                <c:pt idx="70">
                  <c:v>3.728395614750343</c:v>
                </c:pt>
                <c:pt idx="71">
                  <c:v>3.7140093562710152</c:v>
                </c:pt>
                <c:pt idx="72">
                  <c:v>2.9182341834658074</c:v>
                </c:pt>
                <c:pt idx="73">
                  <c:v>2.8433128499018738</c:v>
                </c:pt>
                <c:pt idx="74">
                  <c:v>3.2936403423770524</c:v>
                </c:pt>
                <c:pt idx="75">
                  <c:v>3.50943512495801</c:v>
                </c:pt>
                <c:pt idx="76">
                  <c:v>3.6963175245351958</c:v>
                </c:pt>
                <c:pt idx="77">
                  <c:v>3.5367175440980674</c:v>
                </c:pt>
                <c:pt idx="78">
                  <c:v>3.2524696498552861</c:v>
                </c:pt>
                <c:pt idx="79">
                  <c:v>3.2743744110275688</c:v>
                </c:pt>
                <c:pt idx="80">
                  <c:v>3.2809643508771931</c:v>
                </c:pt>
                <c:pt idx="81">
                  <c:v>3.2067770175438599</c:v>
                </c:pt>
                <c:pt idx="82">
                  <c:v>3.2695446992481205</c:v>
                </c:pt>
                <c:pt idx="83">
                  <c:v>2.9794971929824561</c:v>
                </c:pt>
                <c:pt idx="84">
                  <c:v>3.0774778070175444</c:v>
                </c:pt>
                <c:pt idx="85">
                  <c:v>2.940600701754386</c:v>
                </c:pt>
                <c:pt idx="86">
                  <c:v>2.9445731228070171</c:v>
                </c:pt>
                <c:pt idx="87">
                  <c:v>3.1599550877192986</c:v>
                </c:pt>
                <c:pt idx="88">
                  <c:v>3.1025193859649121</c:v>
                </c:pt>
                <c:pt idx="89">
                  <c:v>3.0907557593984962</c:v>
                </c:pt>
                <c:pt idx="90">
                  <c:v>3.0691520175438596</c:v>
                </c:pt>
                <c:pt idx="91">
                  <c:v>2.822137543859649</c:v>
                </c:pt>
                <c:pt idx="92">
                  <c:v>2.906289730994152</c:v>
                </c:pt>
                <c:pt idx="93">
                  <c:v>2.8301579824561403</c:v>
                </c:pt>
                <c:pt idx="94">
                  <c:v>2.5635478362573103</c:v>
                </c:pt>
                <c:pt idx="95">
                  <c:v>2.3132006140350878</c:v>
                </c:pt>
                <c:pt idx="96">
                  <c:v>2.1550809649122806</c:v>
                </c:pt>
                <c:pt idx="97">
                  <c:v>2.1196744736842104</c:v>
                </c:pt>
              </c:numCache>
            </c:numRef>
          </c:val>
          <c:smooth val="0"/>
          <c:extLst>
            <c:ext xmlns:c16="http://schemas.microsoft.com/office/drawing/2014/chart" uri="{C3380CC4-5D6E-409C-BE32-E72D297353CC}">
              <c16:uniqueId val="{00000001-313C-4978-A311-5AD9B8EF7BBB}"/>
            </c:ext>
          </c:extLst>
        </c:ser>
        <c:ser>
          <c:idx val="2"/>
          <c:order val="2"/>
          <c:tx>
            <c:v>Net return per gallon</c:v>
          </c:tx>
          <c:spPr>
            <a:ln w="31750" cap="rnd">
              <a:solidFill>
                <a:schemeClr val="accent3"/>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[0]!AP</c:f>
              <c:numCache>
                <c:formatCode>_("$"* #,##0.00_);_("$"* \(#,##0.00\);_("$"* "-"??_);_(@_)</c:formatCode>
                <c:ptCount val="98"/>
                <c:pt idx="0">
                  <c:v>-0.31373913797536246</c:v>
                </c:pt>
                <c:pt idx="1">
                  <c:v>-0.220061793250246</c:v>
                </c:pt>
                <c:pt idx="2">
                  <c:v>-0.25630997248618459</c:v>
                </c:pt>
                <c:pt idx="3">
                  <c:v>-0.1184673658924662</c:v>
                </c:pt>
                <c:pt idx="4">
                  <c:v>-9.6052176565528669E-3</c:v>
                </c:pt>
                <c:pt idx="5">
                  <c:v>0.15207416353412806</c:v>
                </c:pt>
                <c:pt idx="6">
                  <c:v>9.348612011206292E-5</c:v>
                </c:pt>
                <c:pt idx="7">
                  <c:v>-0.20063950261399133</c:v>
                </c:pt>
                <c:pt idx="8">
                  <c:v>8.5258837977542079E-4</c:v>
                </c:pt>
                <c:pt idx="9">
                  <c:v>6.3816933235653295E-2</c:v>
                </c:pt>
                <c:pt idx="10">
                  <c:v>9.6106670726916477E-2</c:v>
                </c:pt>
                <c:pt idx="11">
                  <c:v>0.17664759003973041</c:v>
                </c:pt>
                <c:pt idx="12">
                  <c:v>-8.2179326263364105E-2</c:v>
                </c:pt>
                <c:pt idx="13">
                  <c:v>-9.7812015950198949E-2</c:v>
                </c:pt>
                <c:pt idx="14">
                  <c:v>-8.8640168320522017E-2</c:v>
                </c:pt>
                <c:pt idx="15">
                  <c:v>5.5862790324793909E-2</c:v>
                </c:pt>
                <c:pt idx="16">
                  <c:v>-4.39852200195745E-2</c:v>
                </c:pt>
                <c:pt idx="17">
                  <c:v>2.7036160309048318E-2</c:v>
                </c:pt>
                <c:pt idx="18">
                  <c:v>6.0882296362849697E-3</c:v>
                </c:pt>
                <c:pt idx="19">
                  <c:v>4.171877760262177E-2</c:v>
                </c:pt>
                <c:pt idx="20">
                  <c:v>0.11802657642365544</c:v>
                </c:pt>
                <c:pt idx="21">
                  <c:v>2.9969538889941694E-2</c:v>
                </c:pt>
                <c:pt idx="22">
                  <c:v>2.0731310636357136E-4</c:v>
                </c:pt>
                <c:pt idx="23">
                  <c:v>-8.5321622221919746E-2</c:v>
                </c:pt>
                <c:pt idx="24">
                  <c:v>-5.5623008257692952E-2</c:v>
                </c:pt>
                <c:pt idx="25">
                  <c:v>2.0333534024967514E-2</c:v>
                </c:pt>
                <c:pt idx="26">
                  <c:v>0.12779103794619884</c:v>
                </c:pt>
                <c:pt idx="27">
                  <c:v>0.18106486712449943</c:v>
                </c:pt>
                <c:pt idx="28">
                  <c:v>0.22650028043376103</c:v>
                </c:pt>
                <c:pt idx="29">
                  <c:v>0.16019181763358059</c:v>
                </c:pt>
                <c:pt idx="30">
                  <c:v>4.5010654476024037E-2</c:v>
                </c:pt>
                <c:pt idx="31">
                  <c:v>3.3377478966752472E-2</c:v>
                </c:pt>
                <c:pt idx="32">
                  <c:v>-0.12467178668143264</c:v>
                </c:pt>
                <c:pt idx="33">
                  <c:v>-0.14451582928274442</c:v>
                </c:pt>
                <c:pt idx="34">
                  <c:v>-0.12583581831208268</c:v>
                </c:pt>
                <c:pt idx="35">
                  <c:v>-0.11848210502110335</c:v>
                </c:pt>
                <c:pt idx="36">
                  <c:v>-9.2954733601528838E-2</c:v>
                </c:pt>
                <c:pt idx="37">
                  <c:v>-9.1272968921505937E-2</c:v>
                </c:pt>
                <c:pt idx="38">
                  <c:v>-1.1979247906831469E-2</c:v>
                </c:pt>
                <c:pt idx="39">
                  <c:v>-2.5965278943398395E-3</c:v>
                </c:pt>
                <c:pt idx="40">
                  <c:v>-9.4384249425492284E-2</c:v>
                </c:pt>
                <c:pt idx="41">
                  <c:v>0.13776768998300981</c:v>
                </c:pt>
                <c:pt idx="42">
                  <c:v>0.17761496923087505</c:v>
                </c:pt>
                <c:pt idx="43">
                  <c:v>4.5750541704653314E-2</c:v>
                </c:pt>
                <c:pt idx="44">
                  <c:v>-6.3296289021665286E-2</c:v>
                </c:pt>
                <c:pt idx="45">
                  <c:v>0.13918715696605966</c:v>
                </c:pt>
                <c:pt idx="46">
                  <c:v>8.4048747719619454E-2</c:v>
                </c:pt>
                <c:pt idx="47">
                  <c:v>2.019932549025949E-2</c:v>
                </c:pt>
                <c:pt idx="48">
                  <c:v>-0.10959824631156101</c:v>
                </c:pt>
                <c:pt idx="49">
                  <c:v>-8.8013870589094934E-2</c:v>
                </c:pt>
                <c:pt idx="50">
                  <c:v>-0.24316306170998692</c:v>
                </c:pt>
                <c:pt idx="51">
                  <c:v>-0.40178130143940249</c:v>
                </c:pt>
                <c:pt idx="52">
                  <c:v>-0.32701091510358937</c:v>
                </c:pt>
                <c:pt idx="53">
                  <c:v>-0.17354509111354766</c:v>
                </c:pt>
                <c:pt idx="54">
                  <c:v>-0.1092063767494813</c:v>
                </c:pt>
                <c:pt idx="55">
                  <c:v>-0.2125708221076994</c:v>
                </c:pt>
                <c:pt idx="56">
                  <c:v>-0.19071260989395755</c:v>
                </c:pt>
                <c:pt idx="57">
                  <c:v>-5.6631938339258614E-2</c:v>
                </c:pt>
                <c:pt idx="58">
                  <c:v>9.8761002377751872E-3</c:v>
                </c:pt>
                <c:pt idx="59">
                  <c:v>-8.3253566910612031E-2</c:v>
                </c:pt>
                <c:pt idx="60">
                  <c:v>0.16333940484418186</c:v>
                </c:pt>
                <c:pt idx="61">
                  <c:v>0.27420494390218719</c:v>
                </c:pt>
                <c:pt idx="62">
                  <c:v>0.48577187804642397</c:v>
                </c:pt>
                <c:pt idx="63">
                  <c:v>0.70013063669021181</c:v>
                </c:pt>
                <c:pt idx="64">
                  <c:v>1.2433950113938239</c:v>
                </c:pt>
                <c:pt idx="65">
                  <c:v>1.028825140867798</c:v>
                </c:pt>
                <c:pt idx="66">
                  <c:v>0.77706558827818961</c:v>
                </c:pt>
                <c:pt idx="67">
                  <c:v>0.80920612128703562</c:v>
                </c:pt>
                <c:pt idx="68">
                  <c:v>1.08652669814376</c:v>
                </c:pt>
                <c:pt idx="69">
                  <c:v>1.1502339451695451</c:v>
                </c:pt>
                <c:pt idx="70">
                  <c:v>1.7912540745933552</c:v>
                </c:pt>
                <c:pt idx="71">
                  <c:v>1.7408678161140274</c:v>
                </c:pt>
                <c:pt idx="72">
                  <c:v>0.99099264330881964</c:v>
                </c:pt>
                <c:pt idx="73">
                  <c:v>0.90587130974488606</c:v>
                </c:pt>
                <c:pt idx="74">
                  <c:v>1.3363988022200646</c:v>
                </c:pt>
                <c:pt idx="75">
                  <c:v>1.5773935848010221</c:v>
                </c:pt>
                <c:pt idx="76">
                  <c:v>1.7540759843782081</c:v>
                </c:pt>
                <c:pt idx="77">
                  <c:v>1.5863760039410795</c:v>
                </c:pt>
                <c:pt idx="78">
                  <c:v>1.3423281096982982</c:v>
                </c:pt>
                <c:pt idx="79">
                  <c:v>1.3540328708705809</c:v>
                </c:pt>
                <c:pt idx="80">
                  <c:v>0.99628675980861292</c:v>
                </c:pt>
                <c:pt idx="81">
                  <c:v>0.96229942647527933</c:v>
                </c:pt>
                <c:pt idx="82">
                  <c:v>1.0367671081795402</c:v>
                </c:pt>
                <c:pt idx="83">
                  <c:v>0.70321960191387589</c:v>
                </c:pt>
                <c:pt idx="84">
                  <c:v>0.75350021594896388</c:v>
                </c:pt>
                <c:pt idx="85">
                  <c:v>0.6484231106858056</c:v>
                </c:pt>
                <c:pt idx="86">
                  <c:v>0.71719553173843664</c:v>
                </c:pt>
                <c:pt idx="87">
                  <c:v>0.97607749665071797</c:v>
                </c:pt>
                <c:pt idx="88">
                  <c:v>0.92584179489633156</c:v>
                </c:pt>
                <c:pt idx="89">
                  <c:v>0.91287816832991542</c:v>
                </c:pt>
                <c:pt idx="90">
                  <c:v>0.88257442647527906</c:v>
                </c:pt>
                <c:pt idx="91">
                  <c:v>0.64185995279106844</c:v>
                </c:pt>
                <c:pt idx="92">
                  <c:v>0.46626153974089979</c:v>
                </c:pt>
                <c:pt idx="93">
                  <c:v>0.39852979120288801</c:v>
                </c:pt>
                <c:pt idx="94">
                  <c:v>0.11211964500405802</c:v>
                </c:pt>
                <c:pt idx="95">
                  <c:v>-0.14722757721816437</c:v>
                </c:pt>
                <c:pt idx="96">
                  <c:v>-0.30534722634097156</c:v>
                </c:pt>
                <c:pt idx="97">
                  <c:v>-0.34075371756904183</c:v>
                </c:pt>
              </c:numCache>
            </c:numRef>
          </c:val>
          <c:smooth val="0"/>
          <c:extLst>
            <c:ext xmlns:c16="http://schemas.microsoft.com/office/drawing/2014/chart" uri="{C3380CC4-5D6E-409C-BE32-E72D297353CC}">
              <c16:uniqueId val="{00000002-313C-4978-A311-5AD9B8EF7BBB}"/>
            </c:ext>
          </c:extLst>
        </c:ser>
        <c:dLbls>
          <c:showLegendKey val="0"/>
          <c:showVal val="0"/>
          <c:showCatName val="0"/>
          <c:showSerName val="0"/>
          <c:showPercent val="0"/>
          <c:showBubbleSize val="0"/>
        </c:dLbls>
        <c:smooth val="0"/>
        <c:axId val="289966528"/>
        <c:axId val="289967088"/>
      </c:lineChart>
      <c:dateAx>
        <c:axId val="289966528"/>
        <c:scaling>
          <c:orientation val="minMax"/>
        </c:scaling>
        <c:delete val="0"/>
        <c:axPos val="b"/>
        <c:numFmt formatCode="mmm\-yy" sourceLinked="0"/>
        <c:majorTickMark val="out"/>
        <c:minorTickMark val="none"/>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crossAx val="289967088"/>
        <c:crosses val="autoZero"/>
        <c:auto val="1"/>
        <c:lblOffset val="100"/>
        <c:baseTimeUnit val="months"/>
        <c:majorUnit val="5"/>
        <c:majorTimeUnit val="months"/>
        <c:minorUnit val="1"/>
        <c:minorTimeUnit val="months"/>
      </c:dateAx>
      <c:valAx>
        <c:axId val="289967088"/>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r>
                  <a:rPr lang="en-US"/>
                  <a:t>$ per gallon</a:t>
                </a:r>
              </a:p>
            </c:rich>
          </c:tx>
          <c:layout>
            <c:manualLayout>
              <c:xMode val="edge"/>
              <c:yMode val="edge"/>
              <c:x val="4.4483214417692599E-3"/>
              <c:y val="0.3979056795663539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crossAx val="289966528"/>
        <c:crosses val="autoZero"/>
        <c:crossBetween val="midCat"/>
      </c:valAx>
      <c:spPr>
        <a:noFill/>
        <a:ln>
          <a:noFill/>
        </a:ln>
        <a:effectLst/>
      </c:spPr>
    </c:plotArea>
    <c:legend>
      <c:legendPos val="b"/>
      <c:layout>
        <c:manualLayout>
          <c:xMode val="edge"/>
          <c:yMode val="edge"/>
          <c:x val="0.1607888585261206"/>
          <c:y val="0.17387115246957763"/>
          <c:w val="0.23815146456109718"/>
          <c:h val="0.17360359500516981"/>
        </c:manualLayout>
      </c:layout>
      <c:overlay val="0"/>
      <c:spPr>
        <a:solidFill>
          <a:schemeClr val="bg1"/>
        </a:solidFill>
        <a:ln>
          <a:solidFill>
            <a:schemeClr val="accent1"/>
          </a:solidFill>
        </a:ln>
        <a:effectLst/>
      </c:spPr>
      <c:txPr>
        <a:bodyPr rot="0" spcFirstLastPara="1" vertOverflow="ellipsis" vert="horz"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600">
          <a:latin typeface="Arial Narrow" panose="020B0606020202030204" pitchFamily="34" charset="0"/>
        </a:defRPr>
      </a:pPr>
      <a:endParaRPr lang="en-US"/>
    </a:p>
  </c:txPr>
  <c:printSettings>
    <c:headerFooter/>
    <c:pageMargins b="0.750000000000002" l="0.70000000000000095" r="0.70000000000000095" t="0.750000000000002"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289969328"/>
        <c:axId val="759820352"/>
      </c:barChart>
      <c:catAx>
        <c:axId val="289969328"/>
        <c:scaling>
          <c:orientation val="minMax"/>
        </c:scaling>
        <c:delete val="0"/>
        <c:axPos val="b"/>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59820352"/>
        <c:crosses val="autoZero"/>
        <c:auto val="1"/>
        <c:lblAlgn val="ctr"/>
        <c:lblOffset val="100"/>
        <c:noMultiLvlLbl val="0"/>
      </c:catAx>
      <c:valAx>
        <c:axId val="759820352"/>
        <c:scaling>
          <c:orientation val="minMax"/>
        </c:scaling>
        <c:delete val="0"/>
        <c:axPos val="l"/>
        <c:majorGridlines>
          <c:spPr>
            <a:ln w="9525" cap="flat" cmpd="sng" algn="ctr">
              <a:solidFill>
                <a:schemeClr val="tx2">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89969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baseline="0">
                <a:solidFill>
                  <a:schemeClr val="tx2"/>
                </a:solidFill>
                <a:latin typeface="Arial Narrow" panose="020B0606020202030204" pitchFamily="34" charset="0"/>
                <a:ea typeface="+mn-ea"/>
                <a:cs typeface="+mn-cs"/>
              </a:defRPr>
            </a:pPr>
            <a:r>
              <a:rPr lang="en-US"/>
              <a:t>Allocation of Ethanol Supply Chain Profits between </a:t>
            </a:r>
            <a:br>
              <a:rPr lang="en-US"/>
            </a:br>
            <a:r>
              <a:rPr lang="en-US"/>
              <a:t>Ethanol Producer and Corn Farmer</a:t>
            </a:r>
          </a:p>
          <a:p>
            <a:pPr>
              <a:defRPr/>
            </a:pPr>
            <a:r>
              <a:rPr lang="en-US" b="0"/>
              <a:t>(corn at cost of production)</a:t>
            </a:r>
          </a:p>
        </c:rich>
      </c:tx>
      <c:layout>
        <c:manualLayout>
          <c:xMode val="edge"/>
          <c:yMode val="edge"/>
          <c:x val="0.2836224598647572"/>
          <c:y val="1.2600970333253796E-2"/>
        </c:manualLayout>
      </c:layout>
      <c:overlay val="0"/>
      <c:spPr>
        <a:noFill/>
        <a:ln>
          <a:noFill/>
        </a:ln>
        <a:effectLst/>
      </c:spPr>
      <c:txPr>
        <a:bodyPr rot="0" spcFirstLastPara="1" vertOverflow="ellipsis" vert="horz" wrap="square" anchor="ctr" anchorCtr="1"/>
        <a:lstStyle/>
        <a:p>
          <a:pPr>
            <a:defRPr sz="168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126137800044749"/>
          <c:y val="0.16787974230493916"/>
          <c:w val="0.8529379183744521"/>
          <c:h val="0.75076751769665173"/>
        </c:manualLayout>
      </c:layout>
      <c:lineChart>
        <c:grouping val="standard"/>
        <c:varyColors val="0"/>
        <c:ser>
          <c:idx val="2"/>
          <c:order val="0"/>
          <c:tx>
            <c:v>Total profits</c:v>
          </c:tx>
          <c:spPr>
            <a:ln w="31750" cap="rnd">
              <a:solidFill>
                <a:schemeClr val="accent3"/>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[0]!AP</c:f>
              <c:numCache>
                <c:formatCode>_("$"* #,##0.00_);_("$"* \(#,##0.00\);_("$"* "-"??_);_(@_)</c:formatCode>
                <c:ptCount val="98"/>
                <c:pt idx="0">
                  <c:v>-0.31373913797536246</c:v>
                </c:pt>
                <c:pt idx="1">
                  <c:v>-0.220061793250246</c:v>
                </c:pt>
                <c:pt idx="2">
                  <c:v>-0.25630997248618459</c:v>
                </c:pt>
                <c:pt idx="3">
                  <c:v>-0.1184673658924662</c:v>
                </c:pt>
                <c:pt idx="4">
                  <c:v>-9.6052176565528669E-3</c:v>
                </c:pt>
                <c:pt idx="5">
                  <c:v>0.15207416353412806</c:v>
                </c:pt>
                <c:pt idx="6">
                  <c:v>9.348612011206292E-5</c:v>
                </c:pt>
                <c:pt idx="7">
                  <c:v>-0.20063950261399133</c:v>
                </c:pt>
                <c:pt idx="8">
                  <c:v>8.5258837977542079E-4</c:v>
                </c:pt>
                <c:pt idx="9">
                  <c:v>6.3816933235653295E-2</c:v>
                </c:pt>
                <c:pt idx="10">
                  <c:v>9.6106670726916477E-2</c:v>
                </c:pt>
                <c:pt idx="11">
                  <c:v>0.17664759003973041</c:v>
                </c:pt>
                <c:pt idx="12">
                  <c:v>-8.2179326263364105E-2</c:v>
                </c:pt>
                <c:pt idx="13">
                  <c:v>-9.7812015950198949E-2</c:v>
                </c:pt>
                <c:pt idx="14">
                  <c:v>-8.8640168320522017E-2</c:v>
                </c:pt>
                <c:pt idx="15">
                  <c:v>5.5862790324793909E-2</c:v>
                </c:pt>
                <c:pt idx="16">
                  <c:v>-4.39852200195745E-2</c:v>
                </c:pt>
                <c:pt idx="17">
                  <c:v>2.7036160309048318E-2</c:v>
                </c:pt>
                <c:pt idx="18">
                  <c:v>6.0882296362849697E-3</c:v>
                </c:pt>
                <c:pt idx="19">
                  <c:v>4.171877760262177E-2</c:v>
                </c:pt>
                <c:pt idx="20">
                  <c:v>0.11802657642365544</c:v>
                </c:pt>
                <c:pt idx="21">
                  <c:v>2.9969538889941694E-2</c:v>
                </c:pt>
                <c:pt idx="22">
                  <c:v>2.0731310636357136E-4</c:v>
                </c:pt>
                <c:pt idx="23">
                  <c:v>-8.5321622221919746E-2</c:v>
                </c:pt>
                <c:pt idx="24">
                  <c:v>-5.5623008257692952E-2</c:v>
                </c:pt>
                <c:pt idx="25">
                  <c:v>2.0333534024967514E-2</c:v>
                </c:pt>
                <c:pt idx="26">
                  <c:v>0.12779103794619884</c:v>
                </c:pt>
                <c:pt idx="27">
                  <c:v>0.18106486712449943</c:v>
                </c:pt>
                <c:pt idx="28">
                  <c:v>0.22650028043376103</c:v>
                </c:pt>
                <c:pt idx="29">
                  <c:v>0.16019181763358059</c:v>
                </c:pt>
                <c:pt idx="30">
                  <c:v>4.5010654476024037E-2</c:v>
                </c:pt>
                <c:pt idx="31">
                  <c:v>3.3377478966752472E-2</c:v>
                </c:pt>
                <c:pt idx="32">
                  <c:v>-0.12467178668143264</c:v>
                </c:pt>
                <c:pt idx="33">
                  <c:v>-0.14451582928274442</c:v>
                </c:pt>
                <c:pt idx="34">
                  <c:v>-0.12583581831208268</c:v>
                </c:pt>
                <c:pt idx="35">
                  <c:v>-0.11848210502110335</c:v>
                </c:pt>
                <c:pt idx="36">
                  <c:v>-9.2954733601528838E-2</c:v>
                </c:pt>
                <c:pt idx="37">
                  <c:v>-9.1272968921505937E-2</c:v>
                </c:pt>
                <c:pt idx="38">
                  <c:v>-1.1979247906831469E-2</c:v>
                </c:pt>
                <c:pt idx="39">
                  <c:v>-2.5965278943398395E-3</c:v>
                </c:pt>
                <c:pt idx="40">
                  <c:v>-9.4384249425492284E-2</c:v>
                </c:pt>
                <c:pt idx="41">
                  <c:v>0.13776768998300981</c:v>
                </c:pt>
                <c:pt idx="42">
                  <c:v>0.17761496923087505</c:v>
                </c:pt>
                <c:pt idx="43">
                  <c:v>4.5750541704653314E-2</c:v>
                </c:pt>
                <c:pt idx="44">
                  <c:v>-6.3296289021665286E-2</c:v>
                </c:pt>
                <c:pt idx="45">
                  <c:v>0.13918715696605966</c:v>
                </c:pt>
                <c:pt idx="46">
                  <c:v>8.4048747719619454E-2</c:v>
                </c:pt>
                <c:pt idx="47">
                  <c:v>2.019932549025949E-2</c:v>
                </c:pt>
                <c:pt idx="48">
                  <c:v>-0.10959824631156101</c:v>
                </c:pt>
                <c:pt idx="49">
                  <c:v>-8.8013870589094934E-2</c:v>
                </c:pt>
                <c:pt idx="50">
                  <c:v>-0.24316306170998692</c:v>
                </c:pt>
                <c:pt idx="51">
                  <c:v>-0.40178130143940249</c:v>
                </c:pt>
                <c:pt idx="52">
                  <c:v>-0.32701091510358937</c:v>
                </c:pt>
                <c:pt idx="53">
                  <c:v>-0.17354509111354766</c:v>
                </c:pt>
                <c:pt idx="54">
                  <c:v>-0.1092063767494813</c:v>
                </c:pt>
                <c:pt idx="55">
                  <c:v>-0.2125708221076994</c:v>
                </c:pt>
                <c:pt idx="56">
                  <c:v>-0.19071260989395755</c:v>
                </c:pt>
                <c:pt idx="57">
                  <c:v>-5.6631938339258614E-2</c:v>
                </c:pt>
                <c:pt idx="58">
                  <c:v>9.8761002377751872E-3</c:v>
                </c:pt>
                <c:pt idx="59">
                  <c:v>-8.3253566910612031E-2</c:v>
                </c:pt>
                <c:pt idx="60">
                  <c:v>0.16333940484418186</c:v>
                </c:pt>
                <c:pt idx="61">
                  <c:v>0.27420494390218719</c:v>
                </c:pt>
                <c:pt idx="62">
                  <c:v>0.48577187804642397</c:v>
                </c:pt>
                <c:pt idx="63">
                  <c:v>0.70013063669021181</c:v>
                </c:pt>
                <c:pt idx="64">
                  <c:v>1.2433950113938239</c:v>
                </c:pt>
                <c:pt idx="65">
                  <c:v>1.028825140867798</c:v>
                </c:pt>
                <c:pt idx="66">
                  <c:v>0.77706558827818961</c:v>
                </c:pt>
                <c:pt idx="67">
                  <c:v>0.80920612128703562</c:v>
                </c:pt>
                <c:pt idx="68">
                  <c:v>1.08652669814376</c:v>
                </c:pt>
                <c:pt idx="69">
                  <c:v>1.1502339451695451</c:v>
                </c:pt>
                <c:pt idx="70">
                  <c:v>1.7912540745933552</c:v>
                </c:pt>
                <c:pt idx="71">
                  <c:v>1.7408678161140274</c:v>
                </c:pt>
                <c:pt idx="72">
                  <c:v>0.99099264330881964</c:v>
                </c:pt>
                <c:pt idx="73">
                  <c:v>0.90587130974488606</c:v>
                </c:pt>
                <c:pt idx="74">
                  <c:v>1.3363988022200646</c:v>
                </c:pt>
                <c:pt idx="75">
                  <c:v>1.5773935848010221</c:v>
                </c:pt>
                <c:pt idx="76">
                  <c:v>1.7540759843782081</c:v>
                </c:pt>
                <c:pt idx="77">
                  <c:v>1.5863760039410795</c:v>
                </c:pt>
                <c:pt idx="78">
                  <c:v>1.3423281096982982</c:v>
                </c:pt>
                <c:pt idx="79">
                  <c:v>1.3540328708705809</c:v>
                </c:pt>
                <c:pt idx="80">
                  <c:v>0.99628675980861292</c:v>
                </c:pt>
                <c:pt idx="81">
                  <c:v>0.96229942647527933</c:v>
                </c:pt>
                <c:pt idx="82">
                  <c:v>1.0367671081795402</c:v>
                </c:pt>
                <c:pt idx="83">
                  <c:v>0.70321960191387589</c:v>
                </c:pt>
                <c:pt idx="84">
                  <c:v>0.75350021594896388</c:v>
                </c:pt>
                <c:pt idx="85">
                  <c:v>0.6484231106858056</c:v>
                </c:pt>
                <c:pt idx="86">
                  <c:v>0.71719553173843664</c:v>
                </c:pt>
                <c:pt idx="87">
                  <c:v>0.97607749665071797</c:v>
                </c:pt>
                <c:pt idx="88">
                  <c:v>0.92584179489633156</c:v>
                </c:pt>
                <c:pt idx="89">
                  <c:v>0.91287816832991542</c:v>
                </c:pt>
                <c:pt idx="90">
                  <c:v>0.88257442647527906</c:v>
                </c:pt>
                <c:pt idx="91">
                  <c:v>0.64185995279106844</c:v>
                </c:pt>
                <c:pt idx="92">
                  <c:v>0.46626153974089979</c:v>
                </c:pt>
                <c:pt idx="93">
                  <c:v>0.39852979120288801</c:v>
                </c:pt>
                <c:pt idx="94">
                  <c:v>0.11211964500405802</c:v>
                </c:pt>
                <c:pt idx="95">
                  <c:v>-0.14722757721816437</c:v>
                </c:pt>
                <c:pt idx="96">
                  <c:v>-0.30534722634097156</c:v>
                </c:pt>
                <c:pt idx="97">
                  <c:v>-0.34075371756904183</c:v>
                </c:pt>
              </c:numCache>
            </c:numRef>
          </c:val>
          <c:smooth val="0"/>
          <c:extLst>
            <c:ext xmlns:c16="http://schemas.microsoft.com/office/drawing/2014/chart" uri="{C3380CC4-5D6E-409C-BE32-E72D297353CC}">
              <c16:uniqueId val="{00000000-0EB3-43B4-A01E-75DECA162B81}"/>
            </c:ext>
          </c:extLst>
        </c:ser>
        <c:ser>
          <c:idx val="1"/>
          <c:order val="1"/>
          <c:tx>
            <c:v>Corn farmer profits</c:v>
          </c:tx>
          <c:spPr>
            <a:ln w="31750" cap="rnd">
              <a:solidFill>
                <a:schemeClr val="accent2"/>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[0]!AR</c:f>
              <c:numCache>
                <c:formatCode>_("$"* #,##0.00_);_("$"* \(#,##0.00\);_("$"* "-"??_);_(@_)</c:formatCode>
                <c:ptCount val="98"/>
                <c:pt idx="0">
                  <c:v>-0.17671399120919018</c:v>
                </c:pt>
                <c:pt idx="1">
                  <c:v>-0.16875000020913911</c:v>
                </c:pt>
                <c:pt idx="2">
                  <c:v>-0.18189836181273988</c:v>
                </c:pt>
                <c:pt idx="3">
                  <c:v>-0.16842627513378772</c:v>
                </c:pt>
                <c:pt idx="4">
                  <c:v>-0.12249895130084165</c:v>
                </c:pt>
                <c:pt idx="5">
                  <c:v>-6.1194182735120561E-2</c:v>
                </c:pt>
                <c:pt idx="6">
                  <c:v>-0.27666666905085235</c:v>
                </c:pt>
                <c:pt idx="7">
                  <c:v>-0.3303537412784554</c:v>
                </c:pt>
                <c:pt idx="8">
                  <c:v>-0.19660839984566225</c:v>
                </c:pt>
                <c:pt idx="9">
                  <c:v>-0.14565810959914494</c:v>
                </c:pt>
                <c:pt idx="10">
                  <c:v>-0.14577716083432746</c:v>
                </c:pt>
                <c:pt idx="11">
                  <c:v>-0.11107164606292375</c:v>
                </c:pt>
                <c:pt idx="12">
                  <c:v>-6.4592951400502807E-2</c:v>
                </c:pt>
                <c:pt idx="13">
                  <c:v>-5.2095258623801044E-2</c:v>
                </c:pt>
                <c:pt idx="14">
                  <c:v>-7.8183715957134359E-2</c:v>
                </c:pt>
                <c:pt idx="15">
                  <c:v>-7.0086368521344866E-2</c:v>
                </c:pt>
                <c:pt idx="16">
                  <c:v>-5.8448608971169325E-2</c:v>
                </c:pt>
                <c:pt idx="17">
                  <c:v>-6.7210571606257208E-2</c:v>
                </c:pt>
                <c:pt idx="18">
                  <c:v>-5.6654347841345043E-2</c:v>
                </c:pt>
                <c:pt idx="19">
                  <c:v>-0.12848448960625714</c:v>
                </c:pt>
                <c:pt idx="20">
                  <c:v>-6.6756329065150277E-2</c:v>
                </c:pt>
                <c:pt idx="21">
                  <c:v>-7.4888123926933448E-2</c:v>
                </c:pt>
                <c:pt idx="22">
                  <c:v>-8.2107220897869926E-2</c:v>
                </c:pt>
                <c:pt idx="23">
                  <c:v>-4.7699316624284727E-2</c:v>
                </c:pt>
                <c:pt idx="24">
                  <c:v>-2.965003597882987E-2</c:v>
                </c:pt>
                <c:pt idx="25">
                  <c:v>8.8750122702556666E-3</c:v>
                </c:pt>
                <c:pt idx="26">
                  <c:v>4.3157931932956695E-2</c:v>
                </c:pt>
                <c:pt idx="27">
                  <c:v>7.1008814411454679E-2</c:v>
                </c:pt>
                <c:pt idx="28">
                  <c:v>0.11513760274654605</c:v>
                </c:pt>
                <c:pt idx="29">
                  <c:v>8.3929945424960906E-3</c:v>
                </c:pt>
                <c:pt idx="30">
                  <c:v>-5.5892731136319984E-2</c:v>
                </c:pt>
                <c:pt idx="31">
                  <c:v>-2.50181626488859E-2</c:v>
                </c:pt>
                <c:pt idx="32">
                  <c:v>-9.2758232237743821E-2</c:v>
                </c:pt>
                <c:pt idx="33">
                  <c:v>-5.12889366272824E-2</c:v>
                </c:pt>
                <c:pt idx="34">
                  <c:v>-2.2495075472358073E-2</c:v>
                </c:pt>
                <c:pt idx="35">
                  <c:v>7.0057003126648976E-3</c:v>
                </c:pt>
                <c:pt idx="36">
                  <c:v>3.6764532604369959E-2</c:v>
                </c:pt>
                <c:pt idx="37">
                  <c:v>4.616476851715734E-2</c:v>
                </c:pt>
                <c:pt idx="38">
                  <c:v>4.0576139590751348E-2</c:v>
                </c:pt>
                <c:pt idx="39">
                  <c:v>1.775013570909989E-2</c:v>
                </c:pt>
                <c:pt idx="40">
                  <c:v>6.6505544369737768E-2</c:v>
                </c:pt>
                <c:pt idx="41">
                  <c:v>0.25445667778425562</c:v>
                </c:pt>
                <c:pt idx="42">
                  <c:v>0.29338809462204818</c:v>
                </c:pt>
                <c:pt idx="43">
                  <c:v>0.12101968052804524</c:v>
                </c:pt>
                <c:pt idx="44">
                  <c:v>2.0508039555354296E-2</c:v>
                </c:pt>
                <c:pt idx="45">
                  <c:v>8.7997079034994874E-2</c:v>
                </c:pt>
                <c:pt idx="46">
                  <c:v>1.9617573317471493E-2</c:v>
                </c:pt>
                <c:pt idx="47">
                  <c:v>4.7931284374660876E-2</c:v>
                </c:pt>
                <c:pt idx="48">
                  <c:v>7.7694229852585561E-2</c:v>
                </c:pt>
                <c:pt idx="49">
                  <c:v>5.77408432043236E-2</c:v>
                </c:pt>
                <c:pt idx="50">
                  <c:v>-5.1428761867561734E-2</c:v>
                </c:pt>
                <c:pt idx="51">
                  <c:v>-0.23211057852836836</c:v>
                </c:pt>
                <c:pt idx="52">
                  <c:v>-0.22718932740172448</c:v>
                </c:pt>
                <c:pt idx="53">
                  <c:v>-0.17151211405557287</c:v>
                </c:pt>
                <c:pt idx="54">
                  <c:v>-0.1709463016965298</c:v>
                </c:pt>
                <c:pt idx="55">
                  <c:v>-0.1758771904329508</c:v>
                </c:pt>
                <c:pt idx="56">
                  <c:v>-0.16113928674907152</c:v>
                </c:pt>
                <c:pt idx="57">
                  <c:v>-5.2158507786423947E-2</c:v>
                </c:pt>
                <c:pt idx="58">
                  <c:v>4.0159457608745841E-2</c:v>
                </c:pt>
                <c:pt idx="59">
                  <c:v>0.10151734736576667</c:v>
                </c:pt>
                <c:pt idx="60">
                  <c:v>0.35383674917946362</c:v>
                </c:pt>
                <c:pt idx="61">
                  <c:v>0.48708928578055044</c:v>
                </c:pt>
                <c:pt idx="62">
                  <c:v>0.49822833254400933</c:v>
                </c:pt>
                <c:pt idx="63">
                  <c:v>0.72053364653782004</c:v>
                </c:pt>
                <c:pt idx="64">
                  <c:v>1.0823339809455914</c:v>
                </c:pt>
                <c:pt idx="65">
                  <c:v>1.0089587805948923</c:v>
                </c:pt>
                <c:pt idx="66">
                  <c:v>0.88360590683833728</c:v>
                </c:pt>
                <c:pt idx="67">
                  <c:v>0.83113780641526991</c:v>
                </c:pt>
                <c:pt idx="68">
                  <c:v>0.69061808217051612</c:v>
                </c:pt>
                <c:pt idx="69">
                  <c:v>0.6014869325383243</c:v>
                </c:pt>
                <c:pt idx="70">
                  <c:v>0.7284649931937508</c:v>
                </c:pt>
                <c:pt idx="71">
                  <c:v>0.81932527277415623</c:v>
                </c:pt>
                <c:pt idx="72">
                  <c:v>0.86104833947697745</c:v>
                </c:pt>
                <c:pt idx="73">
                  <c:v>0.98081286979447224</c:v>
                </c:pt>
                <c:pt idx="74">
                  <c:v>1.2460388066547172</c:v>
                </c:pt>
                <c:pt idx="75">
                  <c:v>1.4483457449923756</c:v>
                </c:pt>
                <c:pt idx="76">
                  <c:v>1.4637433917454388</c:v>
                </c:pt>
                <c:pt idx="77">
                  <c:v>1.4856645650374838</c:v>
                </c:pt>
                <c:pt idx="78">
                  <c:v>1.2812085630775765</c:v>
                </c:pt>
                <c:pt idx="79">
                  <c:v>1.3168931065942773</c:v>
                </c:pt>
                <c:pt idx="80">
                  <c:v>1.0037698412698415</c:v>
                </c:pt>
                <c:pt idx="81">
                  <c:v>0.83462017543859623</c:v>
                </c:pt>
                <c:pt idx="82">
                  <c:v>0.80538888888888849</c:v>
                </c:pt>
                <c:pt idx="83">
                  <c:v>0.7891457811194651</c:v>
                </c:pt>
                <c:pt idx="84">
                  <c:v>0.8263175438596484</c:v>
                </c:pt>
                <c:pt idx="85">
                  <c:v>0.83025161588180962</c:v>
                </c:pt>
                <c:pt idx="86">
                  <c:v>0.72120327993897781</c:v>
                </c:pt>
                <c:pt idx="87">
                  <c:v>0.78507894736842054</c:v>
                </c:pt>
                <c:pt idx="88">
                  <c:v>0.66156539074960063</c:v>
                </c:pt>
                <c:pt idx="89">
                  <c:v>0.71377485380117012</c:v>
                </c:pt>
                <c:pt idx="90">
                  <c:v>0.49762456140350819</c:v>
                </c:pt>
                <c:pt idx="91">
                  <c:v>0.37778222730739874</c:v>
                </c:pt>
                <c:pt idx="92">
                  <c:v>-0.15690586334256662</c:v>
                </c:pt>
                <c:pt idx="93">
                  <c:v>-0.19264859517214084</c:v>
                </c:pt>
                <c:pt idx="94">
                  <c:v>-0.20037165281625136</c:v>
                </c:pt>
                <c:pt idx="95">
                  <c:v>-0.18261989843028625</c:v>
                </c:pt>
                <c:pt idx="96">
                  <c:v>-0.26695018247372793</c:v>
                </c:pt>
                <c:pt idx="97">
                  <c:v>-0.36180060018467186</c:v>
                </c:pt>
              </c:numCache>
            </c:numRef>
          </c:val>
          <c:smooth val="0"/>
          <c:extLst>
            <c:ext xmlns:c16="http://schemas.microsoft.com/office/drawing/2014/chart" uri="{C3380CC4-5D6E-409C-BE32-E72D297353CC}">
              <c16:uniqueId val="{00000001-0EB3-43B4-A01E-75DECA162B81}"/>
            </c:ext>
          </c:extLst>
        </c:ser>
        <c:ser>
          <c:idx val="0"/>
          <c:order val="2"/>
          <c:tx>
            <c:v>Ethanol producer profits</c:v>
          </c:tx>
          <c:spPr>
            <a:ln w="31750" cap="rnd">
              <a:solidFill>
                <a:schemeClr val="accent1"/>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[0]!AQ</c:f>
              <c:numCache>
                <c:formatCode>_("$"* #,##0.00_);_("$"* \(#,##0.00\);_("$"* "-"??_);_(@_)</c:formatCode>
                <c:ptCount val="98"/>
                <c:pt idx="0">
                  <c:v>-0.13702514676617228</c:v>
                </c:pt>
                <c:pt idx="1">
                  <c:v>-5.131179304110689E-2</c:v>
                </c:pt>
                <c:pt idx="2">
                  <c:v>-7.4411610673444706E-2</c:v>
                </c:pt>
                <c:pt idx="3">
                  <c:v>4.9958909241321514E-2</c:v>
                </c:pt>
                <c:pt idx="4">
                  <c:v>0.11289373364428879</c:v>
                </c:pt>
                <c:pt idx="5">
                  <c:v>0.21326834626924862</c:v>
                </c:pt>
                <c:pt idx="6">
                  <c:v>0.27676015517096442</c:v>
                </c:pt>
                <c:pt idx="7">
                  <c:v>0.12971423866446408</c:v>
                </c:pt>
                <c:pt idx="8">
                  <c:v>0.19746098822543767</c:v>
                </c:pt>
                <c:pt idx="9">
                  <c:v>0.20947504283479823</c:v>
                </c:pt>
                <c:pt idx="10">
                  <c:v>0.24188383156124393</c:v>
                </c:pt>
                <c:pt idx="11">
                  <c:v>0.28771923610265415</c:v>
                </c:pt>
                <c:pt idx="12">
                  <c:v>-1.7586374862861298E-2</c:v>
                </c:pt>
                <c:pt idx="13">
                  <c:v>-4.5716757326397905E-2</c:v>
                </c:pt>
                <c:pt idx="14">
                  <c:v>-1.0456452363387658E-2</c:v>
                </c:pt>
                <c:pt idx="15">
                  <c:v>0.12594915884613878</c:v>
                </c:pt>
                <c:pt idx="16">
                  <c:v>1.4463388951594824E-2</c:v>
                </c:pt>
                <c:pt idx="17">
                  <c:v>9.4246731915305526E-2</c:v>
                </c:pt>
                <c:pt idx="18">
                  <c:v>6.2742577477630013E-2</c:v>
                </c:pt>
                <c:pt idx="19">
                  <c:v>0.17020326720887891</c:v>
                </c:pt>
                <c:pt idx="20">
                  <c:v>0.18478290548880572</c:v>
                </c:pt>
                <c:pt idx="21">
                  <c:v>0.10485766281687514</c:v>
                </c:pt>
                <c:pt idx="22">
                  <c:v>8.2314534004233497E-2</c:v>
                </c:pt>
                <c:pt idx="23">
                  <c:v>-3.762230559763502E-2</c:v>
                </c:pt>
                <c:pt idx="24">
                  <c:v>-2.5972972278863082E-2</c:v>
                </c:pt>
                <c:pt idx="25">
                  <c:v>1.1458521754711848E-2</c:v>
                </c:pt>
                <c:pt idx="26">
                  <c:v>8.4633106013242143E-2</c:v>
                </c:pt>
                <c:pt idx="27">
                  <c:v>0.11005605271304475</c:v>
                </c:pt>
                <c:pt idx="28">
                  <c:v>0.11136267768721497</c:v>
                </c:pt>
                <c:pt idx="29">
                  <c:v>0.1517988230910845</c:v>
                </c:pt>
                <c:pt idx="30">
                  <c:v>0.10090338561234402</c:v>
                </c:pt>
                <c:pt idx="31">
                  <c:v>5.8395641615638372E-2</c:v>
                </c:pt>
                <c:pt idx="32">
                  <c:v>-3.1913554443688819E-2</c:v>
                </c:pt>
                <c:pt idx="33">
                  <c:v>-9.3226892655462024E-2</c:v>
                </c:pt>
                <c:pt idx="34">
                  <c:v>-0.10334074283972461</c:v>
                </c:pt>
                <c:pt idx="35">
                  <c:v>-0.12548780533376824</c:v>
                </c:pt>
                <c:pt idx="36">
                  <c:v>-0.1297192662058988</c:v>
                </c:pt>
                <c:pt idx="37">
                  <c:v>-0.13743773743866328</c:v>
                </c:pt>
                <c:pt idx="38">
                  <c:v>-5.2555387497582817E-2</c:v>
                </c:pt>
                <c:pt idx="39">
                  <c:v>-2.034666360343973E-2</c:v>
                </c:pt>
                <c:pt idx="40">
                  <c:v>-0.16088979379523005</c:v>
                </c:pt>
                <c:pt idx="41">
                  <c:v>-0.11668898780124581</c:v>
                </c:pt>
                <c:pt idx="42">
                  <c:v>-0.11577312539117313</c:v>
                </c:pt>
                <c:pt idx="43">
                  <c:v>-7.5269138823391923E-2</c:v>
                </c:pt>
                <c:pt idx="44">
                  <c:v>-8.3804328577019582E-2</c:v>
                </c:pt>
                <c:pt idx="45">
                  <c:v>5.1190077931064781E-2</c:v>
                </c:pt>
                <c:pt idx="46">
                  <c:v>6.4431174402147962E-2</c:v>
                </c:pt>
                <c:pt idx="47">
                  <c:v>-2.7731958884401386E-2</c:v>
                </c:pt>
                <c:pt idx="48">
                  <c:v>-0.18729247616414657</c:v>
                </c:pt>
                <c:pt idx="49">
                  <c:v>-0.14575471379341853</c:v>
                </c:pt>
                <c:pt idx="50">
                  <c:v>-0.19173429984242518</c:v>
                </c:pt>
                <c:pt idx="51">
                  <c:v>-0.16967072291103413</c:v>
                </c:pt>
                <c:pt idx="52">
                  <c:v>-9.9821587701864889E-2</c:v>
                </c:pt>
                <c:pt idx="53">
                  <c:v>-2.032977057974783E-3</c:v>
                </c:pt>
                <c:pt idx="54">
                  <c:v>6.1739924947048497E-2</c:v>
                </c:pt>
                <c:pt idx="55">
                  <c:v>-3.6693631674748595E-2</c:v>
                </c:pt>
                <c:pt idx="56">
                  <c:v>-2.9573323144886032E-2</c:v>
                </c:pt>
                <c:pt idx="57">
                  <c:v>-4.4734305528346674E-3</c:v>
                </c:pt>
                <c:pt idx="58">
                  <c:v>-3.0283357370970654E-2</c:v>
                </c:pt>
                <c:pt idx="59">
                  <c:v>-0.18477091427637871</c:v>
                </c:pt>
                <c:pt idx="60">
                  <c:v>-0.19049734433528176</c:v>
                </c:pt>
                <c:pt idx="61">
                  <c:v>-0.21288434187836325</c:v>
                </c:pt>
                <c:pt idx="62">
                  <c:v>-1.2456454497585367E-2</c:v>
                </c:pt>
                <c:pt idx="63">
                  <c:v>-2.0403009847608233E-2</c:v>
                </c:pt>
                <c:pt idx="64">
                  <c:v>0.1610610304482325</c:v>
                </c:pt>
                <c:pt idx="65">
                  <c:v>1.986636027290567E-2</c:v>
                </c:pt>
                <c:pt idx="66">
                  <c:v>-0.10654031856014767</c:v>
                </c:pt>
                <c:pt idx="67">
                  <c:v>-2.1931685128234291E-2</c:v>
                </c:pt>
                <c:pt idx="68">
                  <c:v>0.39590861597324389</c:v>
                </c:pt>
                <c:pt idx="69">
                  <c:v>0.54874701263122083</c:v>
                </c:pt>
                <c:pt idx="70">
                  <c:v>1.0627890813996044</c:v>
                </c:pt>
                <c:pt idx="71">
                  <c:v>0.92154254333987118</c:v>
                </c:pt>
                <c:pt idx="72">
                  <c:v>0.12994430383184219</c:v>
                </c:pt>
                <c:pt idx="73">
                  <c:v>-7.4941560049586187E-2</c:v>
                </c:pt>
                <c:pt idx="74">
                  <c:v>9.0359995565347351E-2</c:v>
                </c:pt>
                <c:pt idx="75">
                  <c:v>0.12904783980864654</c:v>
                </c:pt>
                <c:pt idx="76">
                  <c:v>0.29033259263276934</c:v>
                </c:pt>
                <c:pt idx="77">
                  <c:v>0.10071143890359568</c:v>
                </c:pt>
                <c:pt idx="78">
                  <c:v>6.1119546620721721E-2</c:v>
                </c:pt>
                <c:pt idx="79">
                  <c:v>3.7139764276303611E-2</c:v>
                </c:pt>
                <c:pt idx="80">
                  <c:v>-7.4830814612285579E-3</c:v>
                </c:pt>
                <c:pt idx="81">
                  <c:v>0.12767925103668309</c:v>
                </c:pt>
                <c:pt idx="82">
                  <c:v>0.23137821929065172</c:v>
                </c:pt>
                <c:pt idx="83">
                  <c:v>-8.5926179205589204E-2</c:v>
                </c:pt>
                <c:pt idx="84">
                  <c:v>-7.2817327910684515E-2</c:v>
                </c:pt>
                <c:pt idx="85">
                  <c:v>-0.18182850519600402</c:v>
                </c:pt>
                <c:pt idx="86">
                  <c:v>-4.0077482005411724E-3</c:v>
                </c:pt>
                <c:pt idx="87">
                  <c:v>0.19099854928229743</c:v>
                </c:pt>
                <c:pt idx="88">
                  <c:v>0.26427640414673093</c:v>
                </c:pt>
                <c:pt idx="89">
                  <c:v>0.1991033145287453</c:v>
                </c:pt>
                <c:pt idx="90">
                  <c:v>0.38494986507177087</c:v>
                </c:pt>
                <c:pt idx="91">
                  <c:v>0.2640777254836697</c:v>
                </c:pt>
                <c:pt idx="92">
                  <c:v>0.62316740308346641</c:v>
                </c:pt>
                <c:pt idx="93">
                  <c:v>0.59117838637502884</c:v>
                </c:pt>
                <c:pt idx="94">
                  <c:v>0.31249129782030938</c:v>
                </c:pt>
                <c:pt idx="95">
                  <c:v>3.539232121212188E-2</c:v>
                </c:pt>
                <c:pt idx="96">
                  <c:v>-3.839704386724363E-2</c:v>
                </c:pt>
                <c:pt idx="97">
                  <c:v>2.1046882615630036E-2</c:v>
                </c:pt>
              </c:numCache>
            </c:numRef>
          </c:val>
          <c:smooth val="0"/>
          <c:extLst>
            <c:ext xmlns:c16="http://schemas.microsoft.com/office/drawing/2014/chart" uri="{C3380CC4-5D6E-409C-BE32-E72D297353CC}">
              <c16:uniqueId val="{00000002-0EB3-43B4-A01E-75DECA162B81}"/>
            </c:ext>
          </c:extLst>
        </c:ser>
        <c:dLbls>
          <c:showLegendKey val="0"/>
          <c:showVal val="0"/>
          <c:showCatName val="0"/>
          <c:showSerName val="0"/>
          <c:showPercent val="0"/>
          <c:showBubbleSize val="0"/>
        </c:dLbls>
        <c:smooth val="0"/>
        <c:axId val="759825392"/>
        <c:axId val="759825952"/>
      </c:lineChart>
      <c:dateAx>
        <c:axId val="759825392"/>
        <c:scaling>
          <c:orientation val="minMax"/>
        </c:scaling>
        <c:delete val="0"/>
        <c:axPos val="b"/>
        <c:numFmt formatCode="mmm\-yy" sourceLinked="0"/>
        <c:majorTickMark val="out"/>
        <c:minorTickMark val="none"/>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759825952"/>
        <c:crosses val="autoZero"/>
        <c:auto val="1"/>
        <c:lblOffset val="100"/>
        <c:baseTimeUnit val="months"/>
        <c:majorUnit val="5"/>
        <c:majorTimeUnit val="months"/>
        <c:minorUnit val="1"/>
        <c:minorTimeUnit val="months"/>
      </c:dateAx>
      <c:valAx>
        <c:axId val="759825952"/>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r>
                  <a:rPr lang="en-US" sz="1600"/>
                  <a:t>$ per gallon</a:t>
                </a:r>
              </a:p>
            </c:rich>
          </c:tx>
          <c:layout>
            <c:manualLayout>
              <c:xMode val="edge"/>
              <c:yMode val="edge"/>
              <c:x val="6.6594019497562803E-3"/>
              <c:y val="0.41109311807722099"/>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759825392"/>
        <c:crosses val="autoZero"/>
        <c:crossBetween val="midCat"/>
      </c:valAx>
      <c:spPr>
        <a:noFill/>
        <a:ln>
          <a:noFill/>
        </a:ln>
        <a:effectLst/>
      </c:spPr>
    </c:plotArea>
    <c:legend>
      <c:legendPos val="b"/>
      <c:layout>
        <c:manualLayout>
          <c:xMode val="edge"/>
          <c:yMode val="edge"/>
          <c:x val="0.18500497911152691"/>
          <c:y val="0.22890606855961187"/>
          <c:w val="0.25863079688771162"/>
          <c:h val="0.13982168138073647"/>
        </c:manualLayout>
      </c:layout>
      <c:overlay val="0"/>
      <c:spPr>
        <a:solidFill>
          <a:schemeClr val="bg1"/>
        </a:solidFill>
        <a:ln>
          <a:solidFill>
            <a:schemeClr val="accent1"/>
          </a:solidFill>
        </a:ln>
        <a:effectLst/>
      </c:spPr>
      <c:txPr>
        <a:bodyPr rot="0" spcFirstLastPara="1" vertOverflow="ellipsis" vert="horz"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latin typeface="Arial Narrow" panose="020B0606020202030204" pitchFamily="34" charset="0"/>
        </a:defRPr>
      </a:pPr>
      <a:endParaRPr lang="en-US"/>
    </a:p>
  </c:txPr>
  <c:printSettings>
    <c:headerFooter/>
    <c:pageMargins b="0.750000000000002" l="0.70000000000000095" r="0.70000000000000095" t="0.750000000000002"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r>
              <a:rPr lang="en-US" sz="1600"/>
              <a:t>Monthly Input Prices</a:t>
            </a:r>
            <a:endParaRPr lang="en-US" sz="1600" b="0"/>
          </a:p>
          <a:p>
            <a:pPr>
              <a:defRPr sz="1600"/>
            </a:pPr>
            <a:r>
              <a:rPr lang="en-US" sz="1600" b="0"/>
              <a:t>(Iowa Corn and Natural Gas Prices)</a:t>
            </a:r>
          </a:p>
        </c:rich>
      </c:tx>
      <c:layout>
        <c:manualLayout>
          <c:xMode val="edge"/>
          <c:yMode val="edge"/>
          <c:x val="0.33144148944872498"/>
          <c:y val="1.8508849495417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0584409426316946"/>
          <c:y val="0.22440455782100899"/>
          <c:w val="0.75991349133036246"/>
          <c:h val="0.5117416037281054"/>
        </c:manualLayout>
      </c:layout>
      <c:lineChart>
        <c:grouping val="standard"/>
        <c:varyColors val="0"/>
        <c:ser>
          <c:idx val="0"/>
          <c:order val="1"/>
          <c:tx>
            <c:v>Corn price per bushel</c:v>
          </c:tx>
          <c:spPr>
            <a:ln w="31750" cap="rnd">
              <a:solidFill>
                <a:schemeClr val="accent1"/>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[0]!G</c:f>
              <c:numCache>
                <c:formatCode>_("$"* #,##0.00_);_("$"* \(#,##0.00\);_("$"* "-"??_);_(@_)</c:formatCode>
                <c:ptCount val="98"/>
                <c:pt idx="0">
                  <c:v>3.4529276250538077</c:v>
                </c:pt>
                <c:pt idx="1">
                  <c:v>3.4756249994039536</c:v>
                </c:pt>
                <c:pt idx="2">
                  <c:v>3.4381521688336911</c:v>
                </c:pt>
                <c:pt idx="3">
                  <c:v>3.4765476158687045</c:v>
                </c:pt>
                <c:pt idx="4">
                  <c:v>3.607440488792601</c:v>
                </c:pt>
                <c:pt idx="5">
                  <c:v>3.7821590792049062</c:v>
                </c:pt>
                <c:pt idx="6">
                  <c:v>3.1680624932050705</c:v>
                </c:pt>
                <c:pt idx="7">
                  <c:v>3.0150543373564016</c:v>
                </c:pt>
                <c:pt idx="8">
                  <c:v>3.0030059619176956</c:v>
                </c:pt>
                <c:pt idx="9">
                  <c:v>3.1482142891202698</c:v>
                </c:pt>
                <c:pt idx="10">
                  <c:v>3.1478749930999999</c:v>
                </c:pt>
                <c:pt idx="11">
                  <c:v>3.2467857101985</c:v>
                </c:pt>
                <c:pt idx="12">
                  <c:v>3.3792499899864001</c:v>
                </c:pt>
                <c:pt idx="13">
                  <c:v>3.4148684143999999</c:v>
                </c:pt>
                <c:pt idx="14">
                  <c:v>3.340516311</c:v>
                </c:pt>
                <c:pt idx="15">
                  <c:v>3.363593751192</c:v>
                </c:pt>
                <c:pt idx="16">
                  <c:v>3.3967613659100002</c:v>
                </c:pt>
                <c:pt idx="17">
                  <c:v>3.3717897724000001</c:v>
                </c:pt>
                <c:pt idx="18">
                  <c:v>3.4018750101299999</c:v>
                </c:pt>
                <c:pt idx="19">
                  <c:v>3.1971591061</c:v>
                </c:pt>
                <c:pt idx="20">
                  <c:v>3.1779375314712524</c:v>
                </c:pt>
                <c:pt idx="21">
                  <c:v>3.1547619161151705</c:v>
                </c:pt>
                <c:pt idx="22">
                  <c:v>3.1341874897480011</c:v>
                </c:pt>
                <c:pt idx="23">
                  <c:v>3.2322500169277193</c:v>
                </c:pt>
                <c:pt idx="24">
                  <c:v>3.2836904667672657</c:v>
                </c:pt>
                <c:pt idx="25">
                  <c:v>3.393486854277159</c:v>
                </c:pt>
                <c:pt idx="26">
                  <c:v>3.4911931753158569</c:v>
                </c:pt>
                <c:pt idx="27">
                  <c:v>3.5705681903795763</c:v>
                </c:pt>
                <c:pt idx="28">
                  <c:v>3.6963352371345866</c:v>
                </c:pt>
                <c:pt idx="29">
                  <c:v>3.3921131037530445</c:v>
                </c:pt>
                <c:pt idx="30">
                  <c:v>3.2088987855684188</c:v>
                </c:pt>
                <c:pt idx="31">
                  <c:v>3.2968913057576055</c:v>
                </c:pt>
                <c:pt idx="32">
                  <c:v>3.1718125075101851</c:v>
                </c:pt>
                <c:pt idx="33">
                  <c:v>3.29</c:v>
                </c:pt>
                <c:pt idx="34">
                  <c:v>3.3720625042915344</c:v>
                </c:pt>
                <c:pt idx="35">
                  <c:v>3.4561397152788498</c:v>
                </c:pt>
                <c:pt idx="36">
                  <c:v>3.5409523873102096</c:v>
                </c:pt>
                <c:pt idx="37">
                  <c:v>3.5677430596616535</c:v>
                </c:pt>
                <c:pt idx="38">
                  <c:v>3.5518154672213962</c:v>
                </c:pt>
                <c:pt idx="39">
                  <c:v>3.4867613561586897</c:v>
                </c:pt>
                <c:pt idx="40">
                  <c:v>3.6257142708415078</c:v>
                </c:pt>
                <c:pt idx="41">
                  <c:v>4.1613750010728836</c:v>
                </c:pt>
                <c:pt idx="42">
                  <c:v>4.2723295390605927</c:v>
                </c:pt>
                <c:pt idx="43">
                  <c:v>3.7810795588926838</c:v>
                </c:pt>
                <c:pt idx="44">
                  <c:v>3.6517812460660934</c:v>
                </c:pt>
                <c:pt idx="45">
                  <c:v>3.8441250085830689</c:v>
                </c:pt>
                <c:pt idx="46">
                  <c:v>3.6492434172881274</c:v>
                </c:pt>
                <c:pt idx="47">
                  <c:v>3.7299374938011169</c:v>
                </c:pt>
                <c:pt idx="48">
                  <c:v>3.8147618884132024</c:v>
                </c:pt>
                <c:pt idx="49">
                  <c:v>3.7578947364656554</c:v>
                </c:pt>
                <c:pt idx="50">
                  <c:v>3.4467613620107822</c:v>
                </c:pt>
                <c:pt idx="51">
                  <c:v>2.9318181845274838</c:v>
                </c:pt>
                <c:pt idx="52">
                  <c:v>2.9458437502384185</c:v>
                </c:pt>
                <c:pt idx="53">
                  <c:v>3.1045238082749504</c:v>
                </c:pt>
                <c:pt idx="54">
                  <c:v>3.1061363734982232</c:v>
                </c:pt>
                <c:pt idx="55">
                  <c:v>3.0920833405994235</c:v>
                </c:pt>
                <c:pt idx="56">
                  <c:v>3.5054761966069541</c:v>
                </c:pt>
                <c:pt idx="57">
                  <c:v>3.8160714166504994</c:v>
                </c:pt>
                <c:pt idx="58">
                  <c:v>4.0791776180267334</c:v>
                </c:pt>
                <c:pt idx="59">
                  <c:v>4.254047603834243</c:v>
                </c:pt>
                <c:pt idx="60">
                  <c:v>4.9731578990032794</c:v>
                </c:pt>
                <c:pt idx="61">
                  <c:v>5.3529276283163769</c:v>
                </c:pt>
                <c:pt idx="62">
                  <c:v>5.3846739115922349</c:v>
                </c:pt>
                <c:pt idx="63">
                  <c:v>6.0182440564745949</c:v>
                </c:pt>
                <c:pt idx="64">
                  <c:v>7.0493750095367433</c:v>
                </c:pt>
                <c:pt idx="65">
                  <c:v>6.8402556885372512</c:v>
                </c:pt>
                <c:pt idx="66">
                  <c:v>6.4829999983310698</c:v>
                </c:pt>
                <c:pt idx="67">
                  <c:v>6.3334659121253276</c:v>
                </c:pt>
                <c:pt idx="68">
                  <c:v>5.5563987890879316</c:v>
                </c:pt>
                <c:pt idx="69">
                  <c:v>5.302375012636185</c:v>
                </c:pt>
                <c:pt idx="70">
                  <c:v>5.6642624855041506</c:v>
                </c:pt>
                <c:pt idx="71">
                  <c:v>5.9232142823083063</c:v>
                </c:pt>
                <c:pt idx="72">
                  <c:v>6.0421250224113461</c:v>
                </c:pt>
                <c:pt idx="73">
                  <c:v>6.3834539338162068</c:v>
                </c:pt>
                <c:pt idx="74">
                  <c:v>7.1393478538679043</c:v>
                </c:pt>
                <c:pt idx="75">
                  <c:v>7.7159226281302313</c:v>
                </c:pt>
                <c:pt idx="76">
                  <c:v>7.7598059213764614</c:v>
                </c:pt>
                <c:pt idx="77">
                  <c:v>7.8222812652587894</c:v>
                </c:pt>
                <c:pt idx="78">
                  <c:v>7.2395816596730533</c:v>
                </c:pt>
                <c:pt idx="79">
                  <c:v>7.3412826086956509</c:v>
                </c:pt>
                <c:pt idx="80">
                  <c:v>7.3726690476190493</c:v>
                </c:pt>
                <c:pt idx="81">
                  <c:v>6.8905924999999995</c:v>
                </c:pt>
                <c:pt idx="82">
                  <c:v>6.8072833333333325</c:v>
                </c:pt>
                <c:pt idx="83">
                  <c:v>6.760990476190476</c:v>
                </c:pt>
                <c:pt idx="84">
                  <c:v>6.8669299999999991</c:v>
                </c:pt>
                <c:pt idx="85">
                  <c:v>6.8781421052631577</c:v>
                </c:pt>
                <c:pt idx="86">
                  <c:v>6.567354347826087</c:v>
                </c:pt>
                <c:pt idx="87">
                  <c:v>6.7493999999999987</c:v>
                </c:pt>
                <c:pt idx="88">
                  <c:v>6.3973863636363628</c:v>
                </c:pt>
                <c:pt idx="89">
                  <c:v>6.5461833333333352</c:v>
                </c:pt>
                <c:pt idx="90">
                  <c:v>5.9301549999999992</c:v>
                </c:pt>
                <c:pt idx="91">
                  <c:v>5.5886043478260872</c:v>
                </c:pt>
                <c:pt idx="92">
                  <c:v>4.8854025000000005</c:v>
                </c:pt>
                <c:pt idx="93">
                  <c:v>4.7835357142857138</c:v>
                </c:pt>
                <c:pt idx="94">
                  <c:v>4.7615249999999989</c:v>
                </c:pt>
                <c:pt idx="95">
                  <c:v>4.8121174999999994</c:v>
                </c:pt>
                <c:pt idx="96">
                  <c:v>4.5717761904761911</c:v>
                </c:pt>
                <c:pt idx="97">
                  <c:v>4.3014525000000008</c:v>
                </c:pt>
              </c:numCache>
            </c:numRef>
          </c:val>
          <c:smooth val="0"/>
          <c:extLst>
            <c:ext xmlns:c16="http://schemas.microsoft.com/office/drawing/2014/chart" uri="{C3380CC4-5D6E-409C-BE32-E72D297353CC}">
              <c16:uniqueId val="{00000000-72DA-483B-8179-DDE5412462E5}"/>
            </c:ext>
          </c:extLst>
        </c:ser>
        <c:dLbls>
          <c:showLegendKey val="0"/>
          <c:showVal val="0"/>
          <c:showCatName val="0"/>
          <c:showSerName val="0"/>
          <c:showPercent val="0"/>
          <c:showBubbleSize val="0"/>
        </c:dLbls>
        <c:marker val="1"/>
        <c:smooth val="0"/>
        <c:axId val="204821216"/>
        <c:axId val="204821776"/>
      </c:lineChart>
      <c:lineChart>
        <c:grouping val="standard"/>
        <c:varyColors val="0"/>
        <c:ser>
          <c:idx val="1"/>
          <c:order val="0"/>
          <c:tx>
            <c:v>Natural gas price per cubic foot</c:v>
          </c:tx>
          <c:spPr>
            <a:ln w="31750" cap="rnd">
              <a:solidFill>
                <a:schemeClr val="accent2"/>
              </a:solidFill>
              <a:round/>
            </a:ln>
            <a:effectLst>
              <a:outerShdw blurRad="40000" dist="23000" dir="5400000" rotWithShape="0">
                <a:srgbClr val="000000">
                  <a:alpha val="35000"/>
                </a:srgbClr>
              </a:outerShdw>
            </a:effectLst>
          </c:spPr>
          <c:marker>
            <c:symbol val="circle"/>
            <c:size val="4"/>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[0]!H</c:f>
              <c:numCache>
                <c:formatCode>_("$"* #,##0.00_);_("$"* \(#,##0.00\);_("$"* "-"??_);_(@_)</c:formatCode>
                <c:ptCount val="98"/>
                <c:pt idx="0">
                  <c:v>5.01</c:v>
                </c:pt>
                <c:pt idx="1">
                  <c:v>4.3600000000000003</c:v>
                </c:pt>
                <c:pt idx="2">
                  <c:v>4.8600000000000003</c:v>
                </c:pt>
                <c:pt idx="3">
                  <c:v>4.4400000000000004</c:v>
                </c:pt>
                <c:pt idx="4">
                  <c:v>4.07</c:v>
                </c:pt>
                <c:pt idx="5">
                  <c:v>4.4400000000000004</c:v>
                </c:pt>
                <c:pt idx="6">
                  <c:v>4.66</c:v>
                </c:pt>
                <c:pt idx="7">
                  <c:v>4.33</c:v>
                </c:pt>
                <c:pt idx="8">
                  <c:v>4.96</c:v>
                </c:pt>
                <c:pt idx="9">
                  <c:v>4.9400000000000004</c:v>
                </c:pt>
                <c:pt idx="10">
                  <c:v>4.68</c:v>
                </c:pt>
                <c:pt idx="11">
                  <c:v>5.15</c:v>
                </c:pt>
                <c:pt idx="12">
                  <c:v>5.22</c:v>
                </c:pt>
                <c:pt idx="13">
                  <c:v>5.14</c:v>
                </c:pt>
                <c:pt idx="14">
                  <c:v>4.6900000000000004</c:v>
                </c:pt>
                <c:pt idx="15">
                  <c:v>5.0599999999999996</c:v>
                </c:pt>
                <c:pt idx="16">
                  <c:v>5.31</c:v>
                </c:pt>
                <c:pt idx="17">
                  <c:v>5.51</c:v>
                </c:pt>
                <c:pt idx="18">
                  <c:v>5.43</c:v>
                </c:pt>
                <c:pt idx="19">
                  <c:v>5.18</c:v>
                </c:pt>
                <c:pt idx="20">
                  <c:v>5.33</c:v>
                </c:pt>
                <c:pt idx="21">
                  <c:v>5.0599999999999996</c:v>
                </c:pt>
                <c:pt idx="22">
                  <c:v>5.12</c:v>
                </c:pt>
                <c:pt idx="23">
                  <c:v>5.55</c:v>
                </c:pt>
                <c:pt idx="24">
                  <c:v>5.55</c:v>
                </c:pt>
                <c:pt idx="25">
                  <c:v>6.08</c:v>
                </c:pt>
                <c:pt idx="26">
                  <c:v>5.28</c:v>
                </c:pt>
                <c:pt idx="27">
                  <c:v>5.18</c:v>
                </c:pt>
                <c:pt idx="28">
                  <c:v>4.37</c:v>
                </c:pt>
                <c:pt idx="29">
                  <c:v>4.33</c:v>
                </c:pt>
                <c:pt idx="30">
                  <c:v>4.46</c:v>
                </c:pt>
                <c:pt idx="31">
                  <c:v>4.79</c:v>
                </c:pt>
                <c:pt idx="32">
                  <c:v>5.38</c:v>
                </c:pt>
                <c:pt idx="33">
                  <c:v>5.05</c:v>
                </c:pt>
                <c:pt idx="34">
                  <c:v>5.82</c:v>
                </c:pt>
                <c:pt idx="35">
                  <c:v>6.35</c:v>
                </c:pt>
                <c:pt idx="36">
                  <c:v>4.93</c:v>
                </c:pt>
                <c:pt idx="37">
                  <c:v>4.67</c:v>
                </c:pt>
                <c:pt idx="38">
                  <c:v>4.8600000000000003</c:v>
                </c:pt>
                <c:pt idx="39">
                  <c:v>4.3</c:v>
                </c:pt>
                <c:pt idx="40">
                  <c:v>4.13</c:v>
                </c:pt>
                <c:pt idx="41">
                  <c:v>4.1399999999999997</c:v>
                </c:pt>
                <c:pt idx="42">
                  <c:v>3.79</c:v>
                </c:pt>
                <c:pt idx="43">
                  <c:v>3.58</c:v>
                </c:pt>
                <c:pt idx="44">
                  <c:v>4.0199999999999996</c:v>
                </c:pt>
                <c:pt idx="45">
                  <c:v>4.09</c:v>
                </c:pt>
                <c:pt idx="46">
                  <c:v>4.12</c:v>
                </c:pt>
                <c:pt idx="47">
                  <c:v>4.22</c:v>
                </c:pt>
                <c:pt idx="48">
                  <c:v>4.8</c:v>
                </c:pt>
                <c:pt idx="49">
                  <c:v>4.13</c:v>
                </c:pt>
                <c:pt idx="50">
                  <c:v>4.17</c:v>
                </c:pt>
                <c:pt idx="51">
                  <c:v>3.93</c:v>
                </c:pt>
                <c:pt idx="52">
                  <c:v>4.12</c:v>
                </c:pt>
                <c:pt idx="53">
                  <c:v>3.58</c:v>
                </c:pt>
                <c:pt idx="54">
                  <c:v>3.63</c:v>
                </c:pt>
                <c:pt idx="55">
                  <c:v>4.16</c:v>
                </c:pt>
                <c:pt idx="56">
                  <c:v>4.9000000000000004</c:v>
                </c:pt>
                <c:pt idx="57">
                  <c:v>4.5599999999999996</c:v>
                </c:pt>
                <c:pt idx="58">
                  <c:v>5.65</c:v>
                </c:pt>
                <c:pt idx="59">
                  <c:v>5.16</c:v>
                </c:pt>
                <c:pt idx="60">
                  <c:v>4.47</c:v>
                </c:pt>
                <c:pt idx="61">
                  <c:v>7.38</c:v>
                </c:pt>
                <c:pt idx="62">
                  <c:v>6.37</c:v>
                </c:pt>
                <c:pt idx="63">
                  <c:v>5.88</c:v>
                </c:pt>
                <c:pt idx="64">
                  <c:v>5.97</c:v>
                </c:pt>
                <c:pt idx="65">
                  <c:v>5.92</c:v>
                </c:pt>
                <c:pt idx="66">
                  <c:v>6.29</c:v>
                </c:pt>
                <c:pt idx="67">
                  <c:v>7.23</c:v>
                </c:pt>
                <c:pt idx="68">
                  <c:v>7.34</c:v>
                </c:pt>
                <c:pt idx="69">
                  <c:v>7.88</c:v>
                </c:pt>
                <c:pt idx="70">
                  <c:v>8.75</c:v>
                </c:pt>
                <c:pt idx="71">
                  <c:v>9.9499999999999993</c:v>
                </c:pt>
                <c:pt idx="72">
                  <c:v>8.42</c:v>
                </c:pt>
                <c:pt idx="73">
                  <c:v>8.76</c:v>
                </c:pt>
                <c:pt idx="74">
                  <c:v>9.42</c:v>
                </c:pt>
                <c:pt idx="75">
                  <c:v>8.58</c:v>
                </c:pt>
                <c:pt idx="76">
                  <c:v>8.92</c:v>
                </c:pt>
                <c:pt idx="77">
                  <c:v>9.19</c:v>
                </c:pt>
                <c:pt idx="78">
                  <c:v>7.85</c:v>
                </c:pt>
                <c:pt idx="79">
                  <c:v>8.19</c:v>
                </c:pt>
                <c:pt idx="80">
                  <c:v>9.5299999999999994</c:v>
                </c:pt>
                <c:pt idx="81">
                  <c:v>8.19</c:v>
                </c:pt>
                <c:pt idx="82">
                  <c:v>7.8</c:v>
                </c:pt>
                <c:pt idx="83">
                  <c:v>9.25</c:v>
                </c:pt>
                <c:pt idx="84">
                  <c:v>10.84</c:v>
                </c:pt>
                <c:pt idx="85">
                  <c:v>9.7799999999999994</c:v>
                </c:pt>
                <c:pt idx="86">
                  <c:v>7.62</c:v>
                </c:pt>
                <c:pt idx="87">
                  <c:v>6.17</c:v>
                </c:pt>
                <c:pt idx="88">
                  <c:v>5.93</c:v>
                </c:pt>
                <c:pt idx="89">
                  <c:v>5.97</c:v>
                </c:pt>
                <c:pt idx="90">
                  <c:v>6.26</c:v>
                </c:pt>
                <c:pt idx="91">
                  <c:v>6.05</c:v>
                </c:pt>
                <c:pt idx="92">
                  <c:v>5.1100000000000003</c:v>
                </c:pt>
                <c:pt idx="93">
                  <c:v>4.83</c:v>
                </c:pt>
                <c:pt idx="94">
                  <c:v>5.49</c:v>
                </c:pt>
                <c:pt idx="95">
                  <c:v>5.79</c:v>
                </c:pt>
                <c:pt idx="96">
                  <c:v>5.79</c:v>
                </c:pt>
                <c:pt idx="97">
                  <c:v>5.79</c:v>
                </c:pt>
              </c:numCache>
            </c:numRef>
          </c:val>
          <c:smooth val="0"/>
          <c:extLst>
            <c:ext xmlns:c16="http://schemas.microsoft.com/office/drawing/2014/chart" uri="{C3380CC4-5D6E-409C-BE32-E72D297353CC}">
              <c16:uniqueId val="{00000001-72DA-483B-8179-DDE5412462E5}"/>
            </c:ext>
          </c:extLst>
        </c:ser>
        <c:dLbls>
          <c:showLegendKey val="0"/>
          <c:showVal val="0"/>
          <c:showCatName val="0"/>
          <c:showSerName val="0"/>
          <c:showPercent val="0"/>
          <c:showBubbleSize val="0"/>
        </c:dLbls>
        <c:marker val="1"/>
        <c:smooth val="0"/>
        <c:axId val="204822336"/>
        <c:axId val="204822896"/>
      </c:lineChart>
      <c:dateAx>
        <c:axId val="204821216"/>
        <c:scaling>
          <c:orientation val="minMax"/>
        </c:scaling>
        <c:delete val="0"/>
        <c:axPos val="b"/>
        <c:numFmt formatCode="mmm\-yy" sourceLinked="0"/>
        <c:majorTickMark val="out"/>
        <c:minorTickMark val="out"/>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04821776"/>
        <c:crosses val="autoZero"/>
        <c:auto val="1"/>
        <c:lblOffset val="100"/>
        <c:baseTimeUnit val="months"/>
        <c:majorUnit val="5"/>
        <c:majorTimeUnit val="months"/>
        <c:minorUnit val="1"/>
        <c:minorTimeUnit val="months"/>
      </c:dateAx>
      <c:valAx>
        <c:axId val="204821776"/>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r>
                  <a:rPr lang="en-US"/>
                  <a:t>Corn $ Per Bushel</a:t>
                </a:r>
              </a:p>
            </c:rich>
          </c:tx>
          <c:layout>
            <c:manualLayout>
              <c:xMode val="edge"/>
              <c:yMode val="edge"/>
              <c:x val="6.2199331490313172E-3"/>
              <c:y val="0.2776798971557126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04821216"/>
        <c:crosses val="autoZero"/>
        <c:crossBetween val="between"/>
      </c:valAx>
      <c:dateAx>
        <c:axId val="204822336"/>
        <c:scaling>
          <c:orientation val="minMax"/>
        </c:scaling>
        <c:delete val="1"/>
        <c:axPos val="b"/>
        <c:numFmt formatCode="mmm\-yy" sourceLinked="1"/>
        <c:majorTickMark val="out"/>
        <c:minorTickMark val="none"/>
        <c:tickLblPos val="none"/>
        <c:crossAx val="204822896"/>
        <c:crosses val="autoZero"/>
        <c:auto val="1"/>
        <c:lblOffset val="100"/>
        <c:baseTimeUnit val="months"/>
      </c:dateAx>
      <c:valAx>
        <c:axId val="204822896"/>
        <c:scaling>
          <c:orientation val="minMax"/>
        </c:scaling>
        <c:delete val="0"/>
        <c:axPos val="r"/>
        <c:title>
          <c:tx>
            <c:rich>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r>
                  <a:rPr lang="en-US"/>
                  <a:t>Natural Gas $ Per Cubic Foot</a:t>
                </a:r>
              </a:p>
            </c:rich>
          </c:tx>
          <c:layout>
            <c:manualLayout>
              <c:xMode val="edge"/>
              <c:yMode val="edge"/>
              <c:x val="0.94870238728212142"/>
              <c:y val="0.1534330708661417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04822336"/>
        <c:crosses val="max"/>
        <c:crossBetween val="between"/>
      </c:valAx>
      <c:spPr>
        <a:noFill/>
        <a:ln>
          <a:noFill/>
        </a:ln>
        <a:effectLst/>
      </c:spPr>
    </c:plotArea>
    <c:legend>
      <c:legendPos val="b"/>
      <c:layout>
        <c:manualLayout>
          <c:xMode val="edge"/>
          <c:yMode val="edge"/>
          <c:x val="0.13535259282857776"/>
          <c:y val="0.21855471637473886"/>
          <c:w val="0.2979989874285664"/>
          <c:h val="0.16103712035995502"/>
        </c:manualLayout>
      </c:layout>
      <c:overlay val="0"/>
      <c:spPr>
        <a:solidFill>
          <a:schemeClr val="bg1"/>
        </a:solidFill>
        <a:ln>
          <a:solidFill>
            <a:schemeClr val="accent1"/>
          </a:solidFill>
        </a:ln>
        <a:effectLst/>
      </c:spPr>
      <c:txPr>
        <a:bodyPr rot="0" spcFirstLastPara="1" vertOverflow="ellipsis" vert="horz"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a:latin typeface="Arial Narrow" panose="020B0606020202030204" pitchFamily="34" charset="0"/>
        </a:defRPr>
      </a:pPr>
      <a:endParaRPr lang="en-US"/>
    </a:p>
  </c:txPr>
  <c:printSettings>
    <c:headerFooter alignWithMargins="0"/>
    <c:pageMargins b="1" l="0.750000000000002" r="0.750000000000002" t="1" header="0.5" footer="0.5"/>
    <c:pageSetup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756842688"/>
        <c:axId val="756843248"/>
      </c:barChart>
      <c:catAx>
        <c:axId val="756842688"/>
        <c:scaling>
          <c:orientation val="minMax"/>
        </c:scaling>
        <c:delete val="0"/>
        <c:axPos val="b"/>
        <c:majorTickMark val="out"/>
        <c:minorTickMark val="none"/>
        <c:tickLblPos val="nextTo"/>
        <c:crossAx val="756843248"/>
        <c:crosses val="autoZero"/>
        <c:auto val="1"/>
        <c:lblAlgn val="ctr"/>
        <c:lblOffset val="100"/>
        <c:noMultiLvlLbl val="0"/>
      </c:catAx>
      <c:valAx>
        <c:axId val="756843248"/>
        <c:scaling>
          <c:orientation val="minMax"/>
        </c:scaling>
        <c:delete val="0"/>
        <c:axPos val="l"/>
        <c:majorGridlines/>
        <c:majorTickMark val="out"/>
        <c:minorTickMark val="none"/>
        <c:tickLblPos val="nextTo"/>
        <c:crossAx val="756842688"/>
        <c:crosses val="autoZero"/>
        <c:crossBetween val="between"/>
      </c:valAx>
    </c:plotArea>
    <c:legend>
      <c:legendPos val="r"/>
      <c:overlay val="0"/>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Arial Narrow" panose="020B0606020202030204" pitchFamily="34" charset="0"/>
                <a:ea typeface="+mn-ea"/>
                <a:cs typeface="+mn-cs"/>
              </a:defRPr>
            </a:pPr>
            <a:r>
              <a:rPr lang="en-US" sz="2000"/>
              <a:t>Total Revenue of Ethanol Production</a:t>
            </a:r>
          </a:p>
        </c:rich>
      </c:tx>
      <c:layout>
        <c:manualLayout>
          <c:xMode val="edge"/>
          <c:yMode val="edge"/>
          <c:x val="0.30589676290463691"/>
          <c:y val="1.9007722668960766E-2"/>
        </c:manualLayout>
      </c:layout>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805153481227388"/>
          <c:y val="0.10635424732271552"/>
          <c:w val="0.84669952559560402"/>
          <c:h val="0.7309456363340362"/>
        </c:manualLayout>
      </c:layout>
      <c:areaChart>
        <c:grouping val="stacked"/>
        <c:varyColors val="0"/>
        <c:ser>
          <c:idx val="1"/>
          <c:order val="0"/>
          <c:tx>
            <c:v>Distillers corn oil revenue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val>
            <c:numRef>
              <c:f>[0]!M</c:f>
              <c:numCache>
                <c:formatCode>_("$"* #,##0.00_);_("$"* \(#,##0.00\);_("$"* "-"??_);_(@_)</c:formatCode>
                <c:ptCount val="98"/>
                <c:pt idx="0">
                  <c:v>5.5398245614035085E-2</c:v>
                </c:pt>
                <c:pt idx="1">
                  <c:v>5.815789473684211E-2</c:v>
                </c:pt>
                <c:pt idx="2">
                  <c:v>6.383684210526315E-2</c:v>
                </c:pt>
                <c:pt idx="3">
                  <c:v>6.8535087719298241E-2</c:v>
                </c:pt>
                <c:pt idx="4">
                  <c:v>7.0154385964912289E-2</c:v>
                </c:pt>
                <c:pt idx="5">
                  <c:v>6.463508771929824E-2</c:v>
                </c:pt>
                <c:pt idx="6">
                  <c:v>5.9708771929824558E-2</c:v>
                </c:pt>
                <c:pt idx="7">
                  <c:v>5.9936842105263163E-2</c:v>
                </c:pt>
                <c:pt idx="8">
                  <c:v>6.3722807017543862E-2</c:v>
                </c:pt>
                <c:pt idx="9">
                  <c:v>6.4566666666666661E-2</c:v>
                </c:pt>
                <c:pt idx="10">
                  <c:v>6.3973684210526321E-2</c:v>
                </c:pt>
                <c:pt idx="11">
                  <c:v>6.1556140350877184E-2</c:v>
                </c:pt>
                <c:pt idx="12">
                  <c:v>6.0917543859649127E-2</c:v>
                </c:pt>
                <c:pt idx="13">
                  <c:v>6.2035087719298249E-2</c:v>
                </c:pt>
                <c:pt idx="14">
                  <c:v>6.4156140350877189E-2</c:v>
                </c:pt>
                <c:pt idx="15">
                  <c:v>6.3015789473684206E-2</c:v>
                </c:pt>
                <c:pt idx="16">
                  <c:v>6.645964912280701E-2</c:v>
                </c:pt>
                <c:pt idx="17">
                  <c:v>6.8238596491228071E-2</c:v>
                </c:pt>
                <c:pt idx="18">
                  <c:v>6.3882456140350874E-2</c:v>
                </c:pt>
                <c:pt idx="19">
                  <c:v>6.4224561403508768E-2</c:v>
                </c:pt>
                <c:pt idx="20">
                  <c:v>6.5592982456140356E-2</c:v>
                </c:pt>
                <c:pt idx="21">
                  <c:v>6.1236842105263159E-2</c:v>
                </c:pt>
                <c:pt idx="22">
                  <c:v>5.9161403508771929E-2</c:v>
                </c:pt>
                <c:pt idx="23">
                  <c:v>5.1315789473684217E-2</c:v>
                </c:pt>
                <c:pt idx="24">
                  <c:v>5.0335087719298247E-2</c:v>
                </c:pt>
                <c:pt idx="25">
                  <c:v>5.067719298245614E-2</c:v>
                </c:pt>
                <c:pt idx="26">
                  <c:v>5.1908771929824564E-2</c:v>
                </c:pt>
                <c:pt idx="27">
                  <c:v>5.3482456140350874E-2</c:v>
                </c:pt>
                <c:pt idx="28">
                  <c:v>5.4805263157894732E-2</c:v>
                </c:pt>
                <c:pt idx="29">
                  <c:v>5.5900000000000005E-2</c:v>
                </c:pt>
                <c:pt idx="30">
                  <c:v>5.44859649122807E-2</c:v>
                </c:pt>
                <c:pt idx="31">
                  <c:v>5.4668421052631574E-2</c:v>
                </c:pt>
                <c:pt idx="32">
                  <c:v>5.7063157894736836E-2</c:v>
                </c:pt>
                <c:pt idx="33">
                  <c:v>5.7154385964912284E-2</c:v>
                </c:pt>
                <c:pt idx="34">
                  <c:v>5.6515789473684214E-2</c:v>
                </c:pt>
                <c:pt idx="35">
                  <c:v>5.8682456140350885E-2</c:v>
                </c:pt>
                <c:pt idx="36">
                  <c:v>5.7747368421052631E-2</c:v>
                </c:pt>
                <c:pt idx="37">
                  <c:v>5.7063157894736836E-2</c:v>
                </c:pt>
                <c:pt idx="38">
                  <c:v>5.5922807017543853E-2</c:v>
                </c:pt>
                <c:pt idx="39">
                  <c:v>5.7564912280701749E-2</c:v>
                </c:pt>
                <c:pt idx="40">
                  <c:v>5.7131578947368415E-2</c:v>
                </c:pt>
                <c:pt idx="41">
                  <c:v>5.7770175438596486E-2</c:v>
                </c:pt>
                <c:pt idx="42">
                  <c:v>5.7564912280701749E-2</c:v>
                </c:pt>
                <c:pt idx="43">
                  <c:v>5.5694736842105262E-2</c:v>
                </c:pt>
                <c:pt idx="44">
                  <c:v>5.5147368421052632E-2</c:v>
                </c:pt>
                <c:pt idx="45">
                  <c:v>5.3915789473684209E-2</c:v>
                </c:pt>
                <c:pt idx="46">
                  <c:v>5.2615789473684213E-2</c:v>
                </c:pt>
                <c:pt idx="47">
                  <c:v>5.2684210526315792E-2</c:v>
                </c:pt>
                <c:pt idx="48">
                  <c:v>5.8021052631578945E-2</c:v>
                </c:pt>
                <c:pt idx="49">
                  <c:v>6.2491228070175431E-2</c:v>
                </c:pt>
                <c:pt idx="50">
                  <c:v>6.1031578947368423E-2</c:v>
                </c:pt>
                <c:pt idx="51">
                  <c:v>6.7531578947368415E-2</c:v>
                </c:pt>
                <c:pt idx="52">
                  <c:v>6.4156140350877189E-2</c:v>
                </c:pt>
                <c:pt idx="53">
                  <c:v>5.6607017543859647E-2</c:v>
                </c:pt>
                <c:pt idx="54">
                  <c:v>5.3049122807017547E-2</c:v>
                </c:pt>
                <c:pt idx="55">
                  <c:v>5.5466666666666664E-2</c:v>
                </c:pt>
                <c:pt idx="56">
                  <c:v>6.2947368421052641E-2</c:v>
                </c:pt>
                <c:pt idx="57">
                  <c:v>6.7143859649122811E-2</c:v>
                </c:pt>
                <c:pt idx="58">
                  <c:v>7.4191228070175447E-2</c:v>
                </c:pt>
                <c:pt idx="59">
                  <c:v>7.9299999999999995E-2</c:v>
                </c:pt>
                <c:pt idx="60">
                  <c:v>8.9836842105263159E-2</c:v>
                </c:pt>
                <c:pt idx="61">
                  <c:v>9.8480701754385974E-2</c:v>
                </c:pt>
                <c:pt idx="62">
                  <c:v>0.11481052631578949</c:v>
                </c:pt>
                <c:pt idx="63">
                  <c:v>0.1189157894736842</c:v>
                </c:pt>
                <c:pt idx="64">
                  <c:v>0.11823157894736845</c:v>
                </c:pt>
                <c:pt idx="65">
                  <c:v>0.12746842105263156</c:v>
                </c:pt>
                <c:pt idx="66">
                  <c:v>0.13476666666666667</c:v>
                </c:pt>
                <c:pt idx="67">
                  <c:v>0.1457140350877193</c:v>
                </c:pt>
                <c:pt idx="68">
                  <c:v>0.13196140350877195</c:v>
                </c:pt>
                <c:pt idx="69">
                  <c:v>0.13964736842105263</c:v>
                </c:pt>
                <c:pt idx="70">
                  <c:v>0.13864385964912282</c:v>
                </c:pt>
                <c:pt idx="71">
                  <c:v>0.12530175438596491</c:v>
                </c:pt>
                <c:pt idx="72">
                  <c:v>0.1358157894736842</c:v>
                </c:pt>
                <c:pt idx="73">
                  <c:v>0.16247719298245614</c:v>
                </c:pt>
                <c:pt idx="74">
                  <c:v>0.18644736842105264</c:v>
                </c:pt>
                <c:pt idx="75">
                  <c:v>0.18373333333333333</c:v>
                </c:pt>
                <c:pt idx="76">
                  <c:v>0.18900175438596489</c:v>
                </c:pt>
                <c:pt idx="77">
                  <c:v>0.17431403508771934</c:v>
                </c:pt>
                <c:pt idx="78">
                  <c:v>0.156</c:v>
                </c:pt>
                <c:pt idx="79">
                  <c:v>0.16172456140350874</c:v>
                </c:pt>
                <c:pt idx="80">
                  <c:v>0.16690631578947368</c:v>
                </c:pt>
                <c:pt idx="81">
                  <c:v>0.16690175438596491</c:v>
                </c:pt>
                <c:pt idx="82">
                  <c:v>0.1769140350877193</c:v>
                </c:pt>
                <c:pt idx="83">
                  <c:v>0.15678912280701754</c:v>
                </c:pt>
                <c:pt idx="84">
                  <c:v>0.15513333333333335</c:v>
                </c:pt>
                <c:pt idx="85">
                  <c:v>0.14396929824561405</c:v>
                </c:pt>
                <c:pt idx="86">
                  <c:v>0.12709894736842106</c:v>
                </c:pt>
                <c:pt idx="87">
                  <c:v>0.12306096491228072</c:v>
                </c:pt>
                <c:pt idx="88">
                  <c:v>0.12591754385964912</c:v>
                </c:pt>
                <c:pt idx="89">
                  <c:v>0.13000912280701754</c:v>
                </c:pt>
                <c:pt idx="90">
                  <c:v>0.1484109649122807</c:v>
                </c:pt>
                <c:pt idx="91">
                  <c:v>0.15600570175438594</c:v>
                </c:pt>
                <c:pt idx="92">
                  <c:v>0.15428947368421056</c:v>
                </c:pt>
                <c:pt idx="93">
                  <c:v>0.14219605263157895</c:v>
                </c:pt>
                <c:pt idx="94">
                  <c:v>0.12621403508771931</c:v>
                </c:pt>
                <c:pt idx="95">
                  <c:v>0.11975394736842104</c:v>
                </c:pt>
                <c:pt idx="96">
                  <c:v>0.11105877192982457</c:v>
                </c:pt>
                <c:pt idx="97">
                  <c:v>0.10329298245614035</c:v>
                </c:pt>
              </c:numCache>
            </c:numRef>
          </c:val>
          <c:extLst>
            <c:ext xmlns:c16="http://schemas.microsoft.com/office/drawing/2014/chart" uri="{C3380CC4-5D6E-409C-BE32-E72D297353CC}">
              <c16:uniqueId val="{00000000-8E2B-4975-959C-24F125832E92}"/>
            </c:ext>
          </c:extLst>
        </c:ser>
        <c:ser>
          <c:idx val="0"/>
          <c:order val="1"/>
          <c:tx>
            <c:v>Ethanol revenue</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[0]!K</c:f>
              <c:numCache>
                <c:formatCode>_("$"* #,##0.00_);_("$"* \(#,##0.00\);_("$"* "-"??_);_(@_)</c:formatCode>
                <c:ptCount val="98"/>
                <c:pt idx="0">
                  <c:v>1.2348157845798291</c:v>
                </c:pt>
                <c:pt idx="1">
                  <c:v>1.3037500083446503</c:v>
                </c:pt>
                <c:pt idx="2">
                  <c:v>1.272826085401618</c:v>
                </c:pt>
                <c:pt idx="3">
                  <c:v>1.4169047531627474</c:v>
                </c:pt>
                <c:pt idx="4">
                  <c:v>1.4661904602959042</c:v>
                </c:pt>
                <c:pt idx="5">
                  <c:v>1.5622727274894714</c:v>
                </c:pt>
                <c:pt idx="6">
                  <c:v>1.4805000245571136</c:v>
                </c:pt>
                <c:pt idx="7">
                  <c:v>1.3334782486376555</c:v>
                </c:pt>
                <c:pt idx="8">
                  <c:v>1.4297618909109207</c:v>
                </c:pt>
                <c:pt idx="9">
                  <c:v>1.51714286066237</c:v>
                </c:pt>
                <c:pt idx="10">
                  <c:v>1.5450000167</c:v>
                </c:pt>
                <c:pt idx="11">
                  <c:v>1.649285714626</c:v>
                </c:pt>
                <c:pt idx="12">
                  <c:v>1.4004999846220001</c:v>
                </c:pt>
                <c:pt idx="13">
                  <c:v>1.3807894556</c:v>
                </c:pt>
                <c:pt idx="14">
                  <c:v>1.378478273</c:v>
                </c:pt>
                <c:pt idx="15">
                  <c:v>1.541749995947</c:v>
                </c:pt>
                <c:pt idx="16">
                  <c:v>1.4459090828900001</c:v>
                </c:pt>
                <c:pt idx="17">
                  <c:v>1.5050000007</c:v>
                </c:pt>
                <c:pt idx="18">
                  <c:v>1.472249996662</c:v>
                </c:pt>
                <c:pt idx="19">
                  <c:v>1.486136366</c:v>
                </c:pt>
                <c:pt idx="20">
                  <c:v>1.5102499812841415</c:v>
                </c:pt>
                <c:pt idx="21">
                  <c:v>1.4045238125891912</c:v>
                </c:pt>
                <c:pt idx="22">
                  <c:v>1.3580000162124635</c:v>
                </c:pt>
                <c:pt idx="23">
                  <c:v>1.2672500282526016</c:v>
                </c:pt>
                <c:pt idx="24">
                  <c:v>1.2700000206629436</c:v>
                </c:pt>
                <c:pt idx="25">
                  <c:v>1.3376315926250659</c:v>
                </c:pt>
                <c:pt idx="26">
                  <c:v>1.408181827176701</c:v>
                </c:pt>
                <c:pt idx="27">
                  <c:v>1.429090903563933</c:v>
                </c:pt>
                <c:pt idx="28">
                  <c:v>1.3965909101746299</c:v>
                </c:pt>
                <c:pt idx="29">
                  <c:v>1.4030952141398476</c:v>
                </c:pt>
                <c:pt idx="30">
                  <c:v>1.4059523968469529</c:v>
                </c:pt>
                <c:pt idx="31">
                  <c:v>1.3408695718516475</c:v>
                </c:pt>
                <c:pt idx="32">
                  <c:v>1.223750004172325</c:v>
                </c:pt>
                <c:pt idx="33">
                  <c:v>1.1963636170734058</c:v>
                </c:pt>
                <c:pt idx="34">
                  <c:v>1.2295000076293945</c:v>
                </c:pt>
                <c:pt idx="35">
                  <c:v>1.1594117704559774</c:v>
                </c:pt>
                <c:pt idx="36">
                  <c:v>1.1721428717885698</c:v>
                </c:pt>
                <c:pt idx="37">
                  <c:v>1.2102777693006728</c:v>
                </c:pt>
                <c:pt idx="38">
                  <c:v>1.3085714067731584</c:v>
                </c:pt>
                <c:pt idx="39">
                  <c:v>1.3038636202161962</c:v>
                </c:pt>
                <c:pt idx="40">
                  <c:v>1.25238094159535</c:v>
                </c:pt>
                <c:pt idx="41">
                  <c:v>1.4487500071525574</c:v>
                </c:pt>
                <c:pt idx="42">
                  <c:v>1.476818179542368</c:v>
                </c:pt>
                <c:pt idx="43">
                  <c:v>1.3538636403734032</c:v>
                </c:pt>
                <c:pt idx="44">
                  <c:v>1.3025000154972077</c:v>
                </c:pt>
                <c:pt idx="45">
                  <c:v>1.4821428599811735</c:v>
                </c:pt>
                <c:pt idx="46">
                  <c:v>1.4331578869568673</c:v>
                </c:pt>
                <c:pt idx="47">
                  <c:v>1.3645000159740448</c:v>
                </c:pt>
                <c:pt idx="48">
                  <c:v>1.244523789201464</c:v>
                </c:pt>
                <c:pt idx="49">
                  <c:v>1.2384210304210062</c:v>
                </c:pt>
                <c:pt idx="50">
                  <c:v>1.074285707303456</c:v>
                </c:pt>
                <c:pt idx="51">
                  <c:v>0.77250001105395227</c:v>
                </c:pt>
                <c:pt idx="52">
                  <c:v>0.99650000929832461</c:v>
                </c:pt>
                <c:pt idx="53">
                  <c:v>1.1869047639483497</c:v>
                </c:pt>
                <c:pt idx="54">
                  <c:v>1.2840908847071908</c:v>
                </c:pt>
                <c:pt idx="55">
                  <c:v>1.1823809544245403</c:v>
                </c:pt>
                <c:pt idx="56">
                  <c:v>1.3026190570422582</c:v>
                </c:pt>
                <c:pt idx="57">
                  <c:v>1.3699999792235238</c:v>
                </c:pt>
                <c:pt idx="58">
                  <c:v>1.3832352967823254</c:v>
                </c:pt>
                <c:pt idx="59">
                  <c:v>1.2119047499838329</c:v>
                </c:pt>
                <c:pt idx="60">
                  <c:v>1.3913157976301094</c:v>
                </c:pt>
                <c:pt idx="61">
                  <c:v>1.5415789359494259</c:v>
                </c:pt>
                <c:pt idx="62">
                  <c:v>1.7289130506308183</c:v>
                </c:pt>
                <c:pt idx="63">
                  <c:v>1.978095219248817</c:v>
                </c:pt>
                <c:pt idx="64">
                  <c:v>2.4390000283718107</c:v>
                </c:pt>
                <c:pt idx="65">
                  <c:v>2.3145454688505693</c:v>
                </c:pt>
                <c:pt idx="66">
                  <c:v>2.1787500143051148</c:v>
                </c:pt>
                <c:pt idx="67">
                  <c:v>2.1522727012634277</c:v>
                </c:pt>
                <c:pt idx="68">
                  <c:v>2.2902380795705888</c:v>
                </c:pt>
                <c:pt idx="69">
                  <c:v>2.4010000467300414</c:v>
                </c:pt>
                <c:pt idx="70">
                  <c:v>3.1180000007152557</c:v>
                </c:pt>
                <c:pt idx="71">
                  <c:v>3.0957142852601551</c:v>
                </c:pt>
                <c:pt idx="72">
                  <c:v>2.2252499729394914</c:v>
                </c:pt>
                <c:pt idx="73">
                  <c:v>2.0268421204466569</c:v>
                </c:pt>
                <c:pt idx="74">
                  <c:v>2.3513043393259463</c:v>
                </c:pt>
                <c:pt idx="75">
                  <c:v>2.5026190848577592</c:v>
                </c:pt>
                <c:pt idx="76">
                  <c:v>2.7110526122544942</c:v>
                </c:pt>
                <c:pt idx="77">
                  <c:v>2.6997500002384185</c:v>
                </c:pt>
                <c:pt idx="78">
                  <c:v>2.5071428428377422</c:v>
                </c:pt>
                <c:pt idx="79">
                  <c:v>2.4648714285714286</c:v>
                </c:pt>
                <c:pt idx="80">
                  <c:v>2.3894600000000001</c:v>
                </c:pt>
                <c:pt idx="81">
                  <c:v>2.33474</c:v>
                </c:pt>
                <c:pt idx="82">
                  <c:v>2.4573428571428573</c:v>
                </c:pt>
                <c:pt idx="83">
                  <c:v>2.1183999999999998</c:v>
                </c:pt>
                <c:pt idx="84">
                  <c:v>2.1330333333333336</c:v>
                </c:pt>
                <c:pt idx="85">
                  <c:v>2.0254249999999998</c:v>
                </c:pt>
                <c:pt idx="86">
                  <c:v>2.1003999999999996</c:v>
                </c:pt>
                <c:pt idx="87">
                  <c:v>2.3316833333333333</c:v>
                </c:pt>
                <c:pt idx="88">
                  <c:v>2.3174333333333332</c:v>
                </c:pt>
                <c:pt idx="89">
                  <c:v>2.3866142857142854</c:v>
                </c:pt>
                <c:pt idx="90">
                  <c:v>2.368525</c:v>
                </c:pt>
                <c:pt idx="91">
                  <c:v>2.1169799999999999</c:v>
                </c:pt>
                <c:pt idx="92">
                  <c:v>2.205888888888889</c:v>
                </c:pt>
                <c:pt idx="93">
                  <c:v>2.160425</c:v>
                </c:pt>
                <c:pt idx="94">
                  <c:v>1.8783000000000001</c:v>
                </c:pt>
                <c:pt idx="95">
                  <c:v>1.5902000000000003</c:v>
                </c:pt>
                <c:pt idx="96">
                  <c:v>1.4786250000000001</c:v>
                </c:pt>
                <c:pt idx="97">
                  <c:v>1.460925</c:v>
                </c:pt>
              </c:numCache>
            </c:numRef>
          </c:val>
          <c:extLst>
            <c:ext xmlns:c16="http://schemas.microsoft.com/office/drawing/2014/chart" uri="{C3380CC4-5D6E-409C-BE32-E72D297353CC}">
              <c16:uniqueId val="{00000000-F35A-4409-B6C4-7E7CF80424EA}"/>
            </c:ext>
          </c:extLst>
        </c:ser>
        <c:ser>
          <c:idx val="2"/>
          <c:order val="2"/>
          <c:tx>
            <c:v>DDGS revenue</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[0]!L</c:f>
              <c:numCache>
                <c:formatCode>_("$"* #,##0.00_);_("$"* \(#,##0.00\);_("$"* "-"??_);_(@_)</c:formatCode>
                <c:ptCount val="98"/>
                <c:pt idx="0">
                  <c:v>0.35026038781163438</c:v>
                </c:pt>
                <c:pt idx="1">
                  <c:v>0.3527438596491228</c:v>
                </c:pt>
                <c:pt idx="2">
                  <c:v>0.35674065598779559</c:v>
                </c:pt>
                <c:pt idx="3">
                  <c:v>0.33320634920634917</c:v>
                </c:pt>
                <c:pt idx="4">
                  <c:v>0.38006349206349205</c:v>
                </c:pt>
                <c:pt idx="5">
                  <c:v>0.46227990430622001</c:v>
                </c:pt>
                <c:pt idx="6">
                  <c:v>0.40359824561403507</c:v>
                </c:pt>
                <c:pt idx="7">
                  <c:v>0.33975896262395111</c:v>
                </c:pt>
                <c:pt idx="8">
                  <c:v>0.32210860484544684</c:v>
                </c:pt>
                <c:pt idx="9">
                  <c:v>0.29624812030075265</c:v>
                </c:pt>
                <c:pt idx="10">
                  <c:v>0.29347368421052628</c:v>
                </c:pt>
                <c:pt idx="11">
                  <c:v>0.2862464494569894</c:v>
                </c:pt>
                <c:pt idx="12">
                  <c:v>0.27894385964912277</c:v>
                </c:pt>
                <c:pt idx="13">
                  <c:v>0.27950415512463855</c:v>
                </c:pt>
                <c:pt idx="14">
                  <c:v>0.2753661327227368</c:v>
                </c:pt>
                <c:pt idx="15">
                  <c:v>0.26883771929824563</c:v>
                </c:pt>
                <c:pt idx="16">
                  <c:v>0.26888676236175435</c:v>
                </c:pt>
                <c:pt idx="17">
                  <c:v>0.28503827751195643</c:v>
                </c:pt>
                <c:pt idx="18">
                  <c:v>0.29879649122807017</c:v>
                </c:pt>
                <c:pt idx="19">
                  <c:v>0.31269856459324907</c:v>
                </c:pt>
                <c:pt idx="20">
                  <c:v>0.29955175438596487</c:v>
                </c:pt>
                <c:pt idx="21">
                  <c:v>0.31347702589807852</c:v>
                </c:pt>
                <c:pt idx="22">
                  <c:v>0.33411403508771931</c:v>
                </c:pt>
                <c:pt idx="23">
                  <c:v>0.36008070175438595</c:v>
                </c:pt>
                <c:pt idx="24">
                  <c:v>0.38801002506265664</c:v>
                </c:pt>
                <c:pt idx="25">
                  <c:v>0.41189289012003694</c:v>
                </c:pt>
                <c:pt idx="26">
                  <c:v>0.42356858054226471</c:v>
                </c:pt>
                <c:pt idx="27">
                  <c:v>0.45135964912280696</c:v>
                </c:pt>
                <c:pt idx="28">
                  <c:v>0.50367224880382766</c:v>
                </c:pt>
                <c:pt idx="29">
                  <c:v>0.4285647451963242</c:v>
                </c:pt>
                <c:pt idx="30">
                  <c:v>0.31584043441938175</c:v>
                </c:pt>
                <c:pt idx="31">
                  <c:v>0.37900762776506475</c:v>
                </c:pt>
                <c:pt idx="32">
                  <c:v>0.37723596491228067</c:v>
                </c:pt>
                <c:pt idx="33">
                  <c:v>0.37478708133971284</c:v>
                </c:pt>
                <c:pt idx="34">
                  <c:v>0.38406929824561398</c:v>
                </c:pt>
                <c:pt idx="35">
                  <c:v>0.47524458204334369</c:v>
                </c:pt>
                <c:pt idx="36">
                  <c:v>0.44637593984962404</c:v>
                </c:pt>
                <c:pt idx="37">
                  <c:v>0.40280701754385961</c:v>
                </c:pt>
                <c:pt idx="38">
                  <c:v>0.39064745196324141</c:v>
                </c:pt>
                <c:pt idx="39">
                  <c:v>0.38629585326953741</c:v>
                </c:pt>
                <c:pt idx="40">
                  <c:v>0.3413241436925647</c:v>
                </c:pt>
                <c:pt idx="41">
                  <c:v>0.37676842105263147</c:v>
                </c:pt>
                <c:pt idx="42">
                  <c:v>0.37825279106858056</c:v>
                </c:pt>
                <c:pt idx="43">
                  <c:v>0.36491307814992019</c:v>
                </c:pt>
                <c:pt idx="44">
                  <c:v>0.37612105263157891</c:v>
                </c:pt>
                <c:pt idx="45">
                  <c:v>0.40229323308270681</c:v>
                </c:pt>
                <c:pt idx="46">
                  <c:v>0.39833979686057241</c:v>
                </c:pt>
                <c:pt idx="47">
                  <c:v>0.40607982456140346</c:v>
                </c:pt>
                <c:pt idx="48">
                  <c:v>0.40832163742690053</c:v>
                </c:pt>
                <c:pt idx="49">
                  <c:v>0.41143859649122799</c:v>
                </c:pt>
                <c:pt idx="50">
                  <c:v>0.42308437761069334</c:v>
                </c:pt>
                <c:pt idx="51">
                  <c:v>0.55255183413078135</c:v>
                </c:pt>
                <c:pt idx="52">
                  <c:v>0.41239766081871343</c:v>
                </c:pt>
                <c:pt idx="53">
                  <c:v>0.36680785296574769</c:v>
                </c:pt>
                <c:pt idx="54">
                  <c:v>0.33901834130781494</c:v>
                </c:pt>
                <c:pt idx="55">
                  <c:v>0.35084628237259813</c:v>
                </c:pt>
                <c:pt idx="56">
                  <c:v>0.39749791144527979</c:v>
                </c:pt>
                <c:pt idx="57">
                  <c:v>0.44980116959064326</c:v>
                </c:pt>
                <c:pt idx="58">
                  <c:v>0.52872652218782246</c:v>
                </c:pt>
                <c:pt idx="59">
                  <c:v>0.58711862990810348</c:v>
                </c:pt>
                <c:pt idx="60">
                  <c:v>0.62306371191135723</c:v>
                </c:pt>
                <c:pt idx="61">
                  <c:v>0.66232225300092329</c:v>
                </c:pt>
                <c:pt idx="62">
                  <c:v>0.6399252479023646</c:v>
                </c:pt>
                <c:pt idx="63">
                  <c:v>0.58629657477025887</c:v>
                </c:pt>
                <c:pt idx="64">
                  <c:v>0.67204035087719283</c:v>
                </c:pt>
                <c:pt idx="65">
                  <c:v>0.57118819776714502</c:v>
                </c:pt>
                <c:pt idx="66">
                  <c:v>0.45902585410895652</c:v>
                </c:pt>
                <c:pt idx="67">
                  <c:v>0.53489633173843687</c:v>
                </c:pt>
                <c:pt idx="68">
                  <c:v>0.55916875522138676</c:v>
                </c:pt>
                <c:pt idx="69">
                  <c:v>0.52062807017543855</c:v>
                </c:pt>
                <c:pt idx="70">
                  <c:v>0.47175175438596484</c:v>
                </c:pt>
                <c:pt idx="71">
                  <c:v>0.49299331662489554</c:v>
                </c:pt>
                <c:pt idx="72">
                  <c:v>0.55716842105263154</c:v>
                </c:pt>
                <c:pt idx="73">
                  <c:v>0.65399353647276071</c:v>
                </c:pt>
                <c:pt idx="74">
                  <c:v>0.75588863463005329</c:v>
                </c:pt>
                <c:pt idx="75">
                  <c:v>0.82308270676691719</c:v>
                </c:pt>
                <c:pt idx="76">
                  <c:v>0.79626315789473678</c:v>
                </c:pt>
                <c:pt idx="77">
                  <c:v>0.66265350877192974</c:v>
                </c:pt>
                <c:pt idx="78">
                  <c:v>0.58932680701754381</c:v>
                </c:pt>
                <c:pt idx="79">
                  <c:v>0.6477784210526315</c:v>
                </c:pt>
                <c:pt idx="80">
                  <c:v>0.72459803508771925</c:v>
                </c:pt>
                <c:pt idx="81">
                  <c:v>0.70513526315789465</c:v>
                </c:pt>
                <c:pt idx="82">
                  <c:v>0.63528780701754373</c:v>
                </c:pt>
                <c:pt idx="83">
                  <c:v>0.70430807017543851</c:v>
                </c:pt>
                <c:pt idx="84">
                  <c:v>0.78931114035087713</c:v>
                </c:pt>
                <c:pt idx="85">
                  <c:v>0.7712064035087719</c:v>
                </c:pt>
                <c:pt idx="86">
                  <c:v>0.71707417543859642</c:v>
                </c:pt>
                <c:pt idx="87">
                  <c:v>0.70521078947368421</c:v>
                </c:pt>
                <c:pt idx="88">
                  <c:v>0.65916850877192978</c:v>
                </c:pt>
                <c:pt idx="89">
                  <c:v>0.57413235087719294</c:v>
                </c:pt>
                <c:pt idx="90">
                  <c:v>0.55221605263157891</c:v>
                </c:pt>
                <c:pt idx="91">
                  <c:v>0.54915184210526302</c:v>
                </c:pt>
                <c:pt idx="92">
                  <c:v>0.54611136842105257</c:v>
                </c:pt>
                <c:pt idx="93">
                  <c:v>0.52753692982456135</c:v>
                </c:pt>
                <c:pt idx="94">
                  <c:v>0.55903380116959056</c:v>
                </c:pt>
                <c:pt idx="95">
                  <c:v>0.60324666666666649</c:v>
                </c:pt>
                <c:pt idx="96">
                  <c:v>0.56539719298245605</c:v>
                </c:pt>
                <c:pt idx="97">
                  <c:v>0.55545649122807017</c:v>
                </c:pt>
              </c:numCache>
            </c:numRef>
          </c:val>
          <c:extLst>
            <c:ext xmlns:c16="http://schemas.microsoft.com/office/drawing/2014/chart" uri="{C3380CC4-5D6E-409C-BE32-E72D297353CC}">
              <c16:uniqueId val="{00000001-F35A-4409-B6C4-7E7CF80424EA}"/>
            </c:ext>
          </c:extLst>
        </c:ser>
        <c:dLbls>
          <c:showLegendKey val="0"/>
          <c:showVal val="0"/>
          <c:showCatName val="0"/>
          <c:showSerName val="0"/>
          <c:showPercent val="0"/>
          <c:showBubbleSize val="0"/>
        </c:dLbls>
        <c:axId val="756851440"/>
        <c:axId val="756852000"/>
      </c:areaChart>
      <c:dateAx>
        <c:axId val="756851440"/>
        <c:scaling>
          <c:orientation val="minMax"/>
        </c:scaling>
        <c:delete val="0"/>
        <c:axPos val="b"/>
        <c:numFmt formatCode="mmm\-yy" sourceLinked="0"/>
        <c:majorTickMark val="out"/>
        <c:minorTickMark val="none"/>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crossAx val="756852000"/>
        <c:crosses val="autoZero"/>
        <c:auto val="1"/>
        <c:lblOffset val="100"/>
        <c:baseTimeUnit val="months"/>
        <c:majorUnit val="5"/>
        <c:majorTimeUnit val="months"/>
        <c:minorUnit val="1"/>
        <c:minorTimeUnit val="months"/>
      </c:dateAx>
      <c:valAx>
        <c:axId val="756852000"/>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r>
                  <a:rPr lang="en-US" sz="1600"/>
                  <a:t>$ per gallon</a:t>
                </a:r>
              </a:p>
            </c:rich>
          </c:tx>
          <c:layout>
            <c:manualLayout>
              <c:xMode val="edge"/>
              <c:yMode val="edge"/>
              <c:x val="8.8968175853018708E-3"/>
              <c:y val="0.38612539326624001"/>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600" b="0" i="0" u="none" strike="noStrike" kern="1200" baseline="0">
                <a:solidFill>
                  <a:schemeClr val="tx2"/>
                </a:solidFill>
                <a:latin typeface="Arial Narrow" panose="020B0606020202030204" pitchFamily="34" charset="0"/>
                <a:ea typeface="+mn-ea"/>
                <a:cs typeface="+mn-cs"/>
              </a:defRPr>
            </a:pPr>
            <a:endParaRPr lang="en-US"/>
          </a:p>
        </c:txPr>
        <c:crossAx val="756851440"/>
        <c:crosses val="autoZero"/>
        <c:crossBetween val="midCat"/>
      </c:valAx>
      <c:spPr>
        <a:noFill/>
        <a:ln>
          <a:noFill/>
        </a:ln>
        <a:effectLst/>
      </c:spPr>
    </c:plotArea>
    <c:legend>
      <c:legendPos val="b"/>
      <c:layout>
        <c:manualLayout>
          <c:xMode val="edge"/>
          <c:yMode val="edge"/>
          <c:x val="0.17276462554391919"/>
          <c:y val="0.14882853603845797"/>
          <c:w val="0.25109696271464416"/>
          <c:h val="0.13291147407787987"/>
        </c:manualLayout>
      </c:layout>
      <c:overlay val="0"/>
      <c:spPr>
        <a:solidFill>
          <a:schemeClr val="bg1"/>
        </a:solidFill>
        <a:ln>
          <a:solidFill>
            <a:schemeClr val="accent1"/>
          </a:solidFill>
        </a:ln>
        <a:effectLst/>
      </c:spPr>
      <c:txPr>
        <a:bodyPr rot="0" spcFirstLastPara="1" vertOverflow="ellipsis" vert="horz" wrap="square" anchor="ctr" anchorCtr="1"/>
        <a:lstStyle/>
        <a:p>
          <a:pPr>
            <a:defRPr sz="14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0000000000002" l="0.70000000000000095" r="0.70000000000000095" t="0.750000000000002"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756853680"/>
        <c:axId val="756854240"/>
      </c:barChart>
      <c:catAx>
        <c:axId val="756853680"/>
        <c:scaling>
          <c:orientation val="minMax"/>
        </c:scaling>
        <c:delete val="0"/>
        <c:axPos val="b"/>
        <c:majorTickMark val="out"/>
        <c:minorTickMark val="none"/>
        <c:tickLblPos val="nextTo"/>
        <c:crossAx val="756854240"/>
        <c:crosses val="autoZero"/>
        <c:auto val="1"/>
        <c:lblAlgn val="ctr"/>
        <c:lblOffset val="100"/>
        <c:noMultiLvlLbl val="0"/>
      </c:catAx>
      <c:valAx>
        <c:axId val="756854240"/>
        <c:scaling>
          <c:orientation val="minMax"/>
        </c:scaling>
        <c:delete val="0"/>
        <c:axPos val="l"/>
        <c:majorGridlines/>
        <c:majorTickMark val="out"/>
        <c:minorTickMark val="none"/>
        <c:tickLblPos val="nextTo"/>
        <c:crossAx val="756853680"/>
        <c:crosses val="autoZero"/>
        <c:crossBetween val="between"/>
      </c:valAx>
    </c:plotArea>
    <c:legend>
      <c:legendPos val="r"/>
      <c:overlay val="0"/>
    </c:legend>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2"/>
                </a:solidFill>
                <a:latin typeface="Arial Narrow" panose="020B0606020202030204" pitchFamily="34" charset="0"/>
                <a:ea typeface="+mn-ea"/>
                <a:cs typeface="+mn-cs"/>
              </a:defRPr>
            </a:pPr>
            <a:r>
              <a:rPr lang="en-US"/>
              <a:t>Ethanol Sale Price and Ethanol Breakeven Sale Price</a:t>
            </a:r>
            <a:endParaRPr lang="en-US" b="0"/>
          </a:p>
          <a:p>
            <a:pPr>
              <a:defRPr/>
            </a:pPr>
            <a:r>
              <a:rPr lang="en-US" b="0"/>
              <a:t>(Ethanol Breakeven = Total cost less DDGS and</a:t>
            </a:r>
            <a:r>
              <a:rPr lang="en-US" b="0" baseline="0"/>
              <a:t> Distiller corn oil</a:t>
            </a:r>
            <a:r>
              <a:rPr lang="en-US" b="0"/>
              <a:t> returns)</a:t>
            </a:r>
          </a:p>
        </c:rich>
      </c:tx>
      <c:layout>
        <c:manualLayout>
          <c:xMode val="edge"/>
          <c:yMode val="edge"/>
          <c:x val="0.2443777297178191"/>
          <c:y val="2.846638307383528E-2"/>
        </c:manualLayout>
      </c:layout>
      <c:overlay val="0"/>
      <c:spPr>
        <a:noFill/>
        <a:ln>
          <a:noFill/>
        </a:ln>
        <a:effectLst/>
      </c:spPr>
      <c:txPr>
        <a:bodyPr rot="0" spcFirstLastPara="1" vertOverflow="ellipsis" vert="horz" wrap="square" anchor="ctr" anchorCtr="1"/>
        <a:lstStyle/>
        <a:p>
          <a:pPr>
            <a:defRPr sz="144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58297100700293"/>
          <c:y val="0.22832113354253999"/>
          <c:w val="0.86370774946238593"/>
          <c:h val="0.55833264568460894"/>
        </c:manualLayout>
      </c:layout>
      <c:lineChart>
        <c:grouping val="standard"/>
        <c:varyColors val="0"/>
        <c:ser>
          <c:idx val="1"/>
          <c:order val="0"/>
          <c:tx>
            <c:v>Ethanol sale price</c:v>
          </c:tx>
          <c:spPr>
            <a:ln w="31750" cap="rnd">
              <a:solidFill>
                <a:schemeClr val="accent2"/>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[0]!D</c:f>
              <c:numCache>
                <c:formatCode>_("$"* #,##0.00_);_("$"* \(#,##0.00\);_("$"* "-"??_);_(@_)</c:formatCode>
                <c:ptCount val="98"/>
                <c:pt idx="0">
                  <c:v>1.2348157845798291</c:v>
                </c:pt>
                <c:pt idx="1">
                  <c:v>1.3037500083446503</c:v>
                </c:pt>
                <c:pt idx="2">
                  <c:v>1.272826085401618</c:v>
                </c:pt>
                <c:pt idx="3">
                  <c:v>1.4169047531627474</c:v>
                </c:pt>
                <c:pt idx="4">
                  <c:v>1.4661904602959042</c:v>
                </c:pt>
                <c:pt idx="5">
                  <c:v>1.5622727274894714</c:v>
                </c:pt>
                <c:pt idx="6">
                  <c:v>1.4805000245571136</c:v>
                </c:pt>
                <c:pt idx="7">
                  <c:v>1.3334782486376555</c:v>
                </c:pt>
                <c:pt idx="8">
                  <c:v>1.4297618909109207</c:v>
                </c:pt>
                <c:pt idx="9">
                  <c:v>1.51714286066237</c:v>
                </c:pt>
                <c:pt idx="10">
                  <c:v>1.5450000167</c:v>
                </c:pt>
                <c:pt idx="11">
                  <c:v>1.649285714626</c:v>
                </c:pt>
                <c:pt idx="12">
                  <c:v>1.4004999846220001</c:v>
                </c:pt>
                <c:pt idx="13">
                  <c:v>1.3807894556</c:v>
                </c:pt>
                <c:pt idx="14">
                  <c:v>1.378478273</c:v>
                </c:pt>
                <c:pt idx="15">
                  <c:v>1.541749995947</c:v>
                </c:pt>
                <c:pt idx="16">
                  <c:v>1.4459090828900001</c:v>
                </c:pt>
                <c:pt idx="17">
                  <c:v>1.5050000007</c:v>
                </c:pt>
                <c:pt idx="18">
                  <c:v>1.472249996662</c:v>
                </c:pt>
                <c:pt idx="19">
                  <c:v>1.486136366</c:v>
                </c:pt>
                <c:pt idx="20">
                  <c:v>1.5102499812841415</c:v>
                </c:pt>
                <c:pt idx="21">
                  <c:v>1.4045238125891912</c:v>
                </c:pt>
                <c:pt idx="22">
                  <c:v>1.3580000162124635</c:v>
                </c:pt>
                <c:pt idx="23">
                  <c:v>1.2672500282526016</c:v>
                </c:pt>
                <c:pt idx="24">
                  <c:v>1.2700000206629436</c:v>
                </c:pt>
                <c:pt idx="25">
                  <c:v>1.3376315926250659</c:v>
                </c:pt>
                <c:pt idx="26">
                  <c:v>1.408181827176701</c:v>
                </c:pt>
                <c:pt idx="27">
                  <c:v>1.429090903563933</c:v>
                </c:pt>
                <c:pt idx="28">
                  <c:v>1.3965909101746299</c:v>
                </c:pt>
                <c:pt idx="29">
                  <c:v>1.4030952141398476</c:v>
                </c:pt>
                <c:pt idx="30">
                  <c:v>1.4059523968469529</c:v>
                </c:pt>
                <c:pt idx="31">
                  <c:v>1.3408695718516475</c:v>
                </c:pt>
                <c:pt idx="32">
                  <c:v>1.223750004172325</c:v>
                </c:pt>
                <c:pt idx="33">
                  <c:v>1.1963636170734058</c:v>
                </c:pt>
                <c:pt idx="34">
                  <c:v>1.2295000076293945</c:v>
                </c:pt>
                <c:pt idx="35">
                  <c:v>1.1594117704559774</c:v>
                </c:pt>
                <c:pt idx="36">
                  <c:v>1.1721428717885698</c:v>
                </c:pt>
                <c:pt idx="37">
                  <c:v>1.2102777693006728</c:v>
                </c:pt>
                <c:pt idx="38">
                  <c:v>1.3085714067731584</c:v>
                </c:pt>
                <c:pt idx="39">
                  <c:v>1.3038636202161962</c:v>
                </c:pt>
                <c:pt idx="40">
                  <c:v>1.25238094159535</c:v>
                </c:pt>
                <c:pt idx="41">
                  <c:v>1.4487500071525574</c:v>
                </c:pt>
                <c:pt idx="42">
                  <c:v>1.476818179542368</c:v>
                </c:pt>
                <c:pt idx="43">
                  <c:v>1.3538636403734032</c:v>
                </c:pt>
                <c:pt idx="44">
                  <c:v>1.3025000154972077</c:v>
                </c:pt>
                <c:pt idx="45">
                  <c:v>1.4821428599811735</c:v>
                </c:pt>
                <c:pt idx="46">
                  <c:v>1.4331578869568673</c:v>
                </c:pt>
                <c:pt idx="47">
                  <c:v>1.3645000159740448</c:v>
                </c:pt>
                <c:pt idx="48">
                  <c:v>1.244523789201464</c:v>
                </c:pt>
                <c:pt idx="49">
                  <c:v>1.2384210304210062</c:v>
                </c:pt>
                <c:pt idx="50">
                  <c:v>1.074285707303456</c:v>
                </c:pt>
                <c:pt idx="51">
                  <c:v>0.77250001105395227</c:v>
                </c:pt>
                <c:pt idx="52">
                  <c:v>0.99650000929832461</c:v>
                </c:pt>
                <c:pt idx="53">
                  <c:v>1.1869047639483497</c:v>
                </c:pt>
                <c:pt idx="54">
                  <c:v>1.2840908847071908</c:v>
                </c:pt>
                <c:pt idx="55">
                  <c:v>1.1823809544245403</c:v>
                </c:pt>
                <c:pt idx="56">
                  <c:v>1.3026190570422582</c:v>
                </c:pt>
                <c:pt idx="57">
                  <c:v>1.3699999792235238</c:v>
                </c:pt>
                <c:pt idx="58">
                  <c:v>1.3832352967823254</c:v>
                </c:pt>
                <c:pt idx="59">
                  <c:v>1.2119047499838329</c:v>
                </c:pt>
                <c:pt idx="60">
                  <c:v>1.3913157976301094</c:v>
                </c:pt>
                <c:pt idx="61">
                  <c:v>1.5415789359494259</c:v>
                </c:pt>
                <c:pt idx="62">
                  <c:v>1.7289130506308183</c:v>
                </c:pt>
                <c:pt idx="63">
                  <c:v>1.978095219248817</c:v>
                </c:pt>
                <c:pt idx="64">
                  <c:v>2.4390000283718107</c:v>
                </c:pt>
                <c:pt idx="65">
                  <c:v>2.3145454688505693</c:v>
                </c:pt>
                <c:pt idx="66">
                  <c:v>2.1787500143051148</c:v>
                </c:pt>
                <c:pt idx="67">
                  <c:v>2.1522727012634277</c:v>
                </c:pt>
                <c:pt idx="68">
                  <c:v>2.2902380795705888</c:v>
                </c:pt>
                <c:pt idx="69">
                  <c:v>2.4010000467300414</c:v>
                </c:pt>
                <c:pt idx="70">
                  <c:v>3.1180000007152557</c:v>
                </c:pt>
                <c:pt idx="71">
                  <c:v>3.0957142852601551</c:v>
                </c:pt>
                <c:pt idx="72">
                  <c:v>2.2252499729394914</c:v>
                </c:pt>
                <c:pt idx="73">
                  <c:v>2.0268421204466569</c:v>
                </c:pt>
                <c:pt idx="74">
                  <c:v>2.3513043393259463</c:v>
                </c:pt>
                <c:pt idx="75">
                  <c:v>2.5026190848577592</c:v>
                </c:pt>
                <c:pt idx="76">
                  <c:v>2.7110526122544942</c:v>
                </c:pt>
                <c:pt idx="77">
                  <c:v>2.6997500002384185</c:v>
                </c:pt>
                <c:pt idx="78">
                  <c:v>2.5071428428377422</c:v>
                </c:pt>
                <c:pt idx="79">
                  <c:v>2.4648714285714286</c:v>
                </c:pt>
                <c:pt idx="80">
                  <c:v>2.3894600000000001</c:v>
                </c:pt>
                <c:pt idx="81">
                  <c:v>2.33474</c:v>
                </c:pt>
                <c:pt idx="82">
                  <c:v>2.4573428571428573</c:v>
                </c:pt>
                <c:pt idx="83">
                  <c:v>2.1183999999999998</c:v>
                </c:pt>
                <c:pt idx="84">
                  <c:v>2.1330333333333336</c:v>
                </c:pt>
                <c:pt idx="85">
                  <c:v>2.0254249999999998</c:v>
                </c:pt>
                <c:pt idx="86">
                  <c:v>2.1003999999999996</c:v>
                </c:pt>
                <c:pt idx="87">
                  <c:v>2.3316833333333333</c:v>
                </c:pt>
                <c:pt idx="88">
                  <c:v>2.3174333333333332</c:v>
                </c:pt>
                <c:pt idx="89">
                  <c:v>2.3866142857142854</c:v>
                </c:pt>
                <c:pt idx="90">
                  <c:v>2.368525</c:v>
                </c:pt>
                <c:pt idx="91">
                  <c:v>2.1169799999999999</c:v>
                </c:pt>
                <c:pt idx="92">
                  <c:v>2.205888888888889</c:v>
                </c:pt>
                <c:pt idx="93">
                  <c:v>2.160425</c:v>
                </c:pt>
                <c:pt idx="94">
                  <c:v>1.8783000000000001</c:v>
                </c:pt>
                <c:pt idx="95">
                  <c:v>1.5902000000000003</c:v>
                </c:pt>
                <c:pt idx="96">
                  <c:v>1.4786250000000001</c:v>
                </c:pt>
                <c:pt idx="97">
                  <c:v>1.460925</c:v>
                </c:pt>
              </c:numCache>
            </c:numRef>
          </c:val>
          <c:smooth val="0"/>
          <c:extLst>
            <c:ext xmlns:c16="http://schemas.microsoft.com/office/drawing/2014/chart" uri="{C3380CC4-5D6E-409C-BE32-E72D297353CC}">
              <c16:uniqueId val="{00000000-F29D-477C-9602-C7F4F160B75A}"/>
            </c:ext>
          </c:extLst>
        </c:ser>
        <c:ser>
          <c:idx val="0"/>
          <c:order val="1"/>
          <c:tx>
            <c:v>Ethanol breakeven sale price</c:v>
          </c:tx>
          <c:spPr>
            <a:ln w="31750" cap="rnd">
              <a:solidFill>
                <a:schemeClr val="accent1"/>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[0]!W</c:f>
              <c:numCache>
                <c:formatCode>_("$"* #,##0.00_);_("$"* \(#,##0.00\);_("$"* "-"??_);_(@_)</c:formatCode>
                <c:ptCount val="98"/>
                <c:pt idx="0">
                  <c:v>1.3718409313460014</c:v>
                </c:pt>
                <c:pt idx="1">
                  <c:v>1.3550618013857572</c:v>
                </c:pt>
                <c:pt idx="2">
                  <c:v>1.3472376960750627</c:v>
                </c:pt>
                <c:pt idx="3">
                  <c:v>1.3669458439214259</c:v>
                </c:pt>
                <c:pt idx="4">
                  <c:v>1.3532967266516154</c:v>
                </c:pt>
                <c:pt idx="5">
                  <c:v>1.3490043812202224</c:v>
                </c:pt>
                <c:pt idx="6">
                  <c:v>1.2037398693861492</c:v>
                </c:pt>
                <c:pt idx="7">
                  <c:v>1.2037640099731914</c:v>
                </c:pt>
                <c:pt idx="8">
                  <c:v>1.232300902685483</c:v>
                </c:pt>
                <c:pt idx="9">
                  <c:v>1.307667817827572</c:v>
                </c:pt>
                <c:pt idx="10">
                  <c:v>1.303116185138756</c:v>
                </c:pt>
                <c:pt idx="11">
                  <c:v>1.3615664785233459</c:v>
                </c:pt>
                <c:pt idx="12">
                  <c:v>1.4180863594848614</c:v>
                </c:pt>
                <c:pt idx="13">
                  <c:v>1.4265062129263981</c:v>
                </c:pt>
                <c:pt idx="14">
                  <c:v>1.3889347253633877</c:v>
                </c:pt>
                <c:pt idx="15">
                  <c:v>1.4158008371008612</c:v>
                </c:pt>
                <c:pt idx="16">
                  <c:v>1.4314456939384053</c:v>
                </c:pt>
                <c:pt idx="17">
                  <c:v>1.4107532687846944</c:v>
                </c:pt>
                <c:pt idx="18">
                  <c:v>1.4095074191843699</c:v>
                </c:pt>
                <c:pt idx="19">
                  <c:v>1.3159330987911209</c:v>
                </c:pt>
                <c:pt idx="20">
                  <c:v>1.3254670757953357</c:v>
                </c:pt>
                <c:pt idx="21">
                  <c:v>1.2996661497723161</c:v>
                </c:pt>
                <c:pt idx="22">
                  <c:v>1.2756854822082302</c:v>
                </c:pt>
                <c:pt idx="23">
                  <c:v>1.3048723338502366</c:v>
                </c:pt>
                <c:pt idx="24">
                  <c:v>1.2959729929418067</c:v>
                </c:pt>
                <c:pt idx="25">
                  <c:v>1.3261730708703541</c:v>
                </c:pt>
                <c:pt idx="26">
                  <c:v>1.3235487211634587</c:v>
                </c:pt>
                <c:pt idx="27">
                  <c:v>1.3190348508508882</c:v>
                </c:pt>
                <c:pt idx="28">
                  <c:v>1.2852282324874149</c:v>
                </c:pt>
                <c:pt idx="29">
                  <c:v>1.2512963910487631</c:v>
                </c:pt>
                <c:pt idx="30">
                  <c:v>1.3050490112346089</c:v>
                </c:pt>
                <c:pt idx="31">
                  <c:v>1.2824739302360091</c:v>
                </c:pt>
                <c:pt idx="32">
                  <c:v>1.2556635586160139</c:v>
                </c:pt>
                <c:pt idx="33">
                  <c:v>1.289590509728868</c:v>
                </c:pt>
                <c:pt idx="34">
                  <c:v>1.3328407504691191</c:v>
                </c:pt>
                <c:pt idx="35">
                  <c:v>1.2848995757897455</c:v>
                </c:pt>
                <c:pt idx="36">
                  <c:v>1.3018621379944686</c:v>
                </c:pt>
                <c:pt idx="37">
                  <c:v>1.3477155067393363</c:v>
                </c:pt>
                <c:pt idx="38">
                  <c:v>1.3611267942707412</c:v>
                </c:pt>
                <c:pt idx="39">
                  <c:v>1.3242102838196361</c:v>
                </c:pt>
                <c:pt idx="40">
                  <c:v>1.41327073539058</c:v>
                </c:pt>
                <c:pt idx="41">
                  <c:v>1.5654389949538032</c:v>
                </c:pt>
                <c:pt idx="42">
                  <c:v>1.5925913049335407</c:v>
                </c:pt>
                <c:pt idx="43">
                  <c:v>1.4291327791967952</c:v>
                </c:pt>
                <c:pt idx="44">
                  <c:v>1.3863043440742273</c:v>
                </c:pt>
                <c:pt idx="45">
                  <c:v>1.4309527820501087</c:v>
                </c:pt>
                <c:pt idx="46">
                  <c:v>1.3687267125547193</c:v>
                </c:pt>
                <c:pt idx="47">
                  <c:v>1.3922319748584462</c:v>
                </c:pt>
                <c:pt idx="48">
                  <c:v>1.4318162653656106</c:v>
                </c:pt>
                <c:pt idx="49">
                  <c:v>1.3841757442144247</c:v>
                </c:pt>
                <c:pt idx="50">
                  <c:v>1.2660200071458811</c:v>
                </c:pt>
                <c:pt idx="51">
                  <c:v>0.94217073396498641</c:v>
                </c:pt>
                <c:pt idx="52">
                  <c:v>1.0963215970001894</c:v>
                </c:pt>
                <c:pt idx="53">
                  <c:v>1.1889377410063244</c:v>
                </c:pt>
                <c:pt idx="54">
                  <c:v>1.2223509597601423</c:v>
                </c:pt>
                <c:pt idx="55">
                  <c:v>1.2190745860992891</c:v>
                </c:pt>
                <c:pt idx="56">
                  <c:v>1.3321923801871445</c:v>
                </c:pt>
                <c:pt idx="57">
                  <c:v>1.3744734097763585</c:v>
                </c:pt>
                <c:pt idx="58">
                  <c:v>1.4135186541532958</c:v>
                </c:pt>
                <c:pt idx="59">
                  <c:v>1.3966756642602116</c:v>
                </c:pt>
                <c:pt idx="60">
                  <c:v>1.5818131419653911</c:v>
                </c:pt>
                <c:pt idx="61">
                  <c:v>1.7544632778277887</c:v>
                </c:pt>
                <c:pt idx="62">
                  <c:v>1.7413695051284028</c:v>
                </c:pt>
                <c:pt idx="63">
                  <c:v>1.998498229096425</c:v>
                </c:pt>
                <c:pt idx="64">
                  <c:v>2.2779389979235778</c:v>
                </c:pt>
                <c:pt idx="65">
                  <c:v>2.2946791085776637</c:v>
                </c:pt>
                <c:pt idx="66">
                  <c:v>2.2852903328652618</c:v>
                </c:pt>
                <c:pt idx="67">
                  <c:v>2.1742043863916614</c:v>
                </c:pt>
                <c:pt idx="68">
                  <c:v>1.8943294635973447</c:v>
                </c:pt>
                <c:pt idx="69">
                  <c:v>1.8522530340988206</c:v>
                </c:pt>
                <c:pt idx="70">
                  <c:v>2.0552109193156509</c:v>
                </c:pt>
                <c:pt idx="71">
                  <c:v>2.1741717419202828</c:v>
                </c:pt>
                <c:pt idx="72">
                  <c:v>2.0953056691076495</c:v>
                </c:pt>
                <c:pt idx="73">
                  <c:v>2.1017836804962426</c:v>
                </c:pt>
                <c:pt idx="74">
                  <c:v>2.2609443437605985</c:v>
                </c:pt>
                <c:pt idx="75">
                  <c:v>2.3735712450491122</c:v>
                </c:pt>
                <c:pt idx="76">
                  <c:v>2.4207200196217245</c:v>
                </c:pt>
                <c:pt idx="77">
                  <c:v>2.5990385613348224</c:v>
                </c:pt>
                <c:pt idx="78">
                  <c:v>2.4460232962170201</c:v>
                </c:pt>
                <c:pt idx="79">
                  <c:v>2.4277316642951243</c:v>
                </c:pt>
                <c:pt idx="80">
                  <c:v>2.3969430814612287</c:v>
                </c:pt>
                <c:pt idx="81">
                  <c:v>2.2070607489633169</c:v>
                </c:pt>
                <c:pt idx="82">
                  <c:v>2.2259646378522056</c:v>
                </c:pt>
                <c:pt idx="83">
                  <c:v>2.204326179205589</c:v>
                </c:pt>
                <c:pt idx="84">
                  <c:v>2.2058506612440185</c:v>
                </c:pt>
                <c:pt idx="85">
                  <c:v>2.2072535051960038</c:v>
                </c:pt>
                <c:pt idx="86">
                  <c:v>2.1044077482005408</c:v>
                </c:pt>
                <c:pt idx="87">
                  <c:v>2.1406847840510355</c:v>
                </c:pt>
                <c:pt idx="88">
                  <c:v>2.0531569291866023</c:v>
                </c:pt>
                <c:pt idx="89">
                  <c:v>2.1875109711855401</c:v>
                </c:pt>
                <c:pt idx="90">
                  <c:v>1.9835751349282289</c:v>
                </c:pt>
                <c:pt idx="91">
                  <c:v>1.8529022745163302</c:v>
                </c:pt>
                <c:pt idx="92">
                  <c:v>1.5827214858054226</c:v>
                </c:pt>
                <c:pt idx="93">
                  <c:v>1.5692466136249714</c:v>
                </c:pt>
                <c:pt idx="94">
                  <c:v>1.5658087021796911</c:v>
                </c:pt>
                <c:pt idx="95">
                  <c:v>1.5548076787878786</c:v>
                </c:pt>
                <c:pt idx="96">
                  <c:v>1.5170220438672437</c:v>
                </c:pt>
                <c:pt idx="97">
                  <c:v>1.4398781173843702</c:v>
                </c:pt>
              </c:numCache>
            </c:numRef>
          </c:val>
          <c:smooth val="0"/>
          <c:extLst>
            <c:ext xmlns:c16="http://schemas.microsoft.com/office/drawing/2014/chart" uri="{C3380CC4-5D6E-409C-BE32-E72D297353CC}">
              <c16:uniqueId val="{00000001-F29D-477C-9602-C7F4F160B75A}"/>
            </c:ext>
          </c:extLst>
        </c:ser>
        <c:dLbls>
          <c:showLegendKey val="0"/>
          <c:showVal val="0"/>
          <c:showCatName val="0"/>
          <c:showSerName val="0"/>
          <c:showPercent val="0"/>
          <c:showBubbleSize val="0"/>
        </c:dLbls>
        <c:smooth val="0"/>
        <c:axId val="279902592"/>
        <c:axId val="279903152"/>
      </c:lineChart>
      <c:dateAx>
        <c:axId val="279902592"/>
        <c:scaling>
          <c:orientation val="minMax"/>
        </c:scaling>
        <c:delete val="0"/>
        <c:axPos val="b"/>
        <c:numFmt formatCode="mmm\-yy" sourceLinked="0"/>
        <c:majorTickMark val="out"/>
        <c:minorTickMark val="out"/>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79903152"/>
        <c:crosses val="autoZero"/>
        <c:auto val="1"/>
        <c:lblOffset val="100"/>
        <c:baseTimeUnit val="months"/>
        <c:majorUnit val="5"/>
        <c:majorTimeUnit val="months"/>
        <c:minorUnit val="1"/>
        <c:minorTimeUnit val="months"/>
      </c:dateAx>
      <c:valAx>
        <c:axId val="279903152"/>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r>
                  <a:rPr lang="en-US"/>
                  <a:t>$ per gallon</a:t>
                </a:r>
              </a:p>
            </c:rich>
          </c:tx>
          <c:layout>
            <c:manualLayout>
              <c:xMode val="edge"/>
              <c:yMode val="edge"/>
              <c:x val="6.2199816296337898E-3"/>
              <c:y val="0.29087874842416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79902592"/>
        <c:crosses val="autoZero"/>
        <c:crossBetween val="between"/>
      </c:valAx>
      <c:spPr>
        <a:noFill/>
        <a:ln>
          <a:noFill/>
        </a:ln>
        <a:effectLst/>
      </c:spPr>
    </c:plotArea>
    <c:legend>
      <c:legendPos val="b"/>
      <c:layout>
        <c:manualLayout>
          <c:xMode val="edge"/>
          <c:yMode val="edge"/>
          <c:x val="0.14969400367775323"/>
          <c:y val="0.25959172508432088"/>
          <c:w val="0.44559954387822004"/>
          <c:h val="8.0265499548101096E-2"/>
        </c:manualLayout>
      </c:layout>
      <c:overlay val="0"/>
      <c:spPr>
        <a:solidFill>
          <a:schemeClr val="bg1"/>
        </a:solidFill>
        <a:ln>
          <a:solidFill>
            <a:schemeClr val="accent1"/>
          </a:solidFill>
        </a:ln>
        <a:effectLst/>
      </c:spPr>
      <c:txPr>
        <a:bodyPr rot="0" spcFirstLastPara="1" vertOverflow="ellipsis" vert="horz"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a:latin typeface="Arial Narrow" panose="020B0606020202030204" pitchFamily="34" charset="0"/>
        </a:defRPr>
      </a:pPr>
      <a:endParaRPr lang="en-US"/>
    </a:p>
  </c:txPr>
  <c:printSettings>
    <c:headerFooter alignWithMargins="0"/>
    <c:pageMargins b="1" l="0.750000000000002" r="0.750000000000002" t="1" header="0.5" footer="0.5"/>
    <c:pageSetup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chemeClr val="tx2"/>
                </a:solidFill>
                <a:latin typeface="Arial Narrow" panose="020B0606020202030204" pitchFamily="34" charset="0"/>
                <a:ea typeface="+mn-ea"/>
                <a:cs typeface="+mn-cs"/>
              </a:defRPr>
            </a:pPr>
            <a:r>
              <a:rPr lang="en-US"/>
              <a:t>Corn Sale Price and Corn Breakeven Sale Price</a:t>
            </a:r>
            <a:endParaRPr lang="en-US" b="0"/>
          </a:p>
          <a:p>
            <a:pPr>
              <a:defRPr/>
            </a:pPr>
            <a:r>
              <a:rPr lang="en-US" b="0"/>
              <a:t>(Corn breakeven = Total revenue less all costs-except corn) </a:t>
            </a:r>
          </a:p>
        </c:rich>
      </c:tx>
      <c:layout>
        <c:manualLayout>
          <c:xMode val="edge"/>
          <c:yMode val="edge"/>
          <c:x val="0.27034650634806817"/>
          <c:y val="3.3338559217330324E-2"/>
        </c:manualLayout>
      </c:layout>
      <c:overlay val="0"/>
      <c:spPr>
        <a:noFill/>
        <a:ln>
          <a:noFill/>
        </a:ln>
        <a:effectLst/>
      </c:spPr>
      <c:txPr>
        <a:bodyPr rot="0" spcFirstLastPara="1" vertOverflow="ellipsis" vert="horz" wrap="square" anchor="ctr" anchorCtr="1"/>
        <a:lstStyle/>
        <a:p>
          <a:pPr>
            <a:defRPr sz="1440" b="1" i="0" u="none" strike="noStrike" kern="1200" baseline="0">
              <a:solidFill>
                <a:schemeClr val="tx2"/>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18823084316818"/>
          <c:y val="0.22253237123750499"/>
          <c:w val="0.86014894635014227"/>
          <c:h val="0.51690638670166233"/>
        </c:manualLayout>
      </c:layout>
      <c:lineChart>
        <c:grouping val="standard"/>
        <c:varyColors val="0"/>
        <c:ser>
          <c:idx val="0"/>
          <c:order val="0"/>
          <c:tx>
            <c:v>Corn breakeven sale price</c:v>
          </c:tx>
          <c:spPr>
            <a:ln w="31750" cap="rnd">
              <a:solidFill>
                <a:schemeClr val="accent1"/>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[0]!AW</c:f>
              <c:numCache>
                <c:formatCode>_("$"* #,##0.00_);_("$"* \(#,##0.00\);_("$"* "-"??_);_(@_)</c:formatCode>
                <c:ptCount val="98"/>
                <c:pt idx="0">
                  <c:v>3.0624059567702169</c:v>
                </c:pt>
                <c:pt idx="1">
                  <c:v>3.3293863892367992</c:v>
                </c:pt>
                <c:pt idx="2">
                  <c:v>3.2260790784143745</c:v>
                </c:pt>
                <c:pt idx="3">
                  <c:v>3.6189305072064712</c:v>
                </c:pt>
                <c:pt idx="4">
                  <c:v>3.9291876296788248</c:v>
                </c:pt>
                <c:pt idx="5">
                  <c:v>4.3899738660722658</c:v>
                </c:pt>
                <c:pt idx="6">
                  <c:v>3.9568289354423198</c:v>
                </c:pt>
                <c:pt idx="7">
                  <c:v>3.3847399175501245</c:v>
                </c:pt>
                <c:pt idx="8">
                  <c:v>3.5657697783601936</c:v>
                </c:pt>
                <c:pt idx="9">
                  <c:v>3.7452181611994448</c:v>
                </c:pt>
                <c:pt idx="10">
                  <c:v>3.8372439130495457</c:v>
                </c:pt>
                <c:pt idx="11">
                  <c:v>4.0667855330910658</c:v>
                </c:pt>
                <c:pt idx="12">
                  <c:v>3.3291288216272461</c:v>
                </c:pt>
                <c:pt idx="13">
                  <c:v>3.2845756560197659</c:v>
                </c:pt>
                <c:pt idx="14">
                  <c:v>3.3107154217643462</c:v>
                </c:pt>
                <c:pt idx="15">
                  <c:v>3.7225488539034952</c:v>
                </c:pt>
                <c:pt idx="16">
                  <c:v>3.437982024422046</c:v>
                </c:pt>
                <c:pt idx="17">
                  <c:v>3.6403929583586216</c:v>
                </c:pt>
                <c:pt idx="18">
                  <c:v>3.5806913559412448</c:v>
                </c:pt>
                <c:pt idx="19">
                  <c:v>3.6822384176453058</c:v>
                </c:pt>
                <c:pt idx="20">
                  <c:v>3.7045688121143487</c:v>
                </c:pt>
                <c:pt idx="21">
                  <c:v>3.4536062551432649</c:v>
                </c:pt>
                <c:pt idx="22">
                  <c:v>3.3687839116600671</c:v>
                </c:pt>
                <c:pt idx="23">
                  <c:v>3.125026445974461</c:v>
                </c:pt>
                <c:pt idx="24">
                  <c:v>3.2096674957725071</c:v>
                </c:pt>
                <c:pt idx="25">
                  <c:v>3.4261436412780895</c:v>
                </c:pt>
                <c:pt idx="26">
                  <c:v>3.7323975274535988</c:v>
                </c:pt>
                <c:pt idx="27">
                  <c:v>3.8842279406117552</c:v>
                </c:pt>
                <c:pt idx="28">
                  <c:v>4.0137188685431511</c:v>
                </c:pt>
                <c:pt idx="29">
                  <c:v>3.8247397495626361</c:v>
                </c:pt>
                <c:pt idx="30">
                  <c:v>3.4964734345636002</c:v>
                </c:pt>
                <c:pt idx="31">
                  <c:v>3.4633188843621756</c:v>
                </c:pt>
                <c:pt idx="32">
                  <c:v>3.0808588773456727</c:v>
                </c:pt>
                <c:pt idx="33">
                  <c:v>3.0243033559319343</c:v>
                </c:pt>
                <c:pt idx="34">
                  <c:v>3.0775413871983197</c:v>
                </c:pt>
                <c:pt idx="35">
                  <c:v>3.098499470077611</c:v>
                </c:pt>
                <c:pt idx="36">
                  <c:v>3.1712524786233978</c:v>
                </c:pt>
                <c:pt idx="37">
                  <c:v>3.1760455079614633</c:v>
                </c:pt>
                <c:pt idx="38">
                  <c:v>3.4020326128532847</c:v>
                </c:pt>
                <c:pt idx="39">
                  <c:v>3.4287733648888867</c:v>
                </c:pt>
                <c:pt idx="40">
                  <c:v>3.1671783585251028</c:v>
                </c:pt>
                <c:pt idx="41">
                  <c:v>3.8288113858393347</c:v>
                </c:pt>
                <c:pt idx="42">
                  <c:v>3.9423761316957506</c:v>
                </c:pt>
                <c:pt idx="43">
                  <c:v>3.5665625132460179</c:v>
                </c:pt>
                <c:pt idx="44">
                  <c:v>3.4129389096215883</c:v>
                </c:pt>
                <c:pt idx="45">
                  <c:v>3.9900167306866048</c:v>
                </c:pt>
                <c:pt idx="46">
                  <c:v>3.8328722643342492</c:v>
                </c:pt>
                <c:pt idx="47">
                  <c:v>3.6509014109805733</c:v>
                </c:pt>
                <c:pt idx="48">
                  <c:v>3.2809783313453842</c:v>
                </c:pt>
                <c:pt idx="49">
                  <c:v>3.3424938021544128</c:v>
                </c:pt>
                <c:pt idx="50">
                  <c:v>2.9003186074598708</c:v>
                </c:pt>
                <c:pt idx="51">
                  <c:v>2.448256624231036</c:v>
                </c:pt>
                <c:pt idx="52">
                  <c:v>2.6613522252881041</c:v>
                </c:pt>
                <c:pt idx="53">
                  <c:v>3.0987298236597232</c:v>
                </c:pt>
                <c:pt idx="54">
                  <c:v>3.2820951595973118</c:v>
                </c:pt>
                <c:pt idx="55">
                  <c:v>2.9875064903263904</c:v>
                </c:pt>
                <c:pt idx="56">
                  <c:v>3.4211922256440297</c:v>
                </c:pt>
                <c:pt idx="57">
                  <c:v>3.8033221395749224</c:v>
                </c:pt>
                <c:pt idx="58">
                  <c:v>3.9928700495194667</c:v>
                </c:pt>
                <c:pt idx="59">
                  <c:v>3.7274504981465642</c:v>
                </c:pt>
                <c:pt idx="60">
                  <c:v>4.4302404676477263</c:v>
                </c:pt>
                <c:pt idx="61">
                  <c:v>4.7462072539630418</c:v>
                </c:pt>
                <c:pt idx="62">
                  <c:v>5.3491730162741176</c:v>
                </c:pt>
                <c:pt idx="63">
                  <c:v>5.9600954784089133</c:v>
                </c:pt>
                <c:pt idx="64">
                  <c:v>7.5083989463142045</c:v>
                </c:pt>
                <c:pt idx="65">
                  <c:v>6.8968748153150319</c:v>
                </c:pt>
                <c:pt idx="66">
                  <c:v>6.1793600904346491</c:v>
                </c:pt>
                <c:pt idx="67">
                  <c:v>6.2709606095098591</c:v>
                </c:pt>
                <c:pt idx="68">
                  <c:v>6.6847383446116764</c:v>
                </c:pt>
                <c:pt idx="69">
                  <c:v>6.8663039986351633</c:v>
                </c:pt>
                <c:pt idx="70">
                  <c:v>8.6932113674930243</c:v>
                </c:pt>
                <c:pt idx="71">
                  <c:v>8.549610530826941</c:v>
                </c:pt>
                <c:pt idx="72">
                  <c:v>6.4124662883320962</c:v>
                </c:pt>
                <c:pt idx="73">
                  <c:v>6.1698704876748858</c:v>
                </c:pt>
                <c:pt idx="74">
                  <c:v>7.3968738412291435</c:v>
                </c:pt>
                <c:pt idx="75">
                  <c:v>8.0837089715848744</c:v>
                </c:pt>
                <c:pt idx="76">
                  <c:v>8.5872538103798544</c:v>
                </c:pt>
                <c:pt idx="77">
                  <c:v>8.1093088661340378</c:v>
                </c:pt>
                <c:pt idx="78">
                  <c:v>7.4137723675421103</c:v>
                </c:pt>
                <c:pt idx="79">
                  <c:v>7.4471309368831173</c:v>
                </c:pt>
                <c:pt idx="80">
                  <c:v>7.3513422654545453</c:v>
                </c:pt>
                <c:pt idx="81">
                  <c:v>7.2544783654545464</c:v>
                </c:pt>
                <c:pt idx="82">
                  <c:v>7.4667112583116886</c:v>
                </c:pt>
                <c:pt idx="83">
                  <c:v>6.5161008654545443</c:v>
                </c:pt>
                <c:pt idx="84">
                  <c:v>6.6594006154545466</c:v>
                </c:pt>
                <c:pt idx="85">
                  <c:v>6.359930865454543</c:v>
                </c:pt>
                <c:pt idx="86">
                  <c:v>6.5559322654545449</c:v>
                </c:pt>
                <c:pt idx="87">
                  <c:v>7.2937458654545457</c:v>
                </c:pt>
                <c:pt idx="88">
                  <c:v>7.1505741154545461</c:v>
                </c:pt>
                <c:pt idx="89">
                  <c:v>7.1136277797402592</c:v>
                </c:pt>
                <c:pt idx="90">
                  <c:v>7.0272621154545449</c:v>
                </c:pt>
                <c:pt idx="91">
                  <c:v>6.3412258654545459</c:v>
                </c:pt>
                <c:pt idx="92">
                  <c:v>6.6614295987878798</c:v>
                </c:pt>
                <c:pt idx="93">
                  <c:v>6.4683941154545463</c:v>
                </c:pt>
                <c:pt idx="94">
                  <c:v>5.6521251987878784</c:v>
                </c:pt>
                <c:pt idx="95">
                  <c:v>4.9129856154545468</c:v>
                </c:pt>
                <c:pt idx="96">
                  <c:v>4.4623446154545459</c:v>
                </c:pt>
                <c:pt idx="97">
                  <c:v>4.3614361154545467</c:v>
                </c:pt>
              </c:numCache>
            </c:numRef>
          </c:val>
          <c:smooth val="0"/>
          <c:extLst>
            <c:ext xmlns:c16="http://schemas.microsoft.com/office/drawing/2014/chart" uri="{C3380CC4-5D6E-409C-BE32-E72D297353CC}">
              <c16:uniqueId val="{00000000-4810-4528-A797-8510915F2D29}"/>
            </c:ext>
          </c:extLst>
        </c:ser>
        <c:dLbls>
          <c:showLegendKey val="0"/>
          <c:showVal val="0"/>
          <c:showCatName val="0"/>
          <c:showSerName val="0"/>
          <c:showPercent val="0"/>
          <c:showBubbleSize val="0"/>
        </c:dLbls>
        <c:marker val="1"/>
        <c:smooth val="0"/>
        <c:axId val="286499248"/>
        <c:axId val="286479504"/>
      </c:lineChart>
      <c:lineChart>
        <c:grouping val="standard"/>
        <c:varyColors val="0"/>
        <c:ser>
          <c:idx val="1"/>
          <c:order val="1"/>
          <c:tx>
            <c:v>Corn sale price</c:v>
          </c:tx>
          <c:spPr>
            <a:ln w="31750" cap="rnd">
              <a:solidFill>
                <a:schemeClr val="accent2"/>
              </a:solidFill>
              <a:round/>
            </a:ln>
            <a:effectLst>
              <a:outerShdw blurRad="40000" dist="23000" dir="5400000" rotWithShape="0">
                <a:srgbClr val="000000">
                  <a:alpha val="35000"/>
                </a:srgbClr>
              </a:outerShdw>
            </a:effectLst>
          </c:spPr>
          <c:marker>
            <c:symbol val="none"/>
          </c:marker>
          <c:cat>
            <c:numRef>
              <c:f>[0]!Date</c:f>
              <c:numCache>
                <c:formatCode>mmm\-yy</c:formatCode>
                <c:ptCount val="10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43484</c:v>
                </c:pt>
                <c:pt idx="37">
                  <c:v>43515</c:v>
                </c:pt>
                <c:pt idx="38">
                  <c:v>43543</c:v>
                </c:pt>
                <c:pt idx="39">
                  <c:v>43574</c:v>
                </c:pt>
                <c:pt idx="40">
                  <c:v>43604</c:v>
                </c:pt>
                <c:pt idx="41">
                  <c:v>43635</c:v>
                </c:pt>
                <c:pt idx="42">
                  <c:v>43665</c:v>
                </c:pt>
                <c:pt idx="43">
                  <c:v>43696</c:v>
                </c:pt>
                <c:pt idx="44">
                  <c:v>43727</c:v>
                </c:pt>
                <c:pt idx="45">
                  <c:v>43757</c:v>
                </c:pt>
                <c:pt idx="46">
                  <c:v>43788</c:v>
                </c:pt>
                <c:pt idx="47">
                  <c:v>43818</c:v>
                </c:pt>
                <c:pt idx="48">
                  <c:v>43849</c:v>
                </c:pt>
                <c:pt idx="49">
                  <c:v>43880</c:v>
                </c:pt>
                <c:pt idx="50">
                  <c:v>43909</c:v>
                </c:pt>
                <c:pt idx="51">
                  <c:v>43940</c:v>
                </c:pt>
                <c:pt idx="52">
                  <c:v>43970</c:v>
                </c:pt>
                <c:pt idx="53">
                  <c:v>44001</c:v>
                </c:pt>
                <c:pt idx="54">
                  <c:v>44031</c:v>
                </c:pt>
                <c:pt idx="55">
                  <c:v>44062</c:v>
                </c:pt>
                <c:pt idx="56">
                  <c:v>44093</c:v>
                </c:pt>
                <c:pt idx="57">
                  <c:v>44123</c:v>
                </c:pt>
                <c:pt idx="58">
                  <c:v>44154</c:v>
                </c:pt>
                <c:pt idx="59">
                  <c:v>44184</c:v>
                </c:pt>
                <c:pt idx="60">
                  <c:v>44215</c:v>
                </c:pt>
                <c:pt idx="61">
                  <c:v>44246</c:v>
                </c:pt>
                <c:pt idx="62">
                  <c:v>44274</c:v>
                </c:pt>
                <c:pt idx="63">
                  <c:v>44305</c:v>
                </c:pt>
                <c:pt idx="64">
                  <c:v>44335</c:v>
                </c:pt>
                <c:pt idx="65">
                  <c:v>44366</c:v>
                </c:pt>
                <c:pt idx="66">
                  <c:v>44396</c:v>
                </c:pt>
                <c:pt idx="67">
                  <c:v>44427</c:v>
                </c:pt>
                <c:pt idx="68">
                  <c:v>44458</c:v>
                </c:pt>
                <c:pt idx="69">
                  <c:v>44488</c:v>
                </c:pt>
                <c:pt idx="70">
                  <c:v>44519</c:v>
                </c:pt>
                <c:pt idx="71">
                  <c:v>44549</c:v>
                </c:pt>
                <c:pt idx="72">
                  <c:v>44580</c:v>
                </c:pt>
                <c:pt idx="73">
                  <c:v>44611</c:v>
                </c:pt>
                <c:pt idx="74">
                  <c:v>44639</c:v>
                </c:pt>
                <c:pt idx="75">
                  <c:v>44670</c:v>
                </c:pt>
                <c:pt idx="76">
                  <c:v>44700</c:v>
                </c:pt>
                <c:pt idx="77">
                  <c:v>44731</c:v>
                </c:pt>
                <c:pt idx="78">
                  <c:v>44761</c:v>
                </c:pt>
                <c:pt idx="79">
                  <c:v>44792</c:v>
                </c:pt>
                <c:pt idx="80">
                  <c:v>44823</c:v>
                </c:pt>
                <c:pt idx="81">
                  <c:v>44853</c:v>
                </c:pt>
                <c:pt idx="82">
                  <c:v>44884</c:v>
                </c:pt>
                <c:pt idx="83">
                  <c:v>44914</c:v>
                </c:pt>
                <c:pt idx="84">
                  <c:v>44945</c:v>
                </c:pt>
                <c:pt idx="85">
                  <c:v>44976</c:v>
                </c:pt>
                <c:pt idx="86">
                  <c:v>45004</c:v>
                </c:pt>
                <c:pt idx="87">
                  <c:v>45035</c:v>
                </c:pt>
                <c:pt idx="88">
                  <c:v>45065</c:v>
                </c:pt>
                <c:pt idx="89">
                  <c:v>45096</c:v>
                </c:pt>
                <c:pt idx="90">
                  <c:v>45126</c:v>
                </c:pt>
                <c:pt idx="91">
                  <c:v>45157</c:v>
                </c:pt>
                <c:pt idx="92">
                  <c:v>45188</c:v>
                </c:pt>
                <c:pt idx="93">
                  <c:v>45218</c:v>
                </c:pt>
                <c:pt idx="94">
                  <c:v>45249</c:v>
                </c:pt>
                <c:pt idx="95">
                  <c:v>45279</c:v>
                </c:pt>
                <c:pt idx="96">
                  <c:v>45310</c:v>
                </c:pt>
                <c:pt idx="97">
                  <c:v>45341</c:v>
                </c:pt>
                <c:pt idx="98">
                  <c:v>45370</c:v>
                </c:pt>
                <c:pt idx="99">
                  <c:v>45401</c:v>
                </c:pt>
                <c:pt idx="100">
                  <c:v>45431</c:v>
                </c:pt>
                <c:pt idx="101">
                  <c:v>45462</c:v>
                </c:pt>
                <c:pt idx="102">
                  <c:v>45492</c:v>
                </c:pt>
                <c:pt idx="103">
                  <c:v>45523</c:v>
                </c:pt>
              </c:numCache>
            </c:numRef>
          </c:cat>
          <c:val>
            <c:numRef>
              <c:f>[0]!AU</c:f>
              <c:numCache>
                <c:formatCode>_("$"* #,##0.00_);_("$"* \(#,##0.00\);_("$"* "-"??_);_(@_)</c:formatCode>
                <c:ptCount val="98"/>
                <c:pt idx="0">
                  <c:v>3.4529276250538077</c:v>
                </c:pt>
                <c:pt idx="1">
                  <c:v>3.4756249994039536</c:v>
                </c:pt>
                <c:pt idx="2">
                  <c:v>3.4381521688336911</c:v>
                </c:pt>
                <c:pt idx="3">
                  <c:v>3.4765476158687045</c:v>
                </c:pt>
                <c:pt idx="4">
                  <c:v>3.607440488792601</c:v>
                </c:pt>
                <c:pt idx="5">
                  <c:v>3.7821590792049062</c:v>
                </c:pt>
                <c:pt idx="6">
                  <c:v>3.1680624932050705</c:v>
                </c:pt>
                <c:pt idx="7">
                  <c:v>3.0150543373564016</c:v>
                </c:pt>
                <c:pt idx="8">
                  <c:v>3.0030059619176956</c:v>
                </c:pt>
                <c:pt idx="9">
                  <c:v>3.1482142891202698</c:v>
                </c:pt>
                <c:pt idx="10">
                  <c:v>3.1478749930999999</c:v>
                </c:pt>
                <c:pt idx="11">
                  <c:v>3.2467857101985</c:v>
                </c:pt>
                <c:pt idx="12">
                  <c:v>3.3792499899864001</c:v>
                </c:pt>
                <c:pt idx="13">
                  <c:v>3.4148684143999999</c:v>
                </c:pt>
                <c:pt idx="14">
                  <c:v>3.340516311</c:v>
                </c:pt>
                <c:pt idx="15">
                  <c:v>3.363593751192</c:v>
                </c:pt>
                <c:pt idx="16">
                  <c:v>3.3967613659100002</c:v>
                </c:pt>
                <c:pt idx="17">
                  <c:v>3.3717897724000001</c:v>
                </c:pt>
                <c:pt idx="18">
                  <c:v>3.4018750101299999</c:v>
                </c:pt>
                <c:pt idx="19">
                  <c:v>3.1971591061</c:v>
                </c:pt>
                <c:pt idx="20">
                  <c:v>3.1779375314712524</c:v>
                </c:pt>
                <c:pt idx="21">
                  <c:v>3.1547619161151705</c:v>
                </c:pt>
                <c:pt idx="22">
                  <c:v>3.1341874897480011</c:v>
                </c:pt>
                <c:pt idx="23">
                  <c:v>3.2322500169277193</c:v>
                </c:pt>
                <c:pt idx="24">
                  <c:v>3.2836904667672657</c:v>
                </c:pt>
                <c:pt idx="25">
                  <c:v>3.393486854277159</c:v>
                </c:pt>
                <c:pt idx="26">
                  <c:v>3.4911931753158569</c:v>
                </c:pt>
                <c:pt idx="27">
                  <c:v>3.5705681903795763</c:v>
                </c:pt>
                <c:pt idx="28">
                  <c:v>3.6963352371345866</c:v>
                </c:pt>
                <c:pt idx="29">
                  <c:v>3.3921131037530445</c:v>
                </c:pt>
                <c:pt idx="30">
                  <c:v>3.2088987855684188</c:v>
                </c:pt>
                <c:pt idx="31">
                  <c:v>3.2968913057576055</c:v>
                </c:pt>
                <c:pt idx="32">
                  <c:v>3.1718125075101851</c:v>
                </c:pt>
                <c:pt idx="33">
                  <c:v>3.29</c:v>
                </c:pt>
                <c:pt idx="34">
                  <c:v>3.3720625042915344</c:v>
                </c:pt>
                <c:pt idx="35">
                  <c:v>3.4561397152788498</c:v>
                </c:pt>
                <c:pt idx="36">
                  <c:v>3.5409523873102096</c:v>
                </c:pt>
                <c:pt idx="37">
                  <c:v>3.5677430596616535</c:v>
                </c:pt>
                <c:pt idx="38">
                  <c:v>3.5518154672213962</c:v>
                </c:pt>
                <c:pt idx="39">
                  <c:v>3.4867613561586897</c:v>
                </c:pt>
                <c:pt idx="40">
                  <c:v>3.6257142708415078</c:v>
                </c:pt>
                <c:pt idx="41">
                  <c:v>4.1613750010728836</c:v>
                </c:pt>
                <c:pt idx="42">
                  <c:v>4.2723295390605927</c:v>
                </c:pt>
                <c:pt idx="43">
                  <c:v>3.7810795588926838</c:v>
                </c:pt>
                <c:pt idx="44">
                  <c:v>3.6517812460660934</c:v>
                </c:pt>
                <c:pt idx="45">
                  <c:v>3.8441250085830689</c:v>
                </c:pt>
                <c:pt idx="46">
                  <c:v>3.6492434172881274</c:v>
                </c:pt>
                <c:pt idx="47">
                  <c:v>3.7299374938011169</c:v>
                </c:pt>
                <c:pt idx="48">
                  <c:v>3.8147618884132024</c:v>
                </c:pt>
                <c:pt idx="49">
                  <c:v>3.7578947364656554</c:v>
                </c:pt>
                <c:pt idx="50">
                  <c:v>3.4467613620107822</c:v>
                </c:pt>
                <c:pt idx="51">
                  <c:v>2.9318181845274838</c:v>
                </c:pt>
                <c:pt idx="52">
                  <c:v>2.9458437502384185</c:v>
                </c:pt>
                <c:pt idx="53">
                  <c:v>3.1045238082749504</c:v>
                </c:pt>
                <c:pt idx="54">
                  <c:v>3.1061363734982232</c:v>
                </c:pt>
                <c:pt idx="55">
                  <c:v>3.0920833405994235</c:v>
                </c:pt>
                <c:pt idx="56">
                  <c:v>3.5054761966069541</c:v>
                </c:pt>
                <c:pt idx="57">
                  <c:v>3.8160714166504994</c:v>
                </c:pt>
                <c:pt idx="58">
                  <c:v>4.0791776180267334</c:v>
                </c:pt>
                <c:pt idx="59">
                  <c:v>4.254047603834243</c:v>
                </c:pt>
                <c:pt idx="60">
                  <c:v>4.9731578990032794</c:v>
                </c:pt>
                <c:pt idx="61">
                  <c:v>5.3529276283163769</c:v>
                </c:pt>
                <c:pt idx="62">
                  <c:v>5.3846739115922349</c:v>
                </c:pt>
                <c:pt idx="63">
                  <c:v>6.0182440564745949</c:v>
                </c:pt>
                <c:pt idx="64">
                  <c:v>7.0493750095367433</c:v>
                </c:pt>
                <c:pt idx="65">
                  <c:v>6.8402556885372512</c:v>
                </c:pt>
                <c:pt idx="66">
                  <c:v>6.4829999983310698</c:v>
                </c:pt>
                <c:pt idx="67">
                  <c:v>6.3334659121253276</c:v>
                </c:pt>
                <c:pt idx="68">
                  <c:v>5.5563987890879316</c:v>
                </c:pt>
                <c:pt idx="69">
                  <c:v>5.302375012636185</c:v>
                </c:pt>
                <c:pt idx="70">
                  <c:v>5.6642624855041506</c:v>
                </c:pt>
                <c:pt idx="71">
                  <c:v>5.9232142823083063</c:v>
                </c:pt>
                <c:pt idx="72">
                  <c:v>6.0421250224113461</c:v>
                </c:pt>
                <c:pt idx="73">
                  <c:v>6.3834539338162068</c:v>
                </c:pt>
                <c:pt idx="74">
                  <c:v>7.1393478538679043</c:v>
                </c:pt>
                <c:pt idx="75">
                  <c:v>7.7159226281302313</c:v>
                </c:pt>
                <c:pt idx="76">
                  <c:v>7.7598059213764614</c:v>
                </c:pt>
                <c:pt idx="77">
                  <c:v>7.8222812652587894</c:v>
                </c:pt>
                <c:pt idx="78">
                  <c:v>7.2395816596730533</c:v>
                </c:pt>
                <c:pt idx="79">
                  <c:v>7.3412826086956509</c:v>
                </c:pt>
                <c:pt idx="80">
                  <c:v>7.3726690476190493</c:v>
                </c:pt>
                <c:pt idx="81">
                  <c:v>6.8905924999999995</c:v>
                </c:pt>
                <c:pt idx="82">
                  <c:v>6.8072833333333325</c:v>
                </c:pt>
                <c:pt idx="83">
                  <c:v>6.760990476190476</c:v>
                </c:pt>
                <c:pt idx="84">
                  <c:v>6.8669299999999991</c:v>
                </c:pt>
                <c:pt idx="85">
                  <c:v>6.8781421052631577</c:v>
                </c:pt>
                <c:pt idx="86">
                  <c:v>6.567354347826087</c:v>
                </c:pt>
                <c:pt idx="87">
                  <c:v>6.7493999999999987</c:v>
                </c:pt>
                <c:pt idx="88">
                  <c:v>6.3973863636363628</c:v>
                </c:pt>
                <c:pt idx="89">
                  <c:v>6.5461833333333352</c:v>
                </c:pt>
                <c:pt idx="90">
                  <c:v>5.9301549999999992</c:v>
                </c:pt>
                <c:pt idx="91">
                  <c:v>5.5886043478260872</c:v>
                </c:pt>
                <c:pt idx="92">
                  <c:v>4.8854025000000005</c:v>
                </c:pt>
                <c:pt idx="93">
                  <c:v>4.7835357142857138</c:v>
                </c:pt>
                <c:pt idx="94">
                  <c:v>4.7615249999999989</c:v>
                </c:pt>
                <c:pt idx="95">
                  <c:v>4.8121174999999994</c:v>
                </c:pt>
                <c:pt idx="96">
                  <c:v>4.5717761904761911</c:v>
                </c:pt>
                <c:pt idx="97">
                  <c:v>4.3014525000000008</c:v>
                </c:pt>
              </c:numCache>
            </c:numRef>
          </c:val>
          <c:smooth val="0"/>
          <c:extLst>
            <c:ext xmlns:c16="http://schemas.microsoft.com/office/drawing/2014/chart" uri="{C3380CC4-5D6E-409C-BE32-E72D297353CC}">
              <c16:uniqueId val="{00000001-4810-4528-A797-8510915F2D29}"/>
            </c:ext>
          </c:extLst>
        </c:ser>
        <c:dLbls>
          <c:showLegendKey val="0"/>
          <c:showVal val="0"/>
          <c:showCatName val="0"/>
          <c:showSerName val="0"/>
          <c:showPercent val="0"/>
          <c:showBubbleSize val="0"/>
        </c:dLbls>
        <c:marker val="1"/>
        <c:smooth val="0"/>
        <c:axId val="286480064"/>
        <c:axId val="286480624"/>
      </c:lineChart>
      <c:dateAx>
        <c:axId val="286499248"/>
        <c:scaling>
          <c:orientation val="minMax"/>
        </c:scaling>
        <c:delete val="0"/>
        <c:axPos val="b"/>
        <c:numFmt formatCode="mmm\-yy" sourceLinked="0"/>
        <c:majorTickMark val="out"/>
        <c:minorTickMark val="out"/>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86479504"/>
        <c:crosses val="autoZero"/>
        <c:auto val="1"/>
        <c:lblOffset val="100"/>
        <c:baseTimeUnit val="months"/>
        <c:majorUnit val="5"/>
        <c:majorTimeUnit val="months"/>
        <c:minorUnit val="1"/>
        <c:minorTimeUnit val="months"/>
      </c:dateAx>
      <c:valAx>
        <c:axId val="28647950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r>
                  <a:rPr lang="en-US"/>
                  <a:t>$ per bushel</a:t>
                </a:r>
              </a:p>
            </c:rich>
          </c:tx>
          <c:layout>
            <c:manualLayout>
              <c:xMode val="edge"/>
              <c:yMode val="edge"/>
              <c:x val="6.2199816296337898E-3"/>
              <c:y val="0.29244681497075198"/>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2"/>
                  </a:solidFill>
                  <a:latin typeface="Arial Narrow" panose="020B0606020202030204" pitchFamily="34" charset="0"/>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86499248"/>
        <c:crosses val="autoZero"/>
        <c:crossBetween val="between"/>
      </c:valAx>
      <c:dateAx>
        <c:axId val="286480064"/>
        <c:scaling>
          <c:orientation val="minMax"/>
        </c:scaling>
        <c:delete val="1"/>
        <c:axPos val="b"/>
        <c:numFmt formatCode="mmm\-yy" sourceLinked="1"/>
        <c:majorTickMark val="out"/>
        <c:minorTickMark val="none"/>
        <c:tickLblPos val="none"/>
        <c:crossAx val="286480624"/>
        <c:crosses val="autoZero"/>
        <c:auto val="1"/>
        <c:lblOffset val="100"/>
        <c:baseTimeUnit val="months"/>
      </c:dateAx>
      <c:valAx>
        <c:axId val="286480624"/>
        <c:scaling>
          <c:orientation val="minMax"/>
        </c:scaling>
        <c:delete val="0"/>
        <c:axPos val="r"/>
        <c:numFmt formatCode="_(&quot;$&quot;* #,##0.00_);_(&quot;$&quot;* \(#,##0.00\);_(&quot;$&quot;* &quot;-&quot;??_);_(@_)" sourceLinked="1"/>
        <c:majorTickMark val="none"/>
        <c:minorTickMark val="none"/>
        <c:tickLblPos val="none"/>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crossAx val="286480064"/>
        <c:crosses val="max"/>
        <c:crossBetween val="between"/>
      </c:valAx>
      <c:spPr>
        <a:noFill/>
        <a:ln>
          <a:noFill/>
        </a:ln>
        <a:effectLst/>
      </c:spPr>
    </c:plotArea>
    <c:legend>
      <c:legendPos val="b"/>
      <c:layout>
        <c:manualLayout>
          <c:xMode val="edge"/>
          <c:yMode val="edge"/>
          <c:x val="0.14598657064581028"/>
          <c:y val="0.25473093136085262"/>
          <c:w val="0.40314774379897383"/>
          <c:h val="7.8602401972480723E-2"/>
        </c:manualLayout>
      </c:layout>
      <c:overlay val="0"/>
      <c:spPr>
        <a:solidFill>
          <a:schemeClr val="bg1"/>
        </a:solidFill>
        <a:ln>
          <a:solidFill>
            <a:schemeClr val="accent1"/>
          </a:solidFill>
        </a:ln>
        <a:effectLst/>
      </c:spPr>
      <c:txPr>
        <a:bodyPr rot="0" spcFirstLastPara="1" vertOverflow="ellipsis" vert="horz" wrap="square" anchor="ctr" anchorCtr="1"/>
        <a:lstStyle/>
        <a:p>
          <a:pPr>
            <a:defRPr sz="1200" b="0" i="0" u="none" strike="noStrike" kern="1200" baseline="0">
              <a:solidFill>
                <a:schemeClr val="tx2"/>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200">
          <a:latin typeface="Arial Narrow" panose="020B0606020202030204" pitchFamily="34" charset="0"/>
        </a:defRPr>
      </a:pPr>
      <a:endParaRPr lang="en-US"/>
    </a:p>
  </c:txPr>
  <c:printSettings>
    <c:headerFooter alignWithMargins="0"/>
    <c:pageMargins b="1" l="0.750000000000002" r="0.750000000000002" t="1" header="0.5" footer="0.5"/>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barChart>
        <c:barDir val="col"/>
        <c:grouping val="clustered"/>
        <c:varyColors val="0"/>
        <c:dLbls>
          <c:showLegendKey val="0"/>
          <c:showVal val="0"/>
          <c:showCatName val="0"/>
          <c:showSerName val="0"/>
          <c:showPercent val="0"/>
          <c:showBubbleSize val="0"/>
        </c:dLbls>
        <c:gapWidth val="150"/>
        <c:axId val="286482304"/>
        <c:axId val="286482864"/>
      </c:barChart>
      <c:catAx>
        <c:axId val="286482304"/>
        <c:scaling>
          <c:orientation val="minMax"/>
        </c:scaling>
        <c:delete val="0"/>
        <c:axPos val="b"/>
        <c:majorTickMark val="out"/>
        <c:minorTickMark val="none"/>
        <c:tickLblPos val="nextTo"/>
        <c:crossAx val="286482864"/>
        <c:crosses val="autoZero"/>
        <c:auto val="1"/>
        <c:lblAlgn val="ctr"/>
        <c:lblOffset val="100"/>
        <c:noMultiLvlLbl val="0"/>
      </c:catAx>
      <c:valAx>
        <c:axId val="286482864"/>
        <c:scaling>
          <c:orientation val="minMax"/>
        </c:scaling>
        <c:delete val="0"/>
        <c:axPos val="l"/>
        <c:majorGridlines/>
        <c:majorTickMark val="out"/>
        <c:minorTickMark val="none"/>
        <c:tickLblPos val="nextTo"/>
        <c:crossAx val="286482304"/>
        <c:crosses val="autoZero"/>
        <c:crossBetween val="between"/>
      </c:valAx>
    </c:plotArea>
    <c:legend>
      <c:legendPos val="r"/>
      <c:overlay val="0"/>
    </c:legend>
    <c:plotVisOnly val="1"/>
    <c:dispBlanksAs val="gap"/>
    <c:showDLblsOverMax val="0"/>
  </c:chart>
  <c:spPr>
    <a:noFill/>
    <a:ln>
      <a:noFill/>
    </a:ln>
  </c:sp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7.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8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spPr>
      <a:ln w="9525" cap="flat" cmpd="sng" algn="ctr">
        <a:solidFill>
          <a:schemeClr val="tx2">
            <a:lumMod val="40000"/>
            <a:lumOff val="60000"/>
          </a:schemeClr>
        </a:solidFill>
        <a:round/>
      </a:ln>
    </cs:spPr>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3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tabColor theme="4"/>
  </sheetPr>
  <sheetViews>
    <sheetView workbookViewId="0"/>
  </sheetViews>
  <sheetProtection content="1" objects="1"/>
  <pageMargins left="0.7" right="0.7" top="0.75" bottom="0.75" header="0.3" footer="0.3"/>
  <pageSetup orientation="landscape"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Chart10">
    <tabColor theme="4"/>
  </sheetPr>
  <sheetViews>
    <sheetView zoomScale="90" workbookViewId="0"/>
  </sheetViews>
  <sheetProtection content="1" objects="1"/>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11">
    <tabColor theme="4"/>
  </sheetPr>
  <sheetViews>
    <sheetView zoomScale="90" workbookViewId="0"/>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2">
    <tabColor theme="4"/>
  </sheetPr>
  <sheetViews>
    <sheetView workbookViewId="0"/>
  </sheetViews>
  <sheetProtection content="1" objects="1"/>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
    <tabColor theme="4"/>
  </sheetPr>
  <sheetViews>
    <sheetView zoomScale="110" workbookViewId="0"/>
  </sheetViews>
  <sheetProtection content="1" objects="1"/>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4">
    <tabColor theme="4"/>
  </sheetPr>
  <sheetViews>
    <sheetView workbookViewId="0"/>
  </sheetViews>
  <sheetProtection content="1" objects="1"/>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5">
    <tabColor theme="4"/>
  </sheetPr>
  <sheetViews>
    <sheetView workbookViewId="0"/>
  </sheetViews>
  <sheetProtection content="1" objects="1"/>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Chart6">
    <tabColor theme="4"/>
  </sheetPr>
  <sheetViews>
    <sheetView workbookViewId="0"/>
  </sheetViews>
  <sheetProtection content="1" objects="1"/>
  <pageMargins left="0.7" right="0.7" top="0.75" bottom="0.75"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7">
    <tabColor theme="4"/>
  </sheetPr>
  <sheetViews>
    <sheetView zoomScale="90" workbookViewId="0"/>
  </sheetViews>
  <sheetProtection content="1" objects="1"/>
  <pageMargins left="0.7" right="0.7" top="0.75" bottom="0.75" header="0.3" footer="0.3"/>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Chart8">
    <tabColor theme="4"/>
  </sheetPr>
  <sheetViews>
    <sheetView workbookViewId="0"/>
  </sheetViews>
  <sheetProtection content="1" objects="1"/>
  <pageMargins left="0.7" right="0.7" top="0.75" bottom="0.75" header="0.3" footer="0.3"/>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Chart9">
    <tabColor theme="4"/>
  </sheetPr>
  <sheetViews>
    <sheetView workbookViewId="0"/>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xdr:colOff>
          <xdr:row>0</xdr:row>
          <xdr:rowOff>0</xdr:rowOff>
        </xdr:from>
        <xdr:to>
          <xdr:col>7</xdr:col>
          <xdr:colOff>0</xdr:colOff>
          <xdr:row>0</xdr:row>
          <xdr:rowOff>0</xdr:rowOff>
        </xdr:to>
        <xdr:sp macro="" textlink="">
          <xdr:nvSpPr>
            <xdr:cNvPr id="924679" name="Button 7" hidden="1">
              <a:extLst>
                <a:ext uri="{63B3BB69-23CF-44E3-9099-C40C66FF867C}">
                  <a14:compatExt spid="_x0000_s924679"/>
                </a:ext>
                <a:ext uri="{FF2B5EF4-FFF2-40B4-BE49-F238E27FC236}">
                  <a16:creationId xmlns:a16="http://schemas.microsoft.com/office/drawing/2014/main" id="{00000000-0008-0000-0000-0000071C0E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80"/>
                  </a:solidFill>
                  <a:latin typeface="Arial"/>
                  <a:cs typeface="Arial"/>
                </a:rPr>
                <a:t>Return to Introduction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46</xdr:col>
          <xdr:colOff>0</xdr:colOff>
          <xdr:row>0</xdr:row>
          <xdr:rowOff>0</xdr:rowOff>
        </xdr:from>
        <xdr:to>
          <xdr:col>47</xdr:col>
          <xdr:colOff>0</xdr:colOff>
          <xdr:row>0</xdr:row>
          <xdr:rowOff>0</xdr:rowOff>
        </xdr:to>
        <xdr:sp macro="" textlink="">
          <xdr:nvSpPr>
            <xdr:cNvPr id="924683" name="Button 11" hidden="1">
              <a:extLst>
                <a:ext uri="{63B3BB69-23CF-44E3-9099-C40C66FF867C}">
                  <a14:compatExt spid="_x0000_s924683"/>
                </a:ext>
                <a:ext uri="{FF2B5EF4-FFF2-40B4-BE49-F238E27FC236}">
                  <a16:creationId xmlns:a16="http://schemas.microsoft.com/office/drawing/2014/main" id="{00000000-0008-0000-0000-00000B1C0E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80"/>
                  </a:solidFill>
                  <a:latin typeface="Arial"/>
                  <a:cs typeface="Arial"/>
                </a:rPr>
                <a:t>Return to Introduction</a:t>
              </a:r>
            </a:p>
          </xdr:txBody>
        </xdr:sp>
        <xdr:clientData fPrintsWithSheet="0"/>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cdr:x>
      <cdr:y>0.96925</cdr:y>
    </cdr:from>
    <cdr:to>
      <cdr:x>0.35</cdr:x>
      <cdr:y>1</cdr:y>
    </cdr:to>
    <cdr:sp macro="" textlink="">
      <cdr:nvSpPr>
        <cdr:cNvPr id="547881" name="Text Box 1"/>
        <cdr:cNvSpPr txBox="1">
          <a:spLocks xmlns:a="http://schemas.openxmlformats.org/drawingml/2006/main" noChangeArrowheads="1"/>
        </cdr:cNvSpPr>
      </cdr:nvSpPr>
      <cdr:spPr bwMode="auto">
        <a:xfrm xmlns:a="http://schemas.openxmlformats.org/drawingml/2006/main">
          <a:off x="0" y="5659281"/>
          <a:ext cx="2679737" cy="1795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Arial"/>
              <a:cs typeface="Arial"/>
            </a:rPr>
            <a:t>Source: USDA AMS Iowa Ethanol Report</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cdr:y>
    </cdr:from>
    <cdr:to>
      <cdr:x>1</cdr:x>
      <cdr:y>0.48964</cdr:y>
    </cdr:to>
    <cdr:graphicFrame macro="">
      <cdr:nvGraphicFramePr>
        <cdr:cNvPr id="2" name="Chart 290">
          <a:extLst xmlns:a="http://schemas.openxmlformats.org/drawingml/2006/main">
            <a:ext uri="{FF2B5EF4-FFF2-40B4-BE49-F238E27FC236}">
              <a16:creationId xmlns:a16="http://schemas.microsoft.com/office/drawing/2014/main" id="{2D2D87C8-E29F-4F49-AA1B-AADA5CBB04B0}"/>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0.49862</cdr:y>
    </cdr:from>
    <cdr:to>
      <cdr:x>1</cdr:x>
      <cdr:y>0.99862</cdr:y>
    </cdr:to>
    <cdr:graphicFrame macro="">
      <cdr:nvGraphicFramePr>
        <cdr:cNvPr id="3" name="Chart 291">
          <a:extLst xmlns:a="http://schemas.openxmlformats.org/drawingml/2006/main">
            <a:ext uri="{FF2B5EF4-FFF2-40B4-BE49-F238E27FC236}">
              <a16:creationId xmlns:a16="http://schemas.microsoft.com/office/drawing/2014/main" id="{CDAF6897-25CE-4D49-A31B-52BD0AFEA0FB}"/>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cdr:x>
      <cdr:y>1</cdr:y>
    </cdr:from>
    <cdr:to>
      <cdr:x>0</cdr:x>
      <cdr:y>1</cdr:y>
    </cdr:to>
    <cdr:sp macro="" textlink="">
      <cdr:nvSpPr>
        <cdr:cNvPr id="17409" name="Text Box 1"/>
        <cdr:cNvSpPr txBox="1">
          <a:spLocks xmlns:a="http://schemas.openxmlformats.org/drawingml/2006/main" noChangeArrowheads="1"/>
        </cdr:cNvSpPr>
      </cdr:nvSpPr>
      <cdr:spPr bwMode="auto">
        <a:xfrm xmlns:a="http://schemas.openxmlformats.org/drawingml/2006/main">
          <a:off x="0" y="5606732"/>
          <a:ext cx="1900919" cy="2320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Source: USDA Ethanol Report</a:t>
          </a:r>
        </a:p>
      </cdr:txBody>
    </cdr:sp>
  </cdr:relSizeAnchor>
  <cdr:relSizeAnchor xmlns:cdr="http://schemas.openxmlformats.org/drawingml/2006/chartDrawing">
    <cdr:from>
      <cdr:x>0</cdr:x>
      <cdr:y>1</cdr:y>
    </cdr:from>
    <cdr:to>
      <cdr:x>0</cdr:x>
      <cdr:y>1</cdr:y>
    </cdr:to>
    <cdr:sp macro="" textlink="">
      <cdr:nvSpPr>
        <cdr:cNvPr id="403458" name="Text Box 1"/>
        <cdr:cNvSpPr txBox="1">
          <a:spLocks xmlns:a="http://schemas.openxmlformats.org/drawingml/2006/main" noChangeArrowheads="1"/>
        </cdr:cNvSpPr>
      </cdr:nvSpPr>
      <cdr:spPr bwMode="auto">
        <a:xfrm xmlns:a="http://schemas.openxmlformats.org/drawingml/2006/main">
          <a:off x="50800" y="2683996"/>
          <a:ext cx="1871310" cy="1481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Source: USDA AMS Iowa Ethanol Report</a:t>
          </a:r>
        </a:p>
      </cdr:txBody>
    </cdr:sp>
  </cdr:relSizeAnchor>
</c:userShapes>
</file>

<file path=xl/drawings/drawing14.xml><?xml version="1.0" encoding="utf-8"?>
<c:userShapes xmlns:c="http://schemas.openxmlformats.org/drawingml/2006/chart">
  <cdr:relSizeAnchor xmlns:cdr="http://schemas.openxmlformats.org/drawingml/2006/chartDrawing">
    <cdr:from>
      <cdr:x>0.00685</cdr:x>
      <cdr:y>0.93518</cdr:y>
    </cdr:from>
    <cdr:to>
      <cdr:x>0.35802</cdr:x>
      <cdr:y>1</cdr:y>
    </cdr:to>
    <cdr:sp macro="" textlink="">
      <cdr:nvSpPr>
        <cdr:cNvPr id="1003521" name="Text Box 1"/>
        <cdr:cNvSpPr txBox="1">
          <a:spLocks xmlns:a="http://schemas.openxmlformats.org/drawingml/2006/main" noChangeArrowheads="1"/>
        </cdr:cNvSpPr>
      </cdr:nvSpPr>
      <cdr:spPr bwMode="auto">
        <a:xfrm xmlns:a="http://schemas.openxmlformats.org/drawingml/2006/main">
          <a:off x="59315" y="2899015"/>
          <a:ext cx="3040813" cy="2009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mn-lt"/>
              <a:cs typeface="Helvetica"/>
            </a:rPr>
            <a:t>Source: </a:t>
          </a:r>
          <a:r>
            <a:rPr lang="en-US" sz="900" b="0" i="0" baseline="0">
              <a:effectLst/>
              <a:latin typeface="+mn-lt"/>
              <a:ea typeface="+mn-ea"/>
              <a:cs typeface="+mn-cs"/>
            </a:rPr>
            <a:t>USDA AMS</a:t>
          </a:r>
          <a:r>
            <a:rPr lang="en-US" sz="900" b="0" i="0" u="none" strike="noStrike" baseline="0">
              <a:solidFill>
                <a:srgbClr val="000000"/>
              </a:solidFill>
              <a:latin typeface="+mn-lt"/>
              <a:cs typeface="Helvetica"/>
            </a:rPr>
            <a:t> Ethanol Report</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cdr:y>
    </cdr:from>
    <cdr:to>
      <cdr:x>0.9978</cdr:x>
      <cdr:y>0.99849</cdr:y>
    </cdr:to>
    <cdr:graphicFrame macro="">
      <cdr:nvGraphicFramePr>
        <cdr:cNvPr id="2" name="Chart 149">
          <a:extLst xmlns:a="http://schemas.openxmlformats.org/drawingml/2006/main">
            <a:ext uri="{FF2B5EF4-FFF2-40B4-BE49-F238E27FC236}">
              <a16:creationId xmlns:a16="http://schemas.microsoft.com/office/drawing/2014/main" id="{B1FD56C4-CCD7-47C7-932C-DB2EA5281803}"/>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7.xml><?xml version="1.0" encoding="utf-8"?>
<c:userShapes xmlns:c="http://schemas.openxmlformats.org/drawingml/2006/chart">
  <cdr:relSizeAnchor xmlns:cdr="http://schemas.openxmlformats.org/drawingml/2006/chartDrawing">
    <cdr:from>
      <cdr:x>0.00791</cdr:x>
      <cdr:y>0.9652</cdr:y>
    </cdr:from>
    <cdr:to>
      <cdr:x>0.26703</cdr:x>
      <cdr:y>1</cdr:y>
    </cdr:to>
    <cdr:sp macro="" textlink="">
      <cdr:nvSpPr>
        <cdr:cNvPr id="1000449" name="Text Box 1"/>
        <cdr:cNvSpPr txBox="1">
          <a:spLocks xmlns:a="http://schemas.openxmlformats.org/drawingml/2006/main" noChangeArrowheads="1"/>
        </cdr:cNvSpPr>
      </cdr:nvSpPr>
      <cdr:spPr bwMode="auto">
        <a:xfrm xmlns:a="http://schemas.openxmlformats.org/drawingml/2006/main">
          <a:off x="68592" y="6076951"/>
          <a:ext cx="2245984" cy="2190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Helvetica"/>
              <a:cs typeface="Helvetica"/>
            </a:rPr>
            <a:t>Source: USDA AMS Ethanol Report, EIA</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7.80626E-17</cdr:x>
      <cdr:y>1.05818E-16</cdr:y>
    </cdr:from>
    <cdr:to>
      <cdr:x>1</cdr:x>
      <cdr:y>1</cdr:y>
    </cdr:to>
    <cdr:graphicFrame macro="">
      <cdr:nvGraphicFramePr>
        <cdr:cNvPr id="2" name="Chart 1">
          <a:extLst xmlns:a="http://schemas.openxmlformats.org/drawingml/2006/main">
            <a:ext uri="{FF2B5EF4-FFF2-40B4-BE49-F238E27FC236}">
              <a16:creationId xmlns:a16="http://schemas.microsoft.com/office/drawing/2014/main" id="{E1954329-AE83-4ABD-9C3C-474F7D3A6DD9}"/>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4439920</xdr:colOff>
      <xdr:row>29</xdr:row>
      <xdr:rowOff>123614</xdr:rowOff>
    </xdr:from>
    <xdr:to>
      <xdr:col>0</xdr:col>
      <xdr:colOff>8402320</xdr:colOff>
      <xdr:row>34</xdr:row>
      <xdr:rowOff>53764</xdr:rowOff>
    </xdr:to>
    <xdr:pic>
      <xdr:nvPicPr>
        <xdr:cNvPr id="1384459" name="Picture 1">
          <a:extLst>
            <a:ext uri="{FF2B5EF4-FFF2-40B4-BE49-F238E27FC236}">
              <a16:creationId xmlns:a16="http://schemas.microsoft.com/office/drawing/2014/main" id="{00000000-0008-0000-0100-00000B201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54837" y="5785697"/>
          <a:ext cx="3962400" cy="7239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0.00625</cdr:x>
      <cdr:y>0.97025</cdr:y>
    </cdr:from>
    <cdr:to>
      <cdr:x>0.34375</cdr:x>
      <cdr:y>1</cdr:y>
    </cdr:to>
    <cdr:sp macro="" textlink="">
      <cdr:nvSpPr>
        <cdr:cNvPr id="702466" name="Text Box 1"/>
        <cdr:cNvSpPr txBox="1">
          <a:spLocks xmlns:a="http://schemas.openxmlformats.org/drawingml/2006/main" noChangeArrowheads="1"/>
        </cdr:cNvSpPr>
      </cdr:nvSpPr>
      <cdr:spPr bwMode="auto">
        <a:xfrm xmlns:a="http://schemas.openxmlformats.org/drawingml/2006/main">
          <a:off x="51492" y="5669499"/>
          <a:ext cx="2827777" cy="1693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Arial"/>
              <a:cs typeface="Arial"/>
            </a:rPr>
            <a:t>Source: USDA AMS Ethanol Report, EIA</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cdr:x>
      <cdr:y>0</cdr:y>
    </cdr:from>
    <cdr:to>
      <cdr:x>1</cdr:x>
      <cdr:y>0.99811</cdr:y>
    </cdr:to>
    <cdr:graphicFrame macro="">
      <cdr:nvGraphicFramePr>
        <cdr:cNvPr id="2" name="Chart 1">
          <a:extLst xmlns:a="http://schemas.openxmlformats.org/drawingml/2006/main">
            <a:ext uri="{FF2B5EF4-FFF2-40B4-BE49-F238E27FC236}">
              <a16:creationId xmlns:a16="http://schemas.microsoft.com/office/drawing/2014/main" id="{5C3C00B6-6ABE-44D9-B555-A7F9C6FF1053}"/>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23.xml><?xml version="1.0" encoding="utf-8"?>
<c:userShapes xmlns:c="http://schemas.openxmlformats.org/drawingml/2006/chart">
  <cdr:relSizeAnchor xmlns:cdr="http://schemas.openxmlformats.org/drawingml/2006/chartDrawing">
    <cdr:from>
      <cdr:x>0.00625</cdr:x>
      <cdr:y>0.9715</cdr:y>
    </cdr:from>
    <cdr:to>
      <cdr:x>0.34</cdr:x>
      <cdr:y>1</cdr:y>
    </cdr:to>
    <cdr:sp macro="" textlink="">
      <cdr:nvSpPr>
        <cdr:cNvPr id="861186" name="Text Box 1"/>
        <cdr:cNvSpPr txBox="1">
          <a:spLocks xmlns:a="http://schemas.openxmlformats.org/drawingml/2006/main" noChangeArrowheads="1"/>
        </cdr:cNvSpPr>
      </cdr:nvSpPr>
      <cdr:spPr bwMode="auto">
        <a:xfrm xmlns:a="http://schemas.openxmlformats.org/drawingml/2006/main">
          <a:off x="51492" y="5668039"/>
          <a:ext cx="2817050" cy="1707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Arial"/>
              <a:cs typeface="Arial"/>
            </a:rPr>
            <a:t>Source: USDA AMS Ethanol Report, EIA</a:t>
          </a: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cdr:y>
    </cdr:from>
    <cdr:to>
      <cdr:x>0.99756</cdr:x>
      <cdr:y>1</cdr:y>
    </cdr:to>
    <cdr:graphicFrame macro="">
      <cdr:nvGraphicFramePr>
        <cdr:cNvPr id="2" name="Chart 117">
          <a:extLst xmlns:a="http://schemas.openxmlformats.org/drawingml/2006/main">
            <a:ext uri="{FF2B5EF4-FFF2-40B4-BE49-F238E27FC236}">
              <a16:creationId xmlns:a16="http://schemas.microsoft.com/office/drawing/2014/main" id="{50E5F63C-A12E-40EE-B7CE-62C0B25C6173}"/>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26.xml><?xml version="1.0" encoding="utf-8"?>
<c:userShapes xmlns:c="http://schemas.openxmlformats.org/drawingml/2006/chart">
  <cdr:relSizeAnchor xmlns:cdr="http://schemas.openxmlformats.org/drawingml/2006/chartDrawing">
    <cdr:from>
      <cdr:x>0.01224</cdr:x>
      <cdr:y>0.9645</cdr:y>
    </cdr:from>
    <cdr:to>
      <cdr:x>0.40874</cdr:x>
      <cdr:y>1</cdr:y>
    </cdr:to>
    <cdr:sp macro="" textlink="">
      <cdr:nvSpPr>
        <cdr:cNvPr id="1121281" name="Text Box 1"/>
        <cdr:cNvSpPr txBox="1">
          <a:spLocks xmlns:a="http://schemas.openxmlformats.org/drawingml/2006/main" noChangeArrowheads="1"/>
        </cdr:cNvSpPr>
      </cdr:nvSpPr>
      <cdr:spPr bwMode="auto">
        <a:xfrm xmlns:a="http://schemas.openxmlformats.org/drawingml/2006/main">
          <a:off x="105833" y="6074833"/>
          <a:ext cx="3428370" cy="2235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Helvetica"/>
            </a:rPr>
            <a:t>Source: USDA AMS Ethanol Report</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cdr:x>
      <cdr:y>0</cdr:y>
    </cdr:from>
    <cdr:to>
      <cdr:x>0.99572</cdr:x>
      <cdr:y>0.99848</cdr:y>
    </cdr:to>
    <cdr:graphicFrame macro="">
      <cdr:nvGraphicFramePr>
        <cdr:cNvPr id="2" name="Chart 1">
          <a:extLst xmlns:a="http://schemas.openxmlformats.org/drawingml/2006/main">
            <a:ext uri="{FF2B5EF4-FFF2-40B4-BE49-F238E27FC236}">
              <a16:creationId xmlns:a16="http://schemas.microsoft.com/office/drawing/2014/main" id="{CB1AC6CC-2FD0-4601-9043-63B0625890D2}"/>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29.xml><?xml version="1.0" encoding="utf-8"?>
<c:userShapes xmlns:c="http://schemas.openxmlformats.org/drawingml/2006/chart">
  <cdr:relSizeAnchor xmlns:cdr="http://schemas.openxmlformats.org/drawingml/2006/chartDrawing">
    <cdr:from>
      <cdr:x>0.00773</cdr:x>
      <cdr:y>0.96447</cdr:y>
    </cdr:from>
    <cdr:to>
      <cdr:x>0.68048</cdr:x>
      <cdr:y>0.99622</cdr:y>
    </cdr:to>
    <cdr:sp macro="" textlink="">
      <cdr:nvSpPr>
        <cdr:cNvPr id="855047" name="Text Box 1"/>
        <cdr:cNvSpPr txBox="1">
          <a:spLocks xmlns:a="http://schemas.openxmlformats.org/drawingml/2006/main" noChangeArrowheads="1"/>
        </cdr:cNvSpPr>
      </cdr:nvSpPr>
      <cdr:spPr bwMode="auto">
        <a:xfrm xmlns:a="http://schemas.openxmlformats.org/drawingml/2006/main">
          <a:off x="66675" y="6053922"/>
          <a:ext cx="5799189" cy="199294"/>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Arial"/>
              <a:cs typeface="Arial"/>
            </a:rPr>
            <a:t>Source: USDA AMS Ethanol Report, ISU Ethanol Profitability, ISU Estimated Costs of Crop Production</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3607647</xdr:colOff>
      <xdr:row>38</xdr:row>
      <xdr:rowOff>131656</xdr:rowOff>
    </xdr:from>
    <xdr:to>
      <xdr:col>0</xdr:col>
      <xdr:colOff>7570047</xdr:colOff>
      <xdr:row>43</xdr:row>
      <xdr:rowOff>19473</xdr:rowOff>
    </xdr:to>
    <xdr:pic>
      <xdr:nvPicPr>
        <xdr:cNvPr id="338210" name="Picture 1">
          <a:extLst>
            <a:ext uri="{FF2B5EF4-FFF2-40B4-BE49-F238E27FC236}">
              <a16:creationId xmlns:a16="http://schemas.microsoft.com/office/drawing/2014/main" id="{00000000-0008-0000-0200-000022290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24064" y="10217573"/>
          <a:ext cx="3962400" cy="72390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a:extLst xmlns:a="http://schemas.openxmlformats.org/drawingml/2006/main">
            <a:ext uri="{FF2B5EF4-FFF2-40B4-BE49-F238E27FC236}">
              <a16:creationId xmlns:a16="http://schemas.microsoft.com/office/drawing/2014/main" id="{1125CB57-45DB-4EBD-AEE9-EF198AFA9FC0}"/>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32.xml><?xml version="1.0" encoding="utf-8"?>
<c:userShapes xmlns:c="http://schemas.openxmlformats.org/drawingml/2006/chart">
  <cdr:relSizeAnchor xmlns:cdr="http://schemas.openxmlformats.org/drawingml/2006/chartDrawing">
    <cdr:from>
      <cdr:x>0</cdr:x>
      <cdr:y>0.9695</cdr:y>
    </cdr:from>
    <cdr:to>
      <cdr:x>0.71525</cdr:x>
      <cdr:y>1</cdr:y>
    </cdr:to>
    <cdr:sp macro="" textlink="">
      <cdr:nvSpPr>
        <cdr:cNvPr id="740394" name="Text Box 1"/>
        <cdr:cNvSpPr txBox="1">
          <a:spLocks xmlns:a="http://schemas.openxmlformats.org/drawingml/2006/main" noChangeArrowheads="1"/>
        </cdr:cNvSpPr>
      </cdr:nvSpPr>
      <cdr:spPr bwMode="auto">
        <a:xfrm xmlns:a="http://schemas.openxmlformats.org/drawingml/2006/main">
          <a:off x="0" y="5659281"/>
          <a:ext cx="6114693" cy="181004"/>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Arial"/>
              <a:cs typeface="Arial"/>
            </a:rPr>
            <a:t>Source: USDA AMS Ethanol Report, ISU Ethanol Profitability, ISU Estimated Costs of Crop Production, EIA</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a:extLst xmlns:a="http://schemas.openxmlformats.org/drawingml/2006/main">
            <a:ext uri="{FF2B5EF4-FFF2-40B4-BE49-F238E27FC236}">
              <a16:creationId xmlns:a16="http://schemas.microsoft.com/office/drawing/2014/main" id="{C05EC5D8-70E2-48A0-8A02-ED5B619CA374}"/>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35.xml><?xml version="1.0" encoding="utf-8"?>
<c:userShapes xmlns:c="http://schemas.openxmlformats.org/drawingml/2006/chart">
  <cdr:relSizeAnchor xmlns:cdr="http://schemas.openxmlformats.org/drawingml/2006/chartDrawing">
    <cdr:from>
      <cdr:x>0.00489</cdr:x>
      <cdr:y>0.96325</cdr:y>
    </cdr:from>
    <cdr:to>
      <cdr:x>0.71739</cdr:x>
      <cdr:y>1</cdr:y>
    </cdr:to>
    <cdr:sp macro="" textlink="">
      <cdr:nvSpPr>
        <cdr:cNvPr id="573442" name="Text Box 1"/>
        <cdr:cNvSpPr txBox="1">
          <a:spLocks xmlns:a="http://schemas.openxmlformats.org/drawingml/2006/main" noChangeArrowheads="1"/>
        </cdr:cNvSpPr>
      </cdr:nvSpPr>
      <cdr:spPr bwMode="auto">
        <a:xfrm xmlns:a="http://schemas.openxmlformats.org/drawingml/2006/main">
          <a:off x="42333" y="6055471"/>
          <a:ext cx="6168231" cy="231029"/>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Arial"/>
              <a:cs typeface="Arial"/>
            </a:rPr>
            <a:t>Source: USDA AMS Ethanol Report, ISU Ethanol Profitability, EIA</a:t>
          </a:r>
        </a:p>
      </cdr:txBody>
    </cdr:sp>
  </cdr:relSizeAnchor>
</c:userShapes>
</file>

<file path=xl/drawings/drawing36.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a:extLst xmlns:a="http://schemas.openxmlformats.org/drawingml/2006/main">
            <a:ext uri="{FF2B5EF4-FFF2-40B4-BE49-F238E27FC236}">
              <a16:creationId xmlns:a16="http://schemas.microsoft.com/office/drawing/2014/main" id="{4CFF97DD-0613-418E-9E96-8D63DE523532}"/>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38.xml><?xml version="1.0" encoding="utf-8"?>
<c:userShapes xmlns:c="http://schemas.openxmlformats.org/drawingml/2006/chart">
  <cdr:relSizeAnchor xmlns:cdr="http://schemas.openxmlformats.org/drawingml/2006/chartDrawing">
    <cdr:from>
      <cdr:x>0</cdr:x>
      <cdr:y>0.96975</cdr:y>
    </cdr:from>
    <cdr:to>
      <cdr:x>0.71525</cdr:x>
      <cdr:y>1</cdr:y>
    </cdr:to>
    <cdr:sp macro="" textlink="">
      <cdr:nvSpPr>
        <cdr:cNvPr id="783363" name="Text Box 1"/>
        <cdr:cNvSpPr txBox="1">
          <a:spLocks xmlns:a="http://schemas.openxmlformats.org/drawingml/2006/main" noChangeArrowheads="1"/>
        </cdr:cNvSpPr>
      </cdr:nvSpPr>
      <cdr:spPr bwMode="auto">
        <a:xfrm xmlns:a="http://schemas.openxmlformats.org/drawingml/2006/main">
          <a:off x="0" y="5657821"/>
          <a:ext cx="6114693" cy="181004"/>
        </a:xfrm>
        <a:prstGeom xmlns:a="http://schemas.openxmlformats.org/drawingml/2006/main" prst="rect">
          <a:avLst/>
        </a:prstGeom>
        <a:noFill xmlns:a="http://schemas.openxmlformats.org/drawingml/2006/main"/>
        <a:ln xmlns:a="http://schemas.openxmlformats.org/drawingml/2006/main" w="9525" algn="ctr">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Arial"/>
              <a:cs typeface="Arial"/>
            </a:rPr>
            <a:t>Source: USDA AMS Ethanol Report, ISU Ethanol Profitability, ISU Estimated Costs of Crop Production, EIA</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cdr:y>
    </cdr:from>
    <cdr:to>
      <cdr:x>1</cdr:x>
      <cdr:y>0.49622</cdr:y>
    </cdr:to>
    <cdr:graphicFrame macro="">
      <cdr:nvGraphicFramePr>
        <cdr:cNvPr id="2" name="Chart 222">
          <a:extLst xmlns:a="http://schemas.openxmlformats.org/drawingml/2006/main">
            <a:ext uri="{FF2B5EF4-FFF2-40B4-BE49-F238E27FC236}">
              <a16:creationId xmlns:a16="http://schemas.microsoft.com/office/drawing/2014/main" id="{EF63AAD0-1E93-4C75-8B52-CFABBA69208D}"/>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0.50505</cdr:y>
    </cdr:from>
    <cdr:to>
      <cdr:x>1</cdr:x>
      <cdr:y>1</cdr:y>
    </cdr:to>
    <cdr:graphicFrame macro="">
      <cdr:nvGraphicFramePr>
        <cdr:cNvPr id="3" name="Chart 223">
          <a:extLst xmlns:a="http://schemas.openxmlformats.org/drawingml/2006/main">
            <a:ext uri="{FF2B5EF4-FFF2-40B4-BE49-F238E27FC236}">
              <a16:creationId xmlns:a16="http://schemas.microsoft.com/office/drawing/2014/main" id="{BFC9F41D-8060-48DD-AE07-093CC22F9F59}"/>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6.xml><?xml version="1.0" encoding="utf-8"?>
<c:userShapes xmlns:c="http://schemas.openxmlformats.org/drawingml/2006/chart">
  <cdr:relSizeAnchor xmlns:cdr="http://schemas.openxmlformats.org/drawingml/2006/chartDrawing">
    <cdr:from>
      <cdr:x>0.00611</cdr:x>
      <cdr:y>0.94207</cdr:y>
    </cdr:from>
    <cdr:to>
      <cdr:x>0.5956</cdr:x>
      <cdr:y>1</cdr:y>
    </cdr:to>
    <cdr:sp macro="" textlink="">
      <cdr:nvSpPr>
        <cdr:cNvPr id="998401" name="Text Box 1"/>
        <cdr:cNvSpPr txBox="1">
          <a:spLocks xmlns:a="http://schemas.openxmlformats.org/drawingml/2006/main" noChangeArrowheads="1"/>
        </cdr:cNvSpPr>
      </cdr:nvSpPr>
      <cdr:spPr bwMode="auto">
        <a:xfrm xmlns:a="http://schemas.openxmlformats.org/drawingml/2006/main">
          <a:off x="52960" y="2943225"/>
          <a:ext cx="5109590" cy="1809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sz="900" b="0" i="0" u="none" strike="noStrike" baseline="0">
              <a:solidFill>
                <a:schemeClr val="bg1">
                  <a:lumMod val="50000"/>
                </a:schemeClr>
              </a:solidFill>
              <a:latin typeface="Helvetica"/>
              <a:cs typeface="Helvetica"/>
            </a:rPr>
            <a:t>Source: USDA AMS Ethanol Reports 3616, 3617; average of weekly and monhtly reported prices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1</cdr:y>
    </cdr:from>
    <cdr:to>
      <cdr:x>0</cdr:x>
      <cdr:y>1</cdr:y>
    </cdr:to>
    <cdr:sp macro="" textlink="">
      <cdr:nvSpPr>
        <cdr:cNvPr id="15408" name="Text Box 1"/>
        <cdr:cNvSpPr txBox="1">
          <a:spLocks xmlns:a="http://schemas.openxmlformats.org/drawingml/2006/main" noChangeArrowheads="1"/>
        </cdr:cNvSpPr>
      </cdr:nvSpPr>
      <cdr:spPr bwMode="auto">
        <a:xfrm xmlns:a="http://schemas.openxmlformats.org/drawingml/2006/main">
          <a:off x="0" y="5514770"/>
          <a:ext cx="2566025" cy="3240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strike="noStrike">
              <a:solidFill>
                <a:srgbClr val="000000"/>
              </a:solidFill>
              <a:latin typeface="Arial"/>
              <a:cs typeface="Arial"/>
            </a:rPr>
            <a:t>Source: USDA Iowa Ethanol Report, Energy Information Administration Natural Gas Report</a:t>
          </a:r>
        </a:p>
      </cdr:txBody>
    </cdr:sp>
  </cdr:relSizeAnchor>
  <cdr:relSizeAnchor xmlns:cdr="http://schemas.openxmlformats.org/drawingml/2006/chartDrawing">
    <cdr:from>
      <cdr:x>0</cdr:x>
      <cdr:y>0.9345</cdr:y>
    </cdr:from>
    <cdr:to>
      <cdr:x>0.00115</cdr:x>
      <cdr:y>0.93668</cdr:y>
    </cdr:to>
    <cdr:sp macro="" textlink="">
      <cdr:nvSpPr>
        <cdr:cNvPr id="999427" name="Text Box 1"/>
        <cdr:cNvSpPr txBox="1">
          <a:spLocks xmlns:a="http://schemas.openxmlformats.org/drawingml/2006/main" noChangeArrowheads="1"/>
        </cdr:cNvSpPr>
      </cdr:nvSpPr>
      <cdr:spPr bwMode="auto">
        <a:xfrm xmlns:a="http://schemas.openxmlformats.org/drawingml/2006/main">
          <a:off x="-30480" y="2770118"/>
          <a:ext cx="3351985" cy="2156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sz="900" b="0" i="0" u="none" strike="noStrike" baseline="0">
              <a:solidFill>
                <a:srgbClr val="000000"/>
              </a:solidFill>
              <a:latin typeface="Helvetica"/>
              <a:cs typeface="Helvetica"/>
            </a:rPr>
            <a:t>Source: USDA AMS Iowa Ethanol Report, EIA</a:t>
          </a:r>
        </a:p>
      </cdr:txBody>
    </cdr:sp>
  </cdr:relSizeAnchor>
  <cdr:relSizeAnchor xmlns:cdr="http://schemas.openxmlformats.org/drawingml/2006/chartDrawing">
    <cdr:from>
      <cdr:x>0.00831</cdr:x>
      <cdr:y>0.93296</cdr:y>
    </cdr:from>
    <cdr:to>
      <cdr:x>0.46633</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71967" y="2907243"/>
          <a:ext cx="3965156" cy="2089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900" b="0" i="0" u="none" strike="noStrike" baseline="0">
              <a:solidFill>
                <a:schemeClr val="bg1">
                  <a:lumMod val="50000"/>
                </a:schemeClr>
              </a:solidFill>
              <a:latin typeface="Helvetica"/>
              <a:cs typeface="Helvetica"/>
            </a:rPr>
            <a:t>Source: USDA AMS Ethanol Report, EIA</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0.9989</cdr:x>
      <cdr:y>0.99697</cdr:y>
    </cdr:to>
    <cdr:graphicFrame macro="">
      <cdr:nvGraphicFramePr>
        <cdr:cNvPr id="2" name="Chart 1">
          <a:extLst xmlns:a="http://schemas.openxmlformats.org/drawingml/2006/main">
            <a:ext uri="{FF2B5EF4-FFF2-40B4-BE49-F238E27FC236}">
              <a16:creationId xmlns:a16="http://schemas.microsoft.com/office/drawing/2014/main" id="{33C392F3-899D-4A6A-92C2-2D9295A74097}"/>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gdm@iastate.edu?subject=AgDM%20Ethanol%20Profitability" TargetMode="External"/><Relationship Id="rId1" Type="http://schemas.openxmlformats.org/officeDocument/2006/relationships/hyperlink" Target="http://www.extension.iastate.edu/agd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eia.gov/dnav/ng/hist/n3035ia3m.htm" TargetMode="External"/><Relationship Id="rId7" Type="http://schemas.openxmlformats.org/officeDocument/2006/relationships/hyperlink" Target="https://mymarketnews.ams.usda.gov/viewReport/3616" TargetMode="External"/><Relationship Id="rId2" Type="http://schemas.openxmlformats.org/officeDocument/2006/relationships/hyperlink" Target="mailto:agdm@iastate.edu?subject=AgDM%20Ethanol%20Profitability" TargetMode="External"/><Relationship Id="rId1" Type="http://schemas.openxmlformats.org/officeDocument/2006/relationships/hyperlink" Target="http://www.extension.iastate.edu/agdm/" TargetMode="External"/><Relationship Id="rId6" Type="http://schemas.openxmlformats.org/officeDocument/2006/relationships/hyperlink" Target="https://mymarketnews.ams.usda.gov/viewReport/3616" TargetMode="External"/><Relationship Id="rId5" Type="http://schemas.openxmlformats.org/officeDocument/2006/relationships/hyperlink" Target="https://mymarketnews.ams.usda.gov/viewReport/3617" TargetMode="External"/><Relationship Id="rId4" Type="http://schemas.openxmlformats.org/officeDocument/2006/relationships/hyperlink" Target="https://mymarketnews.ams.usda.gov/viewReport/3616"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2" tint="-0.249977111117893"/>
    <pageSetUpPr fitToPage="1"/>
  </sheetPr>
  <dimension ref="A1:BD237"/>
  <sheetViews>
    <sheetView showGridLines="0" zoomScale="85" zoomScaleNormal="85" workbookViewId="0">
      <pane xSplit="2" ySplit="1" topLeftCell="C185" activePane="bottomRight" state="frozen"/>
      <selection pane="topRight" activeCell="C1" sqref="C1"/>
      <selection pane="bottomLeft" activeCell="A2" sqref="A2"/>
      <selection pane="bottomRight" activeCell="A233" sqref="A233"/>
    </sheetView>
  </sheetViews>
  <sheetFormatPr defaultColWidth="8.85546875" defaultRowHeight="12.75" x14ac:dyDescent="0.2"/>
  <cols>
    <col min="1" max="1" width="7.7109375" customWidth="1"/>
    <col min="2" max="3" width="1.42578125" customWidth="1"/>
    <col min="4" max="4" width="8.140625" customWidth="1"/>
    <col min="5" max="5" width="6.85546875" customWidth="1"/>
    <col min="6" max="6" width="8" style="35" bestFit="1" customWidth="1"/>
    <col min="7" max="7" width="8.42578125" bestFit="1" customWidth="1"/>
    <col min="8" max="8" width="9.7109375" style="1" bestFit="1" customWidth="1"/>
    <col min="9" max="9" width="1.42578125" customWidth="1"/>
    <col min="10" max="10" width="10.42578125" customWidth="1"/>
    <col min="11" max="11" width="7.85546875" bestFit="1" customWidth="1"/>
    <col min="12" max="12" width="7.28515625" bestFit="1" customWidth="1"/>
    <col min="13" max="13" width="7.28515625" customWidth="1"/>
    <col min="14" max="14" width="9.7109375" bestFit="1" customWidth="1"/>
    <col min="15" max="16" width="1.42578125" customWidth="1"/>
    <col min="17" max="17" width="7.28515625" bestFit="1" customWidth="1"/>
    <col min="18" max="18" width="7.42578125" bestFit="1" customWidth="1"/>
    <col min="19" max="19" width="8.7109375" customWidth="1"/>
    <col min="20" max="20" width="8.7109375" bestFit="1" customWidth="1"/>
    <col min="21" max="21" width="7.28515625" bestFit="1" customWidth="1"/>
    <col min="22" max="22" width="8.7109375" bestFit="1" customWidth="1"/>
    <col min="23" max="23" width="11" customWidth="1"/>
    <col min="24" max="24" width="1.7109375" customWidth="1"/>
    <col min="25" max="25" width="1.140625" customWidth="1"/>
    <col min="26" max="26" width="7.5703125" bestFit="1" customWidth="1"/>
    <col min="27" max="27" width="14.28515625" bestFit="1" customWidth="1"/>
    <col min="28" max="28" width="7.85546875" bestFit="1" customWidth="1"/>
    <col min="29" max="31" width="1.42578125" customWidth="1"/>
    <col min="32" max="34" width="7.28515625" bestFit="1" customWidth="1"/>
    <col min="35" max="36" width="1.42578125" customWidth="1"/>
    <col min="37" max="38" width="8.7109375" bestFit="1" customWidth="1"/>
    <col min="39" max="40" width="1.42578125" customWidth="1"/>
    <col min="41" max="41" width="8.7109375" bestFit="1" customWidth="1"/>
    <col min="42" max="42" width="7.85546875" bestFit="1" customWidth="1"/>
    <col min="43" max="43" width="9.42578125" bestFit="1" customWidth="1"/>
    <col min="44" max="44" width="7.85546875" bestFit="1" customWidth="1"/>
    <col min="45" max="45" width="1.42578125" customWidth="1"/>
    <col min="46" max="46" width="3" customWidth="1"/>
    <col min="47" max="47" width="7.28515625" style="35" bestFit="1" customWidth="1"/>
    <col min="48" max="48" width="8.140625" style="35" bestFit="1" customWidth="1"/>
    <col min="49" max="49" width="11" style="35" customWidth="1"/>
    <col min="50" max="50" width="8.42578125" style="35" bestFit="1" customWidth="1"/>
    <col min="51" max="51" width="7.28515625" style="35" bestFit="1" customWidth="1"/>
    <col min="52" max="52" width="1.42578125" style="35" customWidth="1"/>
    <col min="54" max="54" width="7.28515625" bestFit="1" customWidth="1"/>
    <col min="55" max="55" width="11" bestFit="1" customWidth="1"/>
    <col min="56" max="56" width="7.28515625" bestFit="1" customWidth="1"/>
  </cols>
  <sheetData>
    <row r="1" spans="1:56" s="159" customFormat="1" ht="51.75" customHeight="1" x14ac:dyDescent="0.2">
      <c r="A1" s="154" t="s">
        <v>189</v>
      </c>
      <c r="B1" s="154"/>
      <c r="C1" s="185"/>
      <c r="D1" s="154" t="s">
        <v>25</v>
      </c>
      <c r="E1" s="154" t="s">
        <v>14</v>
      </c>
      <c r="F1" s="322" t="s">
        <v>218</v>
      </c>
      <c r="G1" s="154" t="s">
        <v>3</v>
      </c>
      <c r="H1" s="154" t="s">
        <v>2</v>
      </c>
      <c r="I1" s="156"/>
      <c r="J1" s="157"/>
      <c r="K1" s="154" t="s">
        <v>25</v>
      </c>
      <c r="L1" s="154" t="s">
        <v>14</v>
      </c>
      <c r="M1" s="154" t="s">
        <v>218</v>
      </c>
      <c r="N1" s="154" t="s">
        <v>240</v>
      </c>
      <c r="O1" s="156"/>
      <c r="P1" s="157"/>
      <c r="Q1" s="154" t="s">
        <v>3</v>
      </c>
      <c r="R1" s="154" t="s">
        <v>2</v>
      </c>
      <c r="S1" s="154" t="s">
        <v>190</v>
      </c>
      <c r="T1" s="154" t="s">
        <v>191</v>
      </c>
      <c r="U1" s="154" t="s">
        <v>126</v>
      </c>
      <c r="V1" s="155" t="s">
        <v>69</v>
      </c>
      <c r="W1" s="154" t="s">
        <v>192</v>
      </c>
      <c r="X1" s="156"/>
      <c r="Y1" s="155"/>
      <c r="Z1" s="154" t="s">
        <v>241</v>
      </c>
      <c r="AA1" s="154" t="s">
        <v>242</v>
      </c>
      <c r="AB1" s="154" t="s">
        <v>243</v>
      </c>
      <c r="AC1" s="158"/>
      <c r="AE1" s="160"/>
      <c r="AF1" s="154" t="s">
        <v>183</v>
      </c>
      <c r="AG1" s="154" t="s">
        <v>194</v>
      </c>
      <c r="AH1" s="154" t="s">
        <v>195</v>
      </c>
      <c r="AI1" s="156"/>
      <c r="AJ1" s="161"/>
      <c r="AK1" s="154" t="s">
        <v>191</v>
      </c>
      <c r="AL1" s="154" t="s">
        <v>196</v>
      </c>
      <c r="AM1" s="156"/>
      <c r="AN1" s="161"/>
      <c r="AO1" s="154" t="s">
        <v>197</v>
      </c>
      <c r="AP1" s="154" t="s">
        <v>193</v>
      </c>
      <c r="AQ1" s="155" t="s">
        <v>198</v>
      </c>
      <c r="AR1" s="155" t="s">
        <v>199</v>
      </c>
      <c r="AS1" s="158"/>
      <c r="AU1" s="174" t="s">
        <v>3</v>
      </c>
      <c r="AV1" s="176" t="s">
        <v>200</v>
      </c>
      <c r="AW1" s="176" t="s">
        <v>201</v>
      </c>
      <c r="AX1" s="176" t="s">
        <v>202</v>
      </c>
      <c r="AY1" s="175" t="s">
        <v>195</v>
      </c>
      <c r="AZ1" s="175"/>
      <c r="BA1" s="269" t="s">
        <v>211</v>
      </c>
      <c r="BB1" s="154" t="s">
        <v>183</v>
      </c>
      <c r="BC1" s="154" t="s">
        <v>194</v>
      </c>
      <c r="BD1" s="154"/>
    </row>
    <row r="2" spans="1:56" hidden="1" x14ac:dyDescent="0.2">
      <c r="A2" s="21">
        <v>38353</v>
      </c>
      <c r="B2" s="6"/>
      <c r="C2" s="53"/>
      <c r="D2" s="93">
        <v>1.5149515423207636</v>
      </c>
      <c r="E2" s="95">
        <v>68.211307006683171</v>
      </c>
      <c r="F2" s="323"/>
      <c r="G2" s="93">
        <v>1.745099267659205</v>
      </c>
      <c r="H2" s="96">
        <v>8.17</v>
      </c>
      <c r="I2" s="17">
        <f>'Returns per Gal.'!H9</f>
        <v>0</v>
      </c>
      <c r="J2" s="18"/>
      <c r="K2" s="93">
        <f>'Returns per Gal.'!J9</f>
        <v>1.5149515423207636</v>
      </c>
      <c r="L2" s="93">
        <f>'Returns per Gal.'!K9</f>
        <v>0.20224054182683252</v>
      </c>
      <c r="M2" s="93"/>
      <c r="N2" s="93">
        <f>'Returns per Gal.'!M9</f>
        <v>1.7171920841475961</v>
      </c>
      <c r="O2" s="93">
        <f>'Returns per Gal.'!N9</f>
        <v>0</v>
      </c>
      <c r="P2" s="104">
        <f>'Returns per Gal.'!O9</f>
        <v>0</v>
      </c>
      <c r="Q2" s="93">
        <f>'Returns per Gal.'!P9</f>
        <v>0.61231553251200177</v>
      </c>
      <c r="R2" s="93">
        <f>'Returns per Gal.'!Q9</f>
        <v>0.24510000000000001</v>
      </c>
      <c r="S2" s="93">
        <f>'Returns per Gal.'!R9</f>
        <v>0.21939999999999998</v>
      </c>
      <c r="T2" s="93">
        <f>'Returns per Gal.'!S9</f>
        <v>1.0768155325120017</v>
      </c>
      <c r="U2" s="93">
        <f>'Returns per Gal.'!T9</f>
        <v>0.19624601212121212</v>
      </c>
      <c r="V2" s="93">
        <f>'Returns per Gal.'!U9</f>
        <v>1.2730615446332139</v>
      </c>
      <c r="W2" s="93">
        <f>'Returns per Gal.'!V9</f>
        <v>1.0708210028063814</v>
      </c>
      <c r="X2" s="105"/>
      <c r="Y2" s="93">
        <f>'Returns per Gal.'!V9</f>
        <v>1.0708210028063814</v>
      </c>
      <c r="Z2" s="93">
        <f>'Returns per Gal.'!Y9</f>
        <v>0.82127655163559432</v>
      </c>
      <c r="AA2" s="93">
        <f>'Returns per Gal.'!Z9</f>
        <v>0.64037655163559437</v>
      </c>
      <c r="AB2" s="93">
        <f>'Returns per Gal.'!AA9</f>
        <v>0.44413053951438219</v>
      </c>
      <c r="AC2" s="80">
        <f>'Returns per Gal.'!AB9</f>
        <v>0</v>
      </c>
      <c r="AD2" s="15">
        <f>'Returns per Gal.'!AC9</f>
        <v>0</v>
      </c>
      <c r="AE2" s="81">
        <f>'Returns per Gal.'!AD9</f>
        <v>0</v>
      </c>
      <c r="AF2" s="93">
        <f>'Returns per Gal.'!AE9</f>
        <v>0.25394979160608705</v>
      </c>
      <c r="AG2" s="93">
        <f>'Returns per Gal.'!AF9</f>
        <v>0.53271299796452465</v>
      </c>
      <c r="AH2" s="93">
        <f>'Returns per Gal.'!AG9</f>
        <v>0.78666278957061164</v>
      </c>
      <c r="AI2" s="105">
        <f>'Returns per Gal.'!AH9</f>
        <v>0</v>
      </c>
      <c r="AJ2" s="104">
        <f>'Returns per Gal.'!AI9</f>
        <v>0</v>
      </c>
      <c r="AK2" s="93">
        <f>'Returns per Gal.'!AJ9</f>
        <v>1.2511627895706117</v>
      </c>
      <c r="AL2" s="93">
        <f>'Returns per Gal.'!AK9</f>
        <v>1.4474088016918238</v>
      </c>
      <c r="AM2" s="105">
        <f>'Returns per Gal.'!AL9</f>
        <v>0</v>
      </c>
      <c r="AN2" s="104"/>
      <c r="AO2" s="93">
        <f>'Returns per Gal.'!AN9</f>
        <v>0.46602929457698439</v>
      </c>
      <c r="AP2" s="93">
        <f>'Returns per Gal.'!AO9</f>
        <v>0.26978328245577221</v>
      </c>
      <c r="AQ2" s="93">
        <f>'Returns per Gal.'!AP9</f>
        <v>0.44413053951438208</v>
      </c>
      <c r="AR2" s="93">
        <f>'Returns per Gal.'!AQ9</f>
        <v>-0.17434725705860987</v>
      </c>
      <c r="AS2" s="52"/>
      <c r="AU2" s="177">
        <f>'Returns per Bu.'!G9</f>
        <v>1.745099267659205</v>
      </c>
      <c r="AV2" s="166">
        <f>'Returns per Bu.'!N9</f>
        <v>4.8939974398206489</v>
      </c>
      <c r="AW2" s="166">
        <f>'Returns per Bu.'!O9</f>
        <v>3.0108713052751934</v>
      </c>
      <c r="AX2" s="169">
        <f>'Returns per Bu.'!Z9</f>
        <v>0.38544420628128856</v>
      </c>
      <c r="AY2" s="162">
        <f>'Returns per Bu.'!AF9</f>
        <v>2.2419889502762431</v>
      </c>
      <c r="AZ2" s="172" t="e">
        <f>'Returns per Bu.'!#REF!</f>
        <v>#REF!</v>
      </c>
      <c r="BA2" s="15">
        <f>AY2-BB2</f>
        <v>1.988039158670156</v>
      </c>
      <c r="BB2" s="93">
        <f>AF2</f>
        <v>0.25394979160608705</v>
      </c>
      <c r="BC2" s="93">
        <f>AG2</f>
        <v>0.53271299796452465</v>
      </c>
      <c r="BD2" s="93"/>
    </row>
    <row r="3" spans="1:56" hidden="1" x14ac:dyDescent="0.2">
      <c r="A3" s="8">
        <v>38384</v>
      </c>
      <c r="B3" s="8"/>
      <c r="C3" s="53"/>
      <c r="D3" s="93">
        <v>1.3740258174537157</v>
      </c>
      <c r="E3" s="95">
        <v>70.13275227447707</v>
      </c>
      <c r="F3" s="323"/>
      <c r="G3" s="93">
        <v>1.7757299715284061</v>
      </c>
      <c r="H3" s="96">
        <v>7.8</v>
      </c>
      <c r="I3" s="17">
        <f>'Returns per Gal.'!H10</f>
        <v>0</v>
      </c>
      <c r="J3" s="18"/>
      <c r="K3" s="93">
        <f>'Returns per Gal.'!J10</f>
        <v>1.3740258174537157</v>
      </c>
      <c r="L3" s="93">
        <f>'Returns per Gal.'!K10</f>
        <v>0.20793745849801096</v>
      </c>
      <c r="M3" s="93"/>
      <c r="N3" s="93">
        <f>'Returns per Gal.'!M10</f>
        <v>1.5819632759517266</v>
      </c>
      <c r="O3" s="93">
        <f>'Returns per Gal.'!N10</f>
        <v>0</v>
      </c>
      <c r="P3" s="104">
        <f>'Returns per Gal.'!O10</f>
        <v>0</v>
      </c>
      <c r="Q3" s="93">
        <f>'Returns per Gal.'!P10</f>
        <v>0.62306314790470385</v>
      </c>
      <c r="R3" s="93">
        <f>'Returns per Gal.'!Q10</f>
        <v>0.23399999999999999</v>
      </c>
      <c r="S3" s="93">
        <f>'Returns per Gal.'!R10</f>
        <v>0.21939999999999998</v>
      </c>
      <c r="T3" s="93">
        <f>'Returns per Gal.'!S10</f>
        <v>1.0764631479047038</v>
      </c>
      <c r="U3" s="93">
        <f>'Returns per Gal.'!T10</f>
        <v>0.19624601212121212</v>
      </c>
      <c r="V3" s="93">
        <f>'Returns per Gal.'!U10</f>
        <v>1.2727091600259159</v>
      </c>
      <c r="W3" s="93">
        <f>'Returns per Gal.'!V10</f>
        <v>1.064771701527905</v>
      </c>
      <c r="X3" s="105"/>
      <c r="Y3" s="93">
        <f>'Returns per Gal.'!V10</f>
        <v>1.064771701527905</v>
      </c>
      <c r="Z3" s="93">
        <f>'Returns per Gal.'!Y10</f>
        <v>0.68640012804702277</v>
      </c>
      <c r="AA3" s="93">
        <f>'Returns per Gal.'!Z10</f>
        <v>0.50550012804702282</v>
      </c>
      <c r="AB3" s="93">
        <f>'Returns per Gal.'!AA10</f>
        <v>0.30925411592581065</v>
      </c>
      <c r="AC3" s="80">
        <f>'Returns per Gal.'!AB10</f>
        <v>0</v>
      </c>
      <c r="AD3" s="15">
        <f>'Returns per Gal.'!AC10</f>
        <v>0</v>
      </c>
      <c r="AE3" s="81">
        <f>'Returns per Gal.'!AD10</f>
        <v>0</v>
      </c>
      <c r="AF3" s="93">
        <f>'Returns per Gal.'!AE10</f>
        <v>0.25394979160608705</v>
      </c>
      <c r="AG3" s="93">
        <f>'Returns per Gal.'!AF10</f>
        <v>0.53271299796452465</v>
      </c>
      <c r="AH3" s="93">
        <f>'Returns per Gal.'!AG10</f>
        <v>0.78666278957061164</v>
      </c>
      <c r="AI3" s="105">
        <f>'Returns per Gal.'!AH10</f>
        <v>0</v>
      </c>
      <c r="AJ3" s="104">
        <f>'Returns per Gal.'!AI10</f>
        <v>0</v>
      </c>
      <c r="AK3" s="93">
        <f>'Returns per Gal.'!AJ10</f>
        <v>1.2400627895706118</v>
      </c>
      <c r="AL3" s="93">
        <f>'Returns per Gal.'!AK10</f>
        <v>1.436308801691824</v>
      </c>
      <c r="AM3" s="105">
        <f>'Returns per Gal.'!AL10</f>
        <v>0</v>
      </c>
      <c r="AN3" s="104"/>
      <c r="AO3" s="93">
        <f>'Returns per Gal.'!AN10</f>
        <v>0.34190048638111481</v>
      </c>
      <c r="AP3" s="93">
        <f>'Returns per Gal.'!AO10</f>
        <v>0.14565447425990263</v>
      </c>
      <c r="AQ3" s="93">
        <f>'Returns per Gal.'!AP10</f>
        <v>0.30925411592581042</v>
      </c>
      <c r="AR3" s="93">
        <f>'Returns per Gal.'!AQ10</f>
        <v>-0.16359964166590779</v>
      </c>
      <c r="AS3" s="52"/>
      <c r="AU3" s="177">
        <f>'Returns per Bu.'!G10</f>
        <v>1.7757299715284061</v>
      </c>
      <c r="AV3" s="166">
        <f>'Returns per Bu.'!N10</f>
        <v>4.5085953364624212</v>
      </c>
      <c r="AW3" s="166">
        <f>'Returns per Bu.'!O10</f>
        <v>2.6571042019169671</v>
      </c>
      <c r="AX3" s="169">
        <f>'Returns per Bu.'!Z10</f>
        <v>0.26839002646064553</v>
      </c>
      <c r="AY3" s="162">
        <f>'Returns per Bu.'!AF10</f>
        <v>2.2419889502762431</v>
      </c>
      <c r="AZ3" s="172" t="e">
        <f>'Returns per Bu.'!#REF!</f>
        <v>#REF!</v>
      </c>
      <c r="BA3" s="15">
        <f t="shared" ref="BA3:BA66" si="0">AY3-BB3</f>
        <v>1.518232044198895</v>
      </c>
      <c r="BB3" s="93">
        <f>'Returns per Bu.'!AD10</f>
        <v>0.72375690607734811</v>
      </c>
      <c r="BC3" s="93">
        <f t="shared" ref="BC3:BC34" si="1">AG3</f>
        <v>0.53271299796452465</v>
      </c>
      <c r="BD3" s="93"/>
    </row>
    <row r="4" spans="1:56" hidden="1" x14ac:dyDescent="0.2">
      <c r="A4" s="6">
        <v>38412</v>
      </c>
      <c r="B4" s="6"/>
      <c r="C4" s="53"/>
      <c r="D4" s="93">
        <v>1.1538293723489537</v>
      </c>
      <c r="E4" s="95">
        <v>70.613113591425545</v>
      </c>
      <c r="F4" s="323"/>
      <c r="G4" s="93">
        <v>1.8650695244802427</v>
      </c>
      <c r="H4" s="96">
        <v>8.09</v>
      </c>
      <c r="I4" s="17">
        <f>'Returns per Gal.'!H11</f>
        <v>0</v>
      </c>
      <c r="J4" s="18"/>
      <c r="K4" s="93">
        <f>'Returns per Gal.'!J11</f>
        <v>1.1538293723489537</v>
      </c>
      <c r="L4" s="93">
        <f>'Returns per Gal.'!K11</f>
        <v>0.20936168766580554</v>
      </c>
      <c r="M4" s="93"/>
      <c r="N4" s="93">
        <f>'Returns per Gal.'!M11</f>
        <v>1.3631910600147592</v>
      </c>
      <c r="O4" s="93">
        <f>'Returns per Gal.'!N11</f>
        <v>0</v>
      </c>
      <c r="P4" s="104">
        <f>'Returns per Gal.'!O11</f>
        <v>0</v>
      </c>
      <c r="Q4" s="93">
        <f>'Returns per Gal.'!P11</f>
        <v>0.65441035946675175</v>
      </c>
      <c r="R4" s="93">
        <f>'Returns per Gal.'!Q11</f>
        <v>0.2427</v>
      </c>
      <c r="S4" s="93">
        <f>'Returns per Gal.'!R11</f>
        <v>0.21939999999999998</v>
      </c>
      <c r="T4" s="93">
        <f>'Returns per Gal.'!S11</f>
        <v>1.1165103594667518</v>
      </c>
      <c r="U4" s="93">
        <f>'Returns per Gal.'!T11</f>
        <v>0.19624601212121212</v>
      </c>
      <c r="V4" s="93">
        <f>'Returns per Gal.'!U11</f>
        <v>1.312756371587964</v>
      </c>
      <c r="W4" s="93">
        <f>'Returns per Gal.'!V11</f>
        <v>1.1033946839221584</v>
      </c>
      <c r="X4" s="105"/>
      <c r="Y4" s="93">
        <f>'Returns per Gal.'!V11</f>
        <v>1.1033946839221584</v>
      </c>
      <c r="Z4" s="93">
        <f>'Returns per Gal.'!Y11</f>
        <v>0.42758070054800745</v>
      </c>
      <c r="AA4" s="93">
        <f>'Returns per Gal.'!Z11</f>
        <v>0.24668070054800739</v>
      </c>
      <c r="AB4" s="93">
        <f>'Returns per Gal.'!AA11</f>
        <v>5.0434688426795216E-2</v>
      </c>
      <c r="AC4" s="80">
        <f>'Returns per Gal.'!AB11</f>
        <v>0</v>
      </c>
      <c r="AD4" s="15">
        <f>'Returns per Gal.'!AC11</f>
        <v>0</v>
      </c>
      <c r="AE4" s="81">
        <f>'Returns per Gal.'!AD11</f>
        <v>0</v>
      </c>
      <c r="AF4" s="93">
        <f>'Returns per Gal.'!AE11</f>
        <v>0.25394979160608705</v>
      </c>
      <c r="AG4" s="93">
        <f>'Returns per Gal.'!AF11</f>
        <v>0.53271299796452465</v>
      </c>
      <c r="AH4" s="93">
        <f>'Returns per Gal.'!AG11</f>
        <v>0.78666278957061164</v>
      </c>
      <c r="AI4" s="105">
        <f>'Returns per Gal.'!AH11</f>
        <v>0</v>
      </c>
      <c r="AJ4" s="104">
        <f>'Returns per Gal.'!AI11</f>
        <v>0</v>
      </c>
      <c r="AK4" s="93">
        <f>'Returns per Gal.'!AJ11</f>
        <v>1.2487627895706117</v>
      </c>
      <c r="AL4" s="93">
        <f>'Returns per Gal.'!AK11</f>
        <v>1.4450088016918239</v>
      </c>
      <c r="AM4" s="105">
        <f>'Returns per Gal.'!AL11</f>
        <v>0</v>
      </c>
      <c r="AN4" s="104"/>
      <c r="AO4" s="93">
        <f>'Returns per Gal.'!AN11</f>
        <v>0.1144282704441475</v>
      </c>
      <c r="AP4" s="93">
        <f>'Returns per Gal.'!AO11</f>
        <v>-8.1817741677064681E-2</v>
      </c>
      <c r="AQ4" s="93">
        <f>'Returns per Gal.'!AP11</f>
        <v>5.0434688426795216E-2</v>
      </c>
      <c r="AR4" s="93">
        <f>'Returns per Gal.'!AQ11</f>
        <v>-0.1322524301038599</v>
      </c>
      <c r="AS4" s="52"/>
      <c r="AU4" s="177">
        <f>'Returns per Bu.'!G11</f>
        <v>1.8650695244802427</v>
      </c>
      <c r="AV4" s="166">
        <f>'Returns per Bu.'!N11</f>
        <v>3.8850945210420642</v>
      </c>
      <c r="AW4" s="166">
        <f>'Returns per Bu.'!O11</f>
        <v>2.0088083864966091</v>
      </c>
      <c r="AX4" s="169">
        <f>'Returns per Bu.'!Z11</f>
        <v>4.377037091609573E-2</v>
      </c>
      <c r="AY4" s="162">
        <f>'Returns per Bu.'!AF11</f>
        <v>2.2419889502762431</v>
      </c>
      <c r="AZ4" s="172" t="e">
        <f>'Returns per Bu.'!#REF!</f>
        <v>#REF!</v>
      </c>
      <c r="BA4" s="15">
        <f t="shared" si="0"/>
        <v>1.518232044198895</v>
      </c>
      <c r="BB4" s="93">
        <f>'Returns per Bu.'!AD11</f>
        <v>0.72375690607734811</v>
      </c>
      <c r="BC4" s="93">
        <f t="shared" si="1"/>
        <v>0.53271299796452465</v>
      </c>
      <c r="BD4" s="93"/>
    </row>
    <row r="5" spans="1:56" hidden="1" x14ac:dyDescent="0.2">
      <c r="A5" s="8">
        <v>38443</v>
      </c>
      <c r="B5" s="8"/>
      <c r="C5" s="53"/>
      <c r="D5" s="93">
        <v>1.0569429365028582</v>
      </c>
      <c r="E5" s="95">
        <v>71.09347490837402</v>
      </c>
      <c r="F5" s="323"/>
      <c r="G5" s="93">
        <v>1.8301845561847634</v>
      </c>
      <c r="H5" s="96">
        <v>7.66</v>
      </c>
      <c r="I5" s="17">
        <f>'Returns per Gal.'!H12</f>
        <v>0</v>
      </c>
      <c r="J5" s="18"/>
      <c r="K5" s="93">
        <f>'Returns per Gal.'!J12</f>
        <v>1.0569429365028582</v>
      </c>
      <c r="L5" s="93">
        <f>'Returns per Gal.'!K12</f>
        <v>0.21078591683360015</v>
      </c>
      <c r="M5" s="93"/>
      <c r="N5" s="93">
        <f>'Returns per Gal.'!M12</f>
        <v>1.2677288533364584</v>
      </c>
      <c r="O5" s="93">
        <f>'Returns per Gal.'!N12</f>
        <v>0</v>
      </c>
      <c r="P5" s="104">
        <f>'Returns per Gal.'!O12</f>
        <v>0</v>
      </c>
      <c r="Q5" s="93">
        <f>'Returns per Gal.'!P12</f>
        <v>0.64217001971395204</v>
      </c>
      <c r="R5" s="93">
        <f>'Returns per Gal.'!Q12</f>
        <v>0.2298</v>
      </c>
      <c r="S5" s="93">
        <f>'Returns per Gal.'!R12</f>
        <v>0.21939999999999998</v>
      </c>
      <c r="T5" s="93">
        <f>'Returns per Gal.'!S12</f>
        <v>1.091370019713952</v>
      </c>
      <c r="U5" s="93">
        <f>'Returns per Gal.'!T12</f>
        <v>0.19624601212121212</v>
      </c>
      <c r="V5" s="93">
        <f>'Returns per Gal.'!U12</f>
        <v>1.2876160318351642</v>
      </c>
      <c r="W5" s="93">
        <f>'Returns per Gal.'!V12</f>
        <v>1.076830115001564</v>
      </c>
      <c r="X5" s="105"/>
      <c r="Y5" s="93">
        <f>'Returns per Gal.'!V12</f>
        <v>1.076830115001564</v>
      </c>
      <c r="Z5" s="93">
        <f>'Returns per Gal.'!Y12</f>
        <v>0.35725883362250632</v>
      </c>
      <c r="AA5" s="93">
        <f>'Returns per Gal.'!Z12</f>
        <v>0.17635883362250637</v>
      </c>
      <c r="AB5" s="93">
        <f>'Returns per Gal.'!AA12</f>
        <v>-1.9887178498705804E-2</v>
      </c>
      <c r="AC5" s="80">
        <f>'Returns per Gal.'!AB12</f>
        <v>0</v>
      </c>
      <c r="AD5" s="15">
        <f>'Returns per Gal.'!AC12</f>
        <v>0</v>
      </c>
      <c r="AE5" s="81">
        <f>'Returns per Gal.'!AD12</f>
        <v>0</v>
      </c>
      <c r="AF5" s="93">
        <f>'Returns per Gal.'!AE12</f>
        <v>0.25394979160608705</v>
      </c>
      <c r="AG5" s="93">
        <f>'Returns per Gal.'!AF12</f>
        <v>0.53271299796452465</v>
      </c>
      <c r="AH5" s="93">
        <f>'Returns per Gal.'!AG12</f>
        <v>0.78666278957061164</v>
      </c>
      <c r="AI5" s="105">
        <f>'Returns per Gal.'!AH12</f>
        <v>0</v>
      </c>
      <c r="AJ5" s="104">
        <f>'Returns per Gal.'!AI12</f>
        <v>0</v>
      </c>
      <c r="AK5" s="93">
        <f>'Returns per Gal.'!AJ12</f>
        <v>1.2358627895706118</v>
      </c>
      <c r="AL5" s="93">
        <f>'Returns per Gal.'!AK12</f>
        <v>1.432108801691824</v>
      </c>
      <c r="AM5" s="105">
        <f>'Returns per Gal.'!AL12</f>
        <v>0</v>
      </c>
      <c r="AN5" s="104"/>
      <c r="AO5" s="93">
        <f>'Returns per Gal.'!AN12</f>
        <v>3.1866063765846553E-2</v>
      </c>
      <c r="AP5" s="93">
        <f>'Returns per Gal.'!AO12</f>
        <v>-0.16437994835536562</v>
      </c>
      <c r="AQ5" s="93">
        <f>'Returns per Gal.'!AP12</f>
        <v>-1.9887178498706026E-2</v>
      </c>
      <c r="AR5" s="93">
        <f>'Returns per Gal.'!AQ12</f>
        <v>-0.1444927698566596</v>
      </c>
      <c r="AS5" s="52"/>
      <c r="AU5" s="177">
        <f>'Returns per Bu.'!G12</f>
        <v>1.8301845561847634</v>
      </c>
      <c r="AV5" s="166">
        <f>'Returns per Bu.'!N12</f>
        <v>3.6130272320089065</v>
      </c>
      <c r="AW5" s="166">
        <f>'Returns per Bu.'!O12</f>
        <v>1.7735060974634516</v>
      </c>
      <c r="AX5" s="169">
        <f>'Returns per Bu.'!Z12</f>
        <v>-1.7259334924343301E-2</v>
      </c>
      <c r="AY5" s="162">
        <f>'Returns per Bu.'!AF12</f>
        <v>2.2419889502762431</v>
      </c>
      <c r="AZ5" s="172" t="e">
        <f>'Returns per Bu.'!#REF!</f>
        <v>#REF!</v>
      </c>
      <c r="BA5" s="15">
        <f t="shared" si="0"/>
        <v>1.518232044198895</v>
      </c>
      <c r="BB5" s="93">
        <f>'Returns per Bu.'!AD12</f>
        <v>0.72375690607734811</v>
      </c>
      <c r="BC5" s="93">
        <f t="shared" si="1"/>
        <v>0.53271299796452465</v>
      </c>
      <c r="BD5" s="93"/>
    </row>
    <row r="6" spans="1:56" hidden="1" x14ac:dyDescent="0.2">
      <c r="A6" s="6">
        <v>38473</v>
      </c>
      <c r="B6" s="6"/>
      <c r="C6" s="53"/>
      <c r="D6" s="93">
        <v>1.0569429365028582</v>
      </c>
      <c r="E6" s="95">
        <v>73.014920176167905</v>
      </c>
      <c r="F6" s="323"/>
      <c r="G6" s="93">
        <v>1.8259302917584859</v>
      </c>
      <c r="H6" s="96">
        <v>8.11</v>
      </c>
      <c r="I6" s="17">
        <f>'Returns per Gal.'!H13</f>
        <v>0</v>
      </c>
      <c r="J6" s="18"/>
      <c r="K6" s="93">
        <f>'Returns per Gal.'!J13</f>
        <v>1.0569429365028582</v>
      </c>
      <c r="L6" s="93">
        <f>'Returns per Gal.'!K13</f>
        <v>0.21648283350477851</v>
      </c>
      <c r="M6" s="93"/>
      <c r="N6" s="93">
        <f>'Returns per Gal.'!M13</f>
        <v>1.2734257700076368</v>
      </c>
      <c r="O6" s="93">
        <f>'Returns per Gal.'!N13</f>
        <v>0</v>
      </c>
      <c r="P6" s="104">
        <f>'Returns per Gal.'!O13</f>
        <v>0</v>
      </c>
      <c r="Q6" s="93">
        <f>'Returns per Gal.'!P13</f>
        <v>0.64067729535385465</v>
      </c>
      <c r="R6" s="93">
        <f>'Returns per Gal.'!Q13</f>
        <v>0.24329999999999996</v>
      </c>
      <c r="S6" s="93">
        <f>'Returns per Gal.'!R13</f>
        <v>0.21939999999999998</v>
      </c>
      <c r="T6" s="93">
        <f>'Returns per Gal.'!S13</f>
        <v>1.1033772953538545</v>
      </c>
      <c r="U6" s="93">
        <f>'Returns per Gal.'!T13</f>
        <v>0.19624601212121212</v>
      </c>
      <c r="V6" s="93">
        <f>'Returns per Gal.'!U13</f>
        <v>1.2996233074750667</v>
      </c>
      <c r="W6" s="93">
        <f>'Returns per Gal.'!V13</f>
        <v>1.0831404739702881</v>
      </c>
      <c r="X6" s="105"/>
      <c r="Y6" s="93">
        <f>'Returns per Gal.'!V13</f>
        <v>1.0831404739702881</v>
      </c>
      <c r="Z6" s="93">
        <f>'Returns per Gal.'!Y13</f>
        <v>0.35094847465378221</v>
      </c>
      <c r="AA6" s="93">
        <f>'Returns per Gal.'!Z13</f>
        <v>0.17004847465378226</v>
      </c>
      <c r="AB6" s="93">
        <f>'Returns per Gal.'!AA13</f>
        <v>-2.6197537467429921E-2</v>
      </c>
      <c r="AC6" s="80">
        <f>'Returns per Gal.'!AB13</f>
        <v>0</v>
      </c>
      <c r="AD6" s="15">
        <f>'Returns per Gal.'!AC13</f>
        <v>0</v>
      </c>
      <c r="AE6" s="81">
        <f>'Returns per Gal.'!AD13</f>
        <v>0</v>
      </c>
      <c r="AF6" s="93">
        <f>'Returns per Gal.'!AE13</f>
        <v>0.25394979160608705</v>
      </c>
      <c r="AG6" s="93">
        <f>'Returns per Gal.'!AF13</f>
        <v>0.53271299796452465</v>
      </c>
      <c r="AH6" s="93">
        <f>'Returns per Gal.'!AG13</f>
        <v>0.78666278957061164</v>
      </c>
      <c r="AI6" s="105">
        <f>'Returns per Gal.'!AH13</f>
        <v>0</v>
      </c>
      <c r="AJ6" s="104">
        <f>'Returns per Gal.'!AI13</f>
        <v>0</v>
      </c>
      <c r="AK6" s="93">
        <f>'Returns per Gal.'!AJ13</f>
        <v>1.2493627895706116</v>
      </c>
      <c r="AL6" s="93">
        <f>'Returns per Gal.'!AK13</f>
        <v>1.4456088016918238</v>
      </c>
      <c r="AM6" s="105">
        <f>'Returns per Gal.'!AL13</f>
        <v>0</v>
      </c>
      <c r="AN6" s="104"/>
      <c r="AO6" s="93">
        <f>'Returns per Gal.'!AN13</f>
        <v>2.406298043702515E-2</v>
      </c>
      <c r="AP6" s="93">
        <f>'Returns per Gal.'!AO13</f>
        <v>-0.17218303168418703</v>
      </c>
      <c r="AQ6" s="93">
        <f>'Returns per Gal.'!AP13</f>
        <v>-2.6197537467430032E-2</v>
      </c>
      <c r="AR6" s="93">
        <f>'Returns per Gal.'!AQ13</f>
        <v>-0.14598549421675699</v>
      </c>
      <c r="AS6" s="52"/>
      <c r="AU6" s="177">
        <f>'Returns per Bu.'!G13</f>
        <v>1.8259302917584859</v>
      </c>
      <c r="AV6" s="166">
        <f>'Returns per Bu.'!N13</f>
        <v>3.6292634445217646</v>
      </c>
      <c r="AW6" s="166">
        <f>'Returns per Bu.'!O13</f>
        <v>1.7512673099763099</v>
      </c>
      <c r="AX6" s="169">
        <f>'Returns per Bu.'!Z13</f>
        <v>-2.2735858350787778E-2</v>
      </c>
      <c r="AY6" s="162">
        <f>'Returns per Bu.'!AF13</f>
        <v>2.2419889502762431</v>
      </c>
      <c r="AZ6" s="172" t="e">
        <f>'Returns per Bu.'!#REF!</f>
        <v>#REF!</v>
      </c>
      <c r="BA6" s="15">
        <f t="shared" si="0"/>
        <v>1.518232044198895</v>
      </c>
      <c r="BB6" s="93">
        <f>'Returns per Bu.'!AD13</f>
        <v>0.72375690607734811</v>
      </c>
      <c r="BC6" s="93">
        <f t="shared" si="1"/>
        <v>0.53271299796452465</v>
      </c>
      <c r="BD6" s="93"/>
    </row>
    <row r="7" spans="1:56" hidden="1" x14ac:dyDescent="0.2">
      <c r="A7" s="8">
        <v>38504</v>
      </c>
      <c r="B7" s="8"/>
      <c r="C7" s="53"/>
      <c r="D7" s="93">
        <v>1.2507158081950489</v>
      </c>
      <c r="E7" s="95">
        <v>73.014920176167905</v>
      </c>
      <c r="F7" s="323"/>
      <c r="G7" s="93">
        <v>1.8691536183294688</v>
      </c>
      <c r="H7" s="96">
        <v>7.65</v>
      </c>
      <c r="I7" s="17">
        <f>'Returns per Gal.'!H14</f>
        <v>0</v>
      </c>
      <c r="J7" s="18"/>
      <c r="K7" s="93">
        <f>'Returns per Gal.'!J14</f>
        <v>1.2507158081950489</v>
      </c>
      <c r="L7" s="93">
        <f>'Returns per Gal.'!K14</f>
        <v>0.21648283350477851</v>
      </c>
      <c r="M7" s="93"/>
      <c r="N7" s="93">
        <f>'Returns per Gal.'!M14</f>
        <v>1.4671986416998275</v>
      </c>
      <c r="O7" s="93">
        <f>'Returns per Gal.'!N14</f>
        <v>0</v>
      </c>
      <c r="P7" s="104">
        <f>'Returns per Gal.'!O14</f>
        <v>0</v>
      </c>
      <c r="Q7" s="93">
        <f>'Returns per Gal.'!P14</f>
        <v>0.65584337485244515</v>
      </c>
      <c r="R7" s="93">
        <f>'Returns per Gal.'!Q14</f>
        <v>0.22950000000000001</v>
      </c>
      <c r="S7" s="93">
        <f>'Returns per Gal.'!R14</f>
        <v>0.21939999999999998</v>
      </c>
      <c r="T7" s="93">
        <f>'Returns per Gal.'!S14</f>
        <v>1.1047433748524451</v>
      </c>
      <c r="U7" s="93">
        <f>'Returns per Gal.'!T14</f>
        <v>0.19624601212121212</v>
      </c>
      <c r="V7" s="93">
        <f>'Returns per Gal.'!U14</f>
        <v>1.3009893869736573</v>
      </c>
      <c r="W7" s="93">
        <f>'Returns per Gal.'!V14</f>
        <v>1.0845065534688787</v>
      </c>
      <c r="X7" s="105"/>
      <c r="Y7" s="93">
        <f>'Returns per Gal.'!V14</f>
        <v>1.0845065534688787</v>
      </c>
      <c r="Z7" s="93">
        <f>'Returns per Gal.'!Y14</f>
        <v>0.54335526684738233</v>
      </c>
      <c r="AA7" s="93">
        <f>'Returns per Gal.'!Z14</f>
        <v>0.36245526684738238</v>
      </c>
      <c r="AB7" s="93">
        <f>'Returns per Gal.'!AA14</f>
        <v>0.16620925472617021</v>
      </c>
      <c r="AC7" s="80">
        <f>'Returns per Gal.'!AB14</f>
        <v>0</v>
      </c>
      <c r="AD7" s="15">
        <f>'Returns per Gal.'!AC14</f>
        <v>0</v>
      </c>
      <c r="AE7" s="81">
        <f>'Returns per Gal.'!AD14</f>
        <v>0</v>
      </c>
      <c r="AF7" s="93">
        <f>'Returns per Gal.'!AE14</f>
        <v>0.25394979160608705</v>
      </c>
      <c r="AG7" s="93">
        <f>'Returns per Gal.'!AF14</f>
        <v>0.53271299796452465</v>
      </c>
      <c r="AH7" s="93">
        <f>'Returns per Gal.'!AG14</f>
        <v>0.78666278957061164</v>
      </c>
      <c r="AI7" s="105">
        <f>'Returns per Gal.'!AH14</f>
        <v>0</v>
      </c>
      <c r="AJ7" s="104">
        <f>'Returns per Gal.'!AI14</f>
        <v>0</v>
      </c>
      <c r="AK7" s="93">
        <f>'Returns per Gal.'!AJ14</f>
        <v>1.2355627895706116</v>
      </c>
      <c r="AL7" s="93">
        <f>'Returns per Gal.'!AK14</f>
        <v>1.4318088016918238</v>
      </c>
      <c r="AM7" s="105">
        <f>'Returns per Gal.'!AL14</f>
        <v>0</v>
      </c>
      <c r="AN7" s="104"/>
      <c r="AO7" s="93">
        <f>'Returns per Gal.'!AN14</f>
        <v>0.23163585212921589</v>
      </c>
      <c r="AP7" s="93">
        <f>'Returns per Gal.'!AO14</f>
        <v>3.5389840008003715E-2</v>
      </c>
      <c r="AQ7" s="93">
        <f>'Returns per Gal.'!AP14</f>
        <v>0.16620925472617021</v>
      </c>
      <c r="AR7" s="93">
        <f>'Returns per Gal.'!AQ14</f>
        <v>-0.13081941471816649</v>
      </c>
      <c r="AS7" s="52"/>
      <c r="AU7" s="177">
        <f>'Returns per Bu.'!G14</f>
        <v>1.8691536183294688</v>
      </c>
      <c r="AV7" s="166">
        <f>'Returns per Bu.'!N14</f>
        <v>4.1815161288445086</v>
      </c>
      <c r="AW7" s="166">
        <f>'Returns per Bu.'!O14</f>
        <v>2.3428499942990535</v>
      </c>
      <c r="AX7" s="169">
        <f>'Returns per Bu.'!Z14</f>
        <v>0.1442467665803436</v>
      </c>
      <c r="AY7" s="162">
        <f>'Returns per Bu.'!AF14</f>
        <v>2.2419889502762431</v>
      </c>
      <c r="AZ7" s="172" t="e">
        <f>'Returns per Bu.'!#REF!</f>
        <v>#REF!</v>
      </c>
      <c r="BA7" s="15">
        <f t="shared" si="0"/>
        <v>1.518232044198895</v>
      </c>
      <c r="BB7" s="93">
        <f>'Returns per Bu.'!AD14</f>
        <v>0.72375690607734811</v>
      </c>
      <c r="BC7" s="93">
        <f t="shared" si="1"/>
        <v>0.53271299796452465</v>
      </c>
      <c r="BD7" s="93"/>
    </row>
    <row r="8" spans="1:56" hidden="1" x14ac:dyDescent="0.2">
      <c r="A8" s="6">
        <v>38534</v>
      </c>
      <c r="B8" s="6"/>
      <c r="C8" s="53"/>
      <c r="D8" s="93">
        <v>1.5677986891459064</v>
      </c>
      <c r="E8" s="95">
        <v>76.85781071175569</v>
      </c>
      <c r="F8" s="323"/>
      <c r="G8" s="93">
        <v>1.9978025745801133</v>
      </c>
      <c r="H8" s="96">
        <v>7.92</v>
      </c>
      <c r="I8" s="17">
        <f>'Returns per Gal.'!H15</f>
        <v>0</v>
      </c>
      <c r="J8" s="18"/>
      <c r="K8" s="93">
        <f>'Returns per Gal.'!J15</f>
        <v>1.5677986891459064</v>
      </c>
      <c r="L8" s="93">
        <f>'Returns per Gal.'!K15</f>
        <v>0.22787666684713528</v>
      </c>
      <c r="M8" s="93"/>
      <c r="N8" s="93">
        <f>'Returns per Gal.'!M15</f>
        <v>1.7956753559930416</v>
      </c>
      <c r="O8" s="93">
        <f>'Returns per Gal.'!N15</f>
        <v>0</v>
      </c>
      <c r="P8" s="104">
        <f>'Returns per Gal.'!O15</f>
        <v>0</v>
      </c>
      <c r="Q8" s="93">
        <f>'Returns per Gal.'!P15</f>
        <v>0.70098335950179413</v>
      </c>
      <c r="R8" s="93">
        <f>'Returns per Gal.'!Q15</f>
        <v>0.23760000000000001</v>
      </c>
      <c r="S8" s="93">
        <f>'Returns per Gal.'!R15</f>
        <v>0.21939999999999998</v>
      </c>
      <c r="T8" s="93">
        <f>'Returns per Gal.'!S15</f>
        <v>1.1579833595017941</v>
      </c>
      <c r="U8" s="93">
        <f>'Returns per Gal.'!T15</f>
        <v>0.19624601212121212</v>
      </c>
      <c r="V8" s="93">
        <f>'Returns per Gal.'!U15</f>
        <v>1.3542293716230063</v>
      </c>
      <c r="W8" s="93">
        <f>'Returns per Gal.'!V15</f>
        <v>1.126352704775871</v>
      </c>
      <c r="X8" s="105"/>
      <c r="Y8" s="93">
        <f>'Returns per Gal.'!V15</f>
        <v>1.126352704775871</v>
      </c>
      <c r="Z8" s="93">
        <f>'Returns per Gal.'!Y15</f>
        <v>0.81859199649124736</v>
      </c>
      <c r="AA8" s="93">
        <f>'Returns per Gal.'!Z15</f>
        <v>0.63769199649124753</v>
      </c>
      <c r="AB8" s="93">
        <f>'Returns per Gal.'!AA15</f>
        <v>0.44144598437003535</v>
      </c>
      <c r="AC8" s="80">
        <f>'Returns per Gal.'!AB15</f>
        <v>0</v>
      </c>
      <c r="AD8" s="15">
        <f>'Returns per Gal.'!AC15</f>
        <v>0</v>
      </c>
      <c r="AE8" s="81">
        <f>'Returns per Gal.'!AD15</f>
        <v>0</v>
      </c>
      <c r="AF8" s="93">
        <f>'Returns per Gal.'!AE15</f>
        <v>0.25394979160608705</v>
      </c>
      <c r="AG8" s="93">
        <f>'Returns per Gal.'!AF15</f>
        <v>0.53271299796452465</v>
      </c>
      <c r="AH8" s="93">
        <f>'Returns per Gal.'!AG15</f>
        <v>0.78666278957061164</v>
      </c>
      <c r="AI8" s="105">
        <f>'Returns per Gal.'!AH15</f>
        <v>0</v>
      </c>
      <c r="AJ8" s="104">
        <f>'Returns per Gal.'!AI15</f>
        <v>0</v>
      </c>
      <c r="AK8" s="93">
        <f>'Returns per Gal.'!AJ15</f>
        <v>1.2436627895706116</v>
      </c>
      <c r="AL8" s="93">
        <f>'Returns per Gal.'!AK15</f>
        <v>1.4399088016918238</v>
      </c>
      <c r="AM8" s="105">
        <f>'Returns per Gal.'!AL15</f>
        <v>0</v>
      </c>
      <c r="AN8" s="104"/>
      <c r="AO8" s="93">
        <f>'Returns per Gal.'!AN15</f>
        <v>0.55201256642243002</v>
      </c>
      <c r="AP8" s="93">
        <f>'Returns per Gal.'!AO15</f>
        <v>0.35576655430121784</v>
      </c>
      <c r="AQ8" s="93">
        <f>'Returns per Gal.'!AP15</f>
        <v>0.44144598437003535</v>
      </c>
      <c r="AR8" s="93">
        <f>'Returns per Gal.'!AQ15</f>
        <v>-8.5679430068817508E-2</v>
      </c>
      <c r="AS8" s="52"/>
      <c r="AU8" s="177">
        <f>'Returns per Bu.'!G15</f>
        <v>1.9978025745801133</v>
      </c>
      <c r="AV8" s="166">
        <f>'Returns per Bu.'!N15</f>
        <v>5.117674764580169</v>
      </c>
      <c r="AW8" s="166">
        <f>'Returns per Bu.'!O15</f>
        <v>3.2559236300347143</v>
      </c>
      <c r="AX8" s="169">
        <f>'Returns per Bu.'!Z15</f>
        <v>0.3831143817482528</v>
      </c>
      <c r="AY8" s="162">
        <f>'Returns per Bu.'!AF15</f>
        <v>2.2419889502762431</v>
      </c>
      <c r="AZ8" s="172" t="e">
        <f>'Returns per Bu.'!#REF!</f>
        <v>#REF!</v>
      </c>
      <c r="BA8" s="15">
        <f t="shared" si="0"/>
        <v>1.518232044198895</v>
      </c>
      <c r="BB8" s="93">
        <f>'Returns per Bu.'!AD15</f>
        <v>0.72375690607734811</v>
      </c>
      <c r="BC8" s="93">
        <f t="shared" si="1"/>
        <v>0.53271299796452465</v>
      </c>
      <c r="BD8" s="93"/>
    </row>
    <row r="9" spans="1:56" hidden="1" x14ac:dyDescent="0.2">
      <c r="A9" s="8">
        <v>38565</v>
      </c>
      <c r="B9" s="8"/>
      <c r="C9" s="53"/>
      <c r="D9" s="93">
        <v>1.8232265654674302</v>
      </c>
      <c r="E9" s="95">
        <v>76.85781071175569</v>
      </c>
      <c r="F9" s="323"/>
      <c r="G9" s="93">
        <v>1.7459501205444605</v>
      </c>
      <c r="H9" s="96">
        <v>9.24</v>
      </c>
      <c r="I9" s="17">
        <f>'Returns per Gal.'!H16</f>
        <v>0</v>
      </c>
      <c r="J9" s="18"/>
      <c r="K9" s="93">
        <f>'Returns per Gal.'!J16</f>
        <v>1.8232265654674302</v>
      </c>
      <c r="L9" s="93">
        <f>'Returns per Gal.'!K16</f>
        <v>0.22787666684713528</v>
      </c>
      <c r="M9" s="93"/>
      <c r="N9" s="93">
        <f>'Returns per Gal.'!M16</f>
        <v>2.0511032323145657</v>
      </c>
      <c r="O9" s="93">
        <f>'Returns per Gal.'!N16</f>
        <v>0</v>
      </c>
      <c r="P9" s="104">
        <f>'Returns per Gal.'!O16</f>
        <v>0</v>
      </c>
      <c r="Q9" s="93">
        <f>'Returns per Gal.'!P16</f>
        <v>0.61261407738402118</v>
      </c>
      <c r="R9" s="93">
        <f>'Returns per Gal.'!Q16</f>
        <v>0.2772</v>
      </c>
      <c r="S9" s="93">
        <f>'Returns per Gal.'!R16</f>
        <v>0.21939999999999998</v>
      </c>
      <c r="T9" s="93">
        <f>'Returns per Gal.'!S16</f>
        <v>1.1092140773840211</v>
      </c>
      <c r="U9" s="93">
        <f>'Returns per Gal.'!T16</f>
        <v>0.19624601212121212</v>
      </c>
      <c r="V9" s="93">
        <f>'Returns per Gal.'!U16</f>
        <v>1.3054600895052333</v>
      </c>
      <c r="W9" s="93">
        <f>'Returns per Gal.'!V16</f>
        <v>1.077583422658098</v>
      </c>
      <c r="X9" s="105"/>
      <c r="Y9" s="93">
        <f>'Returns per Gal.'!V16</f>
        <v>1.077583422658098</v>
      </c>
      <c r="Z9" s="93">
        <f>'Returns per Gal.'!Y16</f>
        <v>1.1227891549305444</v>
      </c>
      <c r="AA9" s="93">
        <f>'Returns per Gal.'!Z16</f>
        <v>0.94188915493054459</v>
      </c>
      <c r="AB9" s="93">
        <f>'Returns per Gal.'!AA16</f>
        <v>0.74564314280933242</v>
      </c>
      <c r="AC9" s="80">
        <f>'Returns per Gal.'!AB16</f>
        <v>0</v>
      </c>
      <c r="AD9" s="15">
        <f>'Returns per Gal.'!AC16</f>
        <v>0</v>
      </c>
      <c r="AE9" s="81">
        <f>'Returns per Gal.'!AD16</f>
        <v>0</v>
      </c>
      <c r="AF9" s="93">
        <f>'Returns per Gal.'!AE16</f>
        <v>0.25394979160608705</v>
      </c>
      <c r="AG9" s="93">
        <f>'Returns per Gal.'!AF16</f>
        <v>0.53271299796452465</v>
      </c>
      <c r="AH9" s="93">
        <f>'Returns per Gal.'!AG16</f>
        <v>0.78666278957061164</v>
      </c>
      <c r="AI9" s="105">
        <f>'Returns per Gal.'!AH16</f>
        <v>0</v>
      </c>
      <c r="AJ9" s="104">
        <f>'Returns per Gal.'!AI16</f>
        <v>0</v>
      </c>
      <c r="AK9" s="93">
        <f>'Returns per Gal.'!AJ16</f>
        <v>1.2832627895706117</v>
      </c>
      <c r="AL9" s="93">
        <f>'Returns per Gal.'!AK16</f>
        <v>1.4795088016918239</v>
      </c>
      <c r="AM9" s="105">
        <f>'Returns per Gal.'!AL16</f>
        <v>0</v>
      </c>
      <c r="AN9" s="104"/>
      <c r="AO9" s="93">
        <f>'Returns per Gal.'!AN16</f>
        <v>0.76784044274395402</v>
      </c>
      <c r="AP9" s="93">
        <f>'Returns per Gal.'!AO16</f>
        <v>0.57159443062274184</v>
      </c>
      <c r="AQ9" s="93">
        <f>'Returns per Gal.'!AP16</f>
        <v>0.7456431428093323</v>
      </c>
      <c r="AR9" s="93">
        <f>'Returns per Gal.'!AQ16</f>
        <v>-0.17404871218659046</v>
      </c>
      <c r="AS9" s="52"/>
      <c r="AU9" s="177">
        <f>'Returns per Bu.'!G16</f>
        <v>1.7459501205444605</v>
      </c>
      <c r="AV9" s="166">
        <f>'Returns per Bu.'!N16</f>
        <v>5.845644212096512</v>
      </c>
      <c r="AW9" s="166">
        <f>'Returns per Bu.'!O16</f>
        <v>3.8710330775510569</v>
      </c>
      <c r="AX9" s="169">
        <f>'Returns per Bu.'!Z16</f>
        <v>0.64711566483016358</v>
      </c>
      <c r="AY9" s="162">
        <f>'Returns per Bu.'!AF16</f>
        <v>2.2419889502762431</v>
      </c>
      <c r="AZ9" s="172" t="e">
        <f>'Returns per Bu.'!#REF!</f>
        <v>#REF!</v>
      </c>
      <c r="BA9" s="15">
        <f t="shared" si="0"/>
        <v>1.518232044198895</v>
      </c>
      <c r="BB9" s="93">
        <f>'Returns per Bu.'!AD16</f>
        <v>0.72375690607734811</v>
      </c>
      <c r="BC9" s="93">
        <f t="shared" si="1"/>
        <v>0.53271299796452465</v>
      </c>
      <c r="BD9" s="93"/>
    </row>
    <row r="10" spans="1:56" hidden="1" x14ac:dyDescent="0.2">
      <c r="A10" s="6">
        <v>38596</v>
      </c>
      <c r="B10" s="6"/>
      <c r="C10" s="53"/>
      <c r="D10" s="93">
        <v>2.4133530383481934</v>
      </c>
      <c r="E10" s="95">
        <v>74.93636544396179</v>
      </c>
      <c r="F10" s="323"/>
      <c r="G10" s="93">
        <v>1.5764602258015483</v>
      </c>
      <c r="H10" s="96">
        <v>10.27</v>
      </c>
      <c r="I10" s="17">
        <f>'Returns per Gal.'!H17</f>
        <v>0</v>
      </c>
      <c r="J10" s="18"/>
      <c r="K10" s="93">
        <f>'Returns per Gal.'!J17</f>
        <v>2.4133530383481934</v>
      </c>
      <c r="L10" s="93">
        <f>'Returns per Gal.'!K17</f>
        <v>0.22217975017595687</v>
      </c>
      <c r="M10" s="93"/>
      <c r="N10" s="93">
        <f>'Returns per Gal.'!M17</f>
        <v>2.6355327885241504</v>
      </c>
      <c r="O10" s="93">
        <f>'Returns per Gal.'!N17</f>
        <v>0</v>
      </c>
      <c r="P10" s="104">
        <f>'Returns per Gal.'!O17</f>
        <v>0</v>
      </c>
      <c r="Q10" s="93">
        <f>'Returns per Gal.'!P17</f>
        <v>0.55314393887773627</v>
      </c>
      <c r="R10" s="93">
        <f>'Returns per Gal.'!Q17</f>
        <v>0.30809999999999998</v>
      </c>
      <c r="S10" s="93">
        <f>'Returns per Gal.'!R17</f>
        <v>0.21939999999999998</v>
      </c>
      <c r="T10" s="93">
        <f>'Returns per Gal.'!S17</f>
        <v>1.0806439388777362</v>
      </c>
      <c r="U10" s="93">
        <f>'Returns per Gal.'!T17</f>
        <v>0.19624601212121212</v>
      </c>
      <c r="V10" s="93">
        <f>'Returns per Gal.'!U17</f>
        <v>1.2768899509989484</v>
      </c>
      <c r="W10" s="93">
        <f>'Returns per Gal.'!V17</f>
        <v>1.0547102008229916</v>
      </c>
      <c r="X10" s="105"/>
      <c r="Y10" s="93">
        <f>'Returns per Gal.'!V17</f>
        <v>1.0547102008229916</v>
      </c>
      <c r="Z10" s="93">
        <f>'Returns per Gal.'!Y17</f>
        <v>1.735788849646414</v>
      </c>
      <c r="AA10" s="93">
        <f>'Returns per Gal.'!Z17</f>
        <v>1.5548888496464142</v>
      </c>
      <c r="AB10" s="93">
        <f>'Returns per Gal.'!AA17</f>
        <v>1.358642837525202</v>
      </c>
      <c r="AC10" s="80">
        <f>'Returns per Gal.'!AB17</f>
        <v>0</v>
      </c>
      <c r="AD10" s="15">
        <f>'Returns per Gal.'!AC17</f>
        <v>0</v>
      </c>
      <c r="AE10" s="81">
        <f>'Returns per Gal.'!AD17</f>
        <v>0</v>
      </c>
      <c r="AF10" s="93">
        <f>'Returns per Gal.'!AE17</f>
        <v>0.27380590203833283</v>
      </c>
      <c r="AG10" s="93">
        <f>'Returns per Gal.'!AF17</f>
        <v>0.6268329783997566</v>
      </c>
      <c r="AH10" s="93">
        <f>'Returns per Gal.'!AG17</f>
        <v>0.90063888043808937</v>
      </c>
      <c r="AI10" s="105">
        <f>'Returns per Gal.'!AH17</f>
        <v>0</v>
      </c>
      <c r="AJ10" s="104">
        <f>'Returns per Gal.'!AI17</f>
        <v>0</v>
      </c>
      <c r="AK10" s="93">
        <f>'Returns per Gal.'!AJ17</f>
        <v>1.4281388804380895</v>
      </c>
      <c r="AL10" s="93">
        <f>'Returns per Gal.'!AK17</f>
        <v>1.6243848925593016</v>
      </c>
      <c r="AM10" s="105">
        <f>'Returns per Gal.'!AL17</f>
        <v>0</v>
      </c>
      <c r="AN10" s="104"/>
      <c r="AO10" s="93">
        <f>'Returns per Gal.'!AN17</f>
        <v>1.207393908086061</v>
      </c>
      <c r="AP10" s="93">
        <f>'Returns per Gal.'!AO17</f>
        <v>1.0111478959648488</v>
      </c>
      <c r="AQ10" s="93">
        <f>'Returns per Gal.'!AP17</f>
        <v>1.3586428375252018</v>
      </c>
      <c r="AR10" s="93">
        <f>'Returns per Gal.'!AQ17</f>
        <v>-0.3474949415603531</v>
      </c>
      <c r="AS10" s="52"/>
      <c r="AU10" s="177">
        <f>'Returns per Bu.'!G17</f>
        <v>1.5764602258015483</v>
      </c>
      <c r="AV10" s="166">
        <f>'Returns per Bu.'!N17</f>
        <v>7.5112684472938289</v>
      </c>
      <c r="AW10" s="166">
        <f>'Returns per Bu.'!O17</f>
        <v>5.4485923127483735</v>
      </c>
      <c r="AX10" s="169">
        <f>'Returns per Bu.'!Z17</f>
        <v>1.1791150653640226</v>
      </c>
      <c r="AY10" s="162">
        <f>'Returns per Bu.'!AF17</f>
        <v>2.5668208092485547</v>
      </c>
      <c r="AZ10" s="172" t="e">
        <f>'Returns per Bu.'!#REF!</f>
        <v>#REF!</v>
      </c>
      <c r="BA10" s="15">
        <f t="shared" si="0"/>
        <v>1.7864739884393062</v>
      </c>
      <c r="BB10" s="93">
        <f>'Returns per Bu.'!AD17</f>
        <v>0.78034682080924855</v>
      </c>
      <c r="BC10" s="93">
        <f t="shared" si="1"/>
        <v>0.6268329783997566</v>
      </c>
      <c r="BD10" s="93"/>
    </row>
    <row r="11" spans="1:56" hidden="1" x14ac:dyDescent="0.2">
      <c r="A11" s="8">
        <v>38626</v>
      </c>
      <c r="B11" s="8"/>
      <c r="C11" s="53"/>
      <c r="D11" s="93">
        <v>2.1755408776350502</v>
      </c>
      <c r="E11" s="95">
        <v>74.93636544396179</v>
      </c>
      <c r="F11" s="323"/>
      <c r="G11" s="93">
        <v>1.4847382847709956</v>
      </c>
      <c r="H11" s="96">
        <v>11.53</v>
      </c>
      <c r="I11" s="17">
        <f>'Returns per Gal.'!H18</f>
        <v>0</v>
      </c>
      <c r="J11" s="18"/>
      <c r="K11" s="93">
        <f>'Returns per Gal.'!J18</f>
        <v>2.1755408776350502</v>
      </c>
      <c r="L11" s="93">
        <f>'Returns per Gal.'!K18</f>
        <v>0.22217975017595687</v>
      </c>
      <c r="M11" s="93"/>
      <c r="N11" s="93">
        <f>'Returns per Gal.'!M18</f>
        <v>2.3977206278110073</v>
      </c>
      <c r="O11" s="93">
        <f>'Returns per Gal.'!N18</f>
        <v>0</v>
      </c>
      <c r="P11" s="104">
        <f>'Returns per Gal.'!O18</f>
        <v>0</v>
      </c>
      <c r="Q11" s="93">
        <f>'Returns per Gal.'!P18</f>
        <v>0.52096080167403347</v>
      </c>
      <c r="R11" s="93">
        <f>'Returns per Gal.'!Q18</f>
        <v>0.34589999999999999</v>
      </c>
      <c r="S11" s="93">
        <f>'Returns per Gal.'!R18</f>
        <v>0.21939999999999998</v>
      </c>
      <c r="T11" s="93">
        <f>'Returns per Gal.'!S18</f>
        <v>1.0862608016740334</v>
      </c>
      <c r="U11" s="93">
        <f>'Returns per Gal.'!T18</f>
        <v>0.19624601212121212</v>
      </c>
      <c r="V11" s="93">
        <f>'Returns per Gal.'!U18</f>
        <v>1.2825068137952456</v>
      </c>
      <c r="W11" s="93">
        <f>'Returns per Gal.'!V18</f>
        <v>1.0603270636192887</v>
      </c>
      <c r="X11" s="105"/>
      <c r="Y11" s="93">
        <f>'Returns per Gal.'!V18</f>
        <v>1.0603270636192887</v>
      </c>
      <c r="Z11" s="93">
        <f>'Returns per Gal.'!Y18</f>
        <v>1.4923598261369739</v>
      </c>
      <c r="AA11" s="93">
        <f>'Returns per Gal.'!Z18</f>
        <v>1.3114598261369739</v>
      </c>
      <c r="AB11" s="93">
        <f>'Returns per Gal.'!AA18</f>
        <v>1.1152138140157617</v>
      </c>
      <c r="AC11" s="80">
        <f>'Returns per Gal.'!AB18</f>
        <v>0</v>
      </c>
      <c r="AD11" s="15">
        <f>'Returns per Gal.'!AC18</f>
        <v>0</v>
      </c>
      <c r="AE11" s="81">
        <f>'Returns per Gal.'!AD18</f>
        <v>0</v>
      </c>
      <c r="AF11" s="93">
        <f>'Returns per Gal.'!AE18</f>
        <v>0.27380590203833283</v>
      </c>
      <c r="AG11" s="93">
        <f>'Returns per Gal.'!AF18</f>
        <v>0.6268329783997566</v>
      </c>
      <c r="AH11" s="93">
        <f>'Returns per Gal.'!AG18</f>
        <v>0.90063888043808937</v>
      </c>
      <c r="AI11" s="105">
        <f>'Returns per Gal.'!AH18</f>
        <v>0</v>
      </c>
      <c r="AJ11" s="104">
        <f>'Returns per Gal.'!AI18</f>
        <v>0</v>
      </c>
      <c r="AK11" s="93">
        <f>'Returns per Gal.'!AJ18</f>
        <v>1.4659388804380893</v>
      </c>
      <c r="AL11" s="93">
        <f>'Returns per Gal.'!AK18</f>
        <v>1.6621848925593015</v>
      </c>
      <c r="AM11" s="105">
        <f>'Returns per Gal.'!AL18</f>
        <v>0</v>
      </c>
      <c r="AN11" s="104"/>
      <c r="AO11" s="93">
        <f>'Returns per Gal.'!AN18</f>
        <v>0.93178174737291797</v>
      </c>
      <c r="AP11" s="93">
        <f>'Returns per Gal.'!AO18</f>
        <v>0.73553573525170579</v>
      </c>
      <c r="AQ11" s="93">
        <f>'Returns per Gal.'!AP18</f>
        <v>1.1152138140157617</v>
      </c>
      <c r="AR11" s="93">
        <f>'Returns per Gal.'!AQ18</f>
        <v>-0.3796780787640559</v>
      </c>
      <c r="AS11" s="52"/>
      <c r="AU11" s="177">
        <f>'Returns per Bu.'!G18</f>
        <v>1.4847382847709956</v>
      </c>
      <c r="AV11" s="166">
        <f>'Returns per Bu.'!N18</f>
        <v>6.8335037892613704</v>
      </c>
      <c r="AW11" s="166">
        <f>'Returns per Bu.'!O18</f>
        <v>4.6630976547159149</v>
      </c>
      <c r="AX11" s="169">
        <f>'Returns per Bu.'!Z18</f>
        <v>0.96785216312132039</v>
      </c>
      <c r="AY11" s="162">
        <f>'Returns per Bu.'!AF18</f>
        <v>2.5668208092485547</v>
      </c>
      <c r="AZ11" s="172" t="e">
        <f>'Returns per Bu.'!#REF!</f>
        <v>#REF!</v>
      </c>
      <c r="BA11" s="15">
        <f t="shared" si="0"/>
        <v>1.7864739884393062</v>
      </c>
      <c r="BB11" s="93">
        <f>'Returns per Bu.'!AD18</f>
        <v>0.78034682080924855</v>
      </c>
      <c r="BC11" s="93">
        <f t="shared" si="1"/>
        <v>0.6268329783997566</v>
      </c>
      <c r="BD11" s="93"/>
    </row>
    <row r="12" spans="1:56" hidden="1" x14ac:dyDescent="0.2">
      <c r="A12" s="6">
        <v>38657</v>
      </c>
      <c r="B12" s="6"/>
      <c r="C12" s="53"/>
      <c r="D12" s="93">
        <v>1.8408422810758114</v>
      </c>
      <c r="E12" s="95">
        <v>74.93636544396179</v>
      </c>
      <c r="F12" s="323"/>
      <c r="G12" s="93">
        <v>1.5306843405747976</v>
      </c>
      <c r="H12" s="96">
        <v>12.18</v>
      </c>
      <c r="I12" s="17">
        <f>'Returns per Gal.'!H19</f>
        <v>0</v>
      </c>
      <c r="J12" s="18"/>
      <c r="K12" s="93">
        <f>'Returns per Gal.'!J19</f>
        <v>1.8408422810758114</v>
      </c>
      <c r="L12" s="93">
        <f>'Returns per Gal.'!K19</f>
        <v>0.22217975017595687</v>
      </c>
      <c r="M12" s="93"/>
      <c r="N12" s="93">
        <f>'Returns per Gal.'!M19</f>
        <v>2.0630220312517684</v>
      </c>
      <c r="O12" s="93">
        <f>'Returns per Gal.'!N19</f>
        <v>0</v>
      </c>
      <c r="P12" s="104">
        <f>'Returns per Gal.'!O19</f>
        <v>0</v>
      </c>
      <c r="Q12" s="93">
        <f>'Returns per Gal.'!P19</f>
        <v>0.53708222476308687</v>
      </c>
      <c r="R12" s="93">
        <f>'Returns per Gal.'!Q19</f>
        <v>0.3654</v>
      </c>
      <c r="S12" s="93">
        <f>'Returns per Gal.'!R19</f>
        <v>0.21939999999999998</v>
      </c>
      <c r="T12" s="93">
        <f>'Returns per Gal.'!S19</f>
        <v>1.1218822247630869</v>
      </c>
      <c r="U12" s="93">
        <f>'Returns per Gal.'!T19</f>
        <v>0.19624601212121212</v>
      </c>
      <c r="V12" s="93">
        <f>'Returns per Gal.'!U19</f>
        <v>1.318128236884299</v>
      </c>
      <c r="W12" s="93">
        <f>'Returns per Gal.'!V19</f>
        <v>1.0959484867083422</v>
      </c>
      <c r="X12" s="105"/>
      <c r="Y12" s="93">
        <f>'Returns per Gal.'!V19</f>
        <v>1.0959484867083422</v>
      </c>
      <c r="Z12" s="93">
        <f>'Returns per Gal.'!Y19</f>
        <v>1.1220398064886816</v>
      </c>
      <c r="AA12" s="93">
        <f>'Returns per Gal.'!Z19</f>
        <v>0.94113980648868156</v>
      </c>
      <c r="AB12" s="93">
        <f>'Returns per Gal.'!AA19</f>
        <v>0.74489379436746939</v>
      </c>
      <c r="AC12" s="80">
        <f>'Returns per Gal.'!AB19</f>
        <v>0</v>
      </c>
      <c r="AD12" s="15">
        <f>'Returns per Gal.'!AC19</f>
        <v>0</v>
      </c>
      <c r="AE12" s="81">
        <f>'Returns per Gal.'!AD19</f>
        <v>0</v>
      </c>
      <c r="AF12" s="93">
        <f>'Returns per Gal.'!AE19</f>
        <v>0.27380590203833283</v>
      </c>
      <c r="AG12" s="93">
        <f>'Returns per Gal.'!AF19</f>
        <v>0.6268329783997566</v>
      </c>
      <c r="AH12" s="93">
        <f>'Returns per Gal.'!AG19</f>
        <v>0.90063888043808937</v>
      </c>
      <c r="AI12" s="105">
        <f>'Returns per Gal.'!AH19</f>
        <v>0</v>
      </c>
      <c r="AJ12" s="104">
        <f>'Returns per Gal.'!AI19</f>
        <v>0</v>
      </c>
      <c r="AK12" s="93">
        <f>'Returns per Gal.'!AJ19</f>
        <v>1.4854388804380894</v>
      </c>
      <c r="AL12" s="93">
        <f>'Returns per Gal.'!AK19</f>
        <v>1.6816848925593015</v>
      </c>
      <c r="AM12" s="105">
        <f>'Returns per Gal.'!AL19</f>
        <v>0</v>
      </c>
      <c r="AN12" s="104"/>
      <c r="AO12" s="93">
        <f>'Returns per Gal.'!AN19</f>
        <v>0.57758315081367906</v>
      </c>
      <c r="AP12" s="93">
        <f>'Returns per Gal.'!AO19</f>
        <v>0.38133713869246688</v>
      </c>
      <c r="AQ12" s="93">
        <f>'Returns per Gal.'!AP19</f>
        <v>0.74489379436746939</v>
      </c>
      <c r="AR12" s="93">
        <f>'Returns per Gal.'!AQ19</f>
        <v>-0.3635566556750025</v>
      </c>
      <c r="AS12" s="52"/>
      <c r="AU12" s="177">
        <f>'Returns per Bu.'!G19</f>
        <v>1.5306843405747976</v>
      </c>
      <c r="AV12" s="166">
        <f>'Returns per Bu.'!N19</f>
        <v>5.87961278906754</v>
      </c>
      <c r="AW12" s="166">
        <f>'Returns per Bu.'!O19</f>
        <v>3.6536316545220853</v>
      </c>
      <c r="AX12" s="169">
        <f>'Returns per Bu.'!Z19</f>
        <v>0.64646533347551782</v>
      </c>
      <c r="AY12" s="162">
        <f>'Returns per Bu.'!AF19</f>
        <v>2.5668208092485547</v>
      </c>
      <c r="AZ12" s="172" t="e">
        <f>'Returns per Bu.'!#REF!</f>
        <v>#REF!</v>
      </c>
      <c r="BA12" s="15">
        <f t="shared" si="0"/>
        <v>1.7864739884393062</v>
      </c>
      <c r="BB12" s="93">
        <f>'Returns per Bu.'!AD19</f>
        <v>0.78034682080924855</v>
      </c>
      <c r="BC12" s="93">
        <f t="shared" si="1"/>
        <v>0.6268329783997566</v>
      </c>
      <c r="BD12" s="93"/>
    </row>
    <row r="13" spans="1:56" hidden="1" x14ac:dyDescent="0.2">
      <c r="A13" s="68">
        <v>38687</v>
      </c>
      <c r="B13" s="69"/>
      <c r="C13" s="56"/>
      <c r="D13" s="97">
        <v>1.7527637030339065</v>
      </c>
      <c r="E13" s="99">
        <v>84.15930272937247</v>
      </c>
      <c r="F13" s="324"/>
      <c r="G13" s="97">
        <v>1.7132773697506458</v>
      </c>
      <c r="H13" s="100">
        <v>12.05</v>
      </c>
      <c r="I13" s="65">
        <f>'Returns per Gal.'!H20</f>
        <v>0</v>
      </c>
      <c r="J13" s="66"/>
      <c r="K13" s="97">
        <f>'Returns per Gal.'!J20</f>
        <v>1.7527637030339065</v>
      </c>
      <c r="L13" s="97">
        <f>'Returns per Gal.'!K20</f>
        <v>0.24952495019761309</v>
      </c>
      <c r="M13" s="97"/>
      <c r="N13" s="97">
        <f>'Returns per Gal.'!M20</f>
        <v>2.0022886532315196</v>
      </c>
      <c r="O13" s="97">
        <f>'Returns per Gal.'!N20</f>
        <v>0</v>
      </c>
      <c r="P13" s="106">
        <f>'Returns per Gal.'!O20</f>
        <v>0</v>
      </c>
      <c r="Q13" s="97">
        <f>'Returns per Gal.'!P20</f>
        <v>0.60114995429847218</v>
      </c>
      <c r="R13" s="97">
        <f>'Returns per Gal.'!Q20</f>
        <v>0.36149999999999999</v>
      </c>
      <c r="S13" s="97">
        <f>'Returns per Gal.'!R20</f>
        <v>0.21939999999999998</v>
      </c>
      <c r="T13" s="97">
        <f>'Returns per Gal.'!S20</f>
        <v>1.1820499542984721</v>
      </c>
      <c r="U13" s="97">
        <f>'Returns per Gal.'!T20</f>
        <v>0.19624601212121212</v>
      </c>
      <c r="V13" s="97">
        <f>'Returns per Gal.'!U20</f>
        <v>1.3782959664196843</v>
      </c>
      <c r="W13" s="97">
        <f>'Returns per Gal.'!V20</f>
        <v>1.1287710162220712</v>
      </c>
      <c r="X13" s="107"/>
      <c r="Y13" s="97">
        <f>'Returns per Gal.'!V20</f>
        <v>1.1287710162220712</v>
      </c>
      <c r="Z13" s="97">
        <f>'Returns per Gal.'!Y20</f>
        <v>1.0011386989330475</v>
      </c>
      <c r="AA13" s="97">
        <f>'Returns per Gal.'!Z20</f>
        <v>0.82023869893304746</v>
      </c>
      <c r="AB13" s="97">
        <f>'Returns per Gal.'!AA20</f>
        <v>0.62399268681183528</v>
      </c>
      <c r="AC13" s="82">
        <f>'Returns per Gal.'!AB20</f>
        <v>0</v>
      </c>
      <c r="AD13" s="15">
        <f>'Returns per Gal.'!AC20</f>
        <v>0</v>
      </c>
      <c r="AE13" s="83">
        <f>'Returns per Gal.'!AD20</f>
        <v>0</v>
      </c>
      <c r="AF13" s="97">
        <f>'Returns per Gal.'!AE20</f>
        <v>0.27380590203833283</v>
      </c>
      <c r="AG13" s="97">
        <f>'Returns per Gal.'!AF20</f>
        <v>0.6268329783997566</v>
      </c>
      <c r="AH13" s="97">
        <f>'Returns per Gal.'!AG20</f>
        <v>0.90063888043808937</v>
      </c>
      <c r="AI13" s="107">
        <f>'Returns per Gal.'!AH20</f>
        <v>0</v>
      </c>
      <c r="AJ13" s="106">
        <f>'Returns per Gal.'!AI20</f>
        <v>0</v>
      </c>
      <c r="AK13" s="97">
        <f>'Returns per Gal.'!AJ20</f>
        <v>1.4815388804380893</v>
      </c>
      <c r="AL13" s="97">
        <f>'Returns per Gal.'!AK20</f>
        <v>1.6777848925593015</v>
      </c>
      <c r="AM13" s="107">
        <f>'Returns per Gal.'!AL20</f>
        <v>0</v>
      </c>
      <c r="AN13" s="106"/>
      <c r="AO13" s="97">
        <f>'Returns per Gal.'!AN20</f>
        <v>0.52074977279343027</v>
      </c>
      <c r="AP13" s="97">
        <f>'Returns per Gal.'!AO20</f>
        <v>0.32450376067221809</v>
      </c>
      <c r="AQ13" s="97">
        <f>'Returns per Gal.'!AP20</f>
        <v>0.62399268681183528</v>
      </c>
      <c r="AR13" s="97">
        <f>'Returns per Gal.'!AQ20</f>
        <v>-0.2994889261396172</v>
      </c>
      <c r="AS13" s="64"/>
      <c r="AU13" s="178">
        <f>'Returns per Bu.'!G20</f>
        <v>1.7132773697506458</v>
      </c>
      <c r="AV13" s="167">
        <f>'Returns per Bu.'!N20</f>
        <v>5.7065226617098315</v>
      </c>
      <c r="AW13" s="167">
        <f>'Returns per Bu.'!O20</f>
        <v>3.4916565271643769</v>
      </c>
      <c r="AX13" s="170">
        <f>'Returns per Bu.'!Z20</f>
        <v>0.54153980529350243</v>
      </c>
      <c r="AY13" s="163">
        <f>'Returns per Bu.'!AF20</f>
        <v>2.5668208092485547</v>
      </c>
      <c r="AZ13" s="173" t="e">
        <f>'Returns per Bu.'!#REF!</f>
        <v>#REF!</v>
      </c>
      <c r="BA13" s="15">
        <f t="shared" si="0"/>
        <v>1.7864739884393062</v>
      </c>
      <c r="BB13" s="93">
        <f>'Returns per Bu.'!AD20</f>
        <v>0.78034682080924855</v>
      </c>
      <c r="BC13" s="93">
        <f t="shared" si="1"/>
        <v>0.6268329783997566</v>
      </c>
      <c r="BD13" s="93"/>
    </row>
    <row r="14" spans="1:56" hidden="1" x14ac:dyDescent="0.2">
      <c r="A14" s="21">
        <v>38718</v>
      </c>
      <c r="B14" s="6"/>
      <c r="C14" s="53"/>
      <c r="D14" s="93">
        <v>1.8760737122925732</v>
      </c>
      <c r="E14" s="95">
        <v>88.386482318519043</v>
      </c>
      <c r="F14" s="323"/>
      <c r="G14" s="93">
        <v>1.7825367946104507</v>
      </c>
      <c r="H14" s="96">
        <v>10.95</v>
      </c>
      <c r="I14" s="17">
        <f>'Returns per Gal.'!H21</f>
        <v>0</v>
      </c>
      <c r="J14" s="18"/>
      <c r="K14" s="93">
        <f>'Returns per Gal.'!J21</f>
        <v>1.8760737122925732</v>
      </c>
      <c r="L14" s="93">
        <f>'Returns per Gal.'!K21</f>
        <v>0.26205816687420558</v>
      </c>
      <c r="M14" s="93"/>
      <c r="N14" s="93">
        <f>'Returns per Gal.'!M21</f>
        <v>2.1381318791667789</v>
      </c>
      <c r="O14" s="93">
        <f>'Returns per Gal.'!N21</f>
        <v>0</v>
      </c>
      <c r="P14" s="104">
        <f>'Returns per Gal.'!O21</f>
        <v>0</v>
      </c>
      <c r="Q14" s="93">
        <f>'Returns per Gal.'!P21</f>
        <v>0.62545150688085982</v>
      </c>
      <c r="R14" s="93">
        <f>'Returns per Gal.'!Q21</f>
        <v>0.32850000000000001</v>
      </c>
      <c r="S14" s="93">
        <f>'Returns per Gal.'!R21</f>
        <v>0.21939999999999998</v>
      </c>
      <c r="T14" s="93">
        <f>'Returns per Gal.'!S21</f>
        <v>1.1733515068808598</v>
      </c>
      <c r="U14" s="93">
        <f>'Returns per Gal.'!T21</f>
        <v>0.19624601212121212</v>
      </c>
      <c r="V14" s="93">
        <f>'Returns per Gal.'!U21</f>
        <v>1.3695975190020719</v>
      </c>
      <c r="W14" s="93">
        <f>'Returns per Gal.'!V21</f>
        <v>1.1075393521278665</v>
      </c>
      <c r="X14" s="105"/>
      <c r="Y14" s="93">
        <f>'Returns per Gal.'!V21</f>
        <v>1.1075393521278665</v>
      </c>
      <c r="Z14" s="93">
        <f>'Returns per Gal.'!Y21</f>
        <v>1.145680372285919</v>
      </c>
      <c r="AA14" s="93">
        <f>'Returns per Gal.'!Z21</f>
        <v>0.96478037228591917</v>
      </c>
      <c r="AB14" s="93">
        <f>'Returns per Gal.'!AA21</f>
        <v>0.768534360164707</v>
      </c>
      <c r="AC14" s="80">
        <f>'Returns per Gal.'!AB21</f>
        <v>0</v>
      </c>
      <c r="AD14" s="15">
        <f>'Returns per Gal.'!AC21</f>
        <v>0</v>
      </c>
      <c r="AE14" s="81">
        <f>'Returns per Gal.'!AD21</f>
        <v>0</v>
      </c>
      <c r="AF14" s="93">
        <f>'Returns per Gal.'!AE21</f>
        <v>0.27380590203833283</v>
      </c>
      <c r="AG14" s="93">
        <f>'Returns per Gal.'!AF21</f>
        <v>0.6268329783997566</v>
      </c>
      <c r="AH14" s="93">
        <f>'Returns per Gal.'!AG21</f>
        <v>0.90063888043808937</v>
      </c>
      <c r="AI14" s="105">
        <f>'Returns per Gal.'!AH21</f>
        <v>0</v>
      </c>
      <c r="AJ14" s="104">
        <f>'Returns per Gal.'!AI21</f>
        <v>0</v>
      </c>
      <c r="AK14" s="93">
        <f>'Returns per Gal.'!AJ21</f>
        <v>1.4485388804380894</v>
      </c>
      <c r="AL14" s="93">
        <f>'Returns per Gal.'!AK21</f>
        <v>1.6447848925593016</v>
      </c>
      <c r="AM14" s="105">
        <f>'Returns per Gal.'!AL21</f>
        <v>0</v>
      </c>
      <c r="AN14" s="104"/>
      <c r="AO14" s="93">
        <f>'Returns per Gal.'!AN21</f>
        <v>0.68959299872868951</v>
      </c>
      <c r="AP14" s="93">
        <f>'Returns per Gal.'!AO21</f>
        <v>0.49334698660747733</v>
      </c>
      <c r="AQ14" s="93">
        <f>'Returns per Gal.'!AP21</f>
        <v>0.76853436016470689</v>
      </c>
      <c r="AR14" s="93">
        <f>'Returns per Gal.'!AQ21</f>
        <v>-0.27518737355722955</v>
      </c>
      <c r="AS14" s="52"/>
      <c r="AU14" s="177">
        <f>'Returns per Bu.'!G21</f>
        <v>1.7825367946104507</v>
      </c>
      <c r="AV14" s="166">
        <f>'Returns per Bu.'!N21</f>
        <v>6.0936758556253201</v>
      </c>
      <c r="AW14" s="166">
        <f>'Returns per Bu.'!O21</f>
        <v>3.9728597210798657</v>
      </c>
      <c r="AX14" s="169">
        <f>'Returns per Bu.'!Z21</f>
        <v>0.66698209219632132</v>
      </c>
      <c r="AY14" s="162">
        <f>'Returns per Bu.'!AF21</f>
        <v>2.5668208092485547</v>
      </c>
      <c r="AZ14" s="172" t="e">
        <f>'Returns per Bu.'!#REF!</f>
        <v>#REF!</v>
      </c>
      <c r="BA14" s="15">
        <f t="shared" si="0"/>
        <v>1.7864739884393062</v>
      </c>
      <c r="BB14" s="93">
        <f>'Returns per Bu.'!AD21</f>
        <v>0.78034682080924855</v>
      </c>
      <c r="BC14" s="93">
        <f t="shared" si="1"/>
        <v>0.6268329783997566</v>
      </c>
      <c r="BD14" s="93"/>
    </row>
    <row r="15" spans="1:56" hidden="1" x14ac:dyDescent="0.2">
      <c r="A15" s="8">
        <v>38749</v>
      </c>
      <c r="B15" s="8"/>
      <c r="C15" s="53"/>
      <c r="D15" s="93">
        <v>2.2195801666560024</v>
      </c>
      <c r="E15" s="95">
        <v>91.268650220209878</v>
      </c>
      <c r="F15" s="323"/>
      <c r="G15" s="93">
        <v>1.8880425523821436</v>
      </c>
      <c r="H15" s="96">
        <v>10.210000000000001</v>
      </c>
      <c r="I15" s="17">
        <f>'Returns per Gal.'!H22</f>
        <v>0</v>
      </c>
      <c r="J15" s="18"/>
      <c r="K15" s="93">
        <f>'Returns per Gal.'!J22</f>
        <v>2.2195801666560024</v>
      </c>
      <c r="L15" s="93">
        <f>'Returns per Gal.'!K22</f>
        <v>0.27060354188097313</v>
      </c>
      <c r="M15" s="93"/>
      <c r="N15" s="93">
        <f>'Returns per Gal.'!M22</f>
        <v>2.4901837085369758</v>
      </c>
      <c r="O15" s="93">
        <f>'Returns per Gal.'!N22</f>
        <v>0</v>
      </c>
      <c r="P15" s="104">
        <f>'Returns per Gal.'!O22</f>
        <v>0</v>
      </c>
      <c r="Q15" s="93">
        <f>'Returns per Gal.'!P22</f>
        <v>0.66247107101127845</v>
      </c>
      <c r="R15" s="93">
        <f>'Returns per Gal.'!Q22</f>
        <v>0.30630000000000002</v>
      </c>
      <c r="S15" s="93">
        <f>'Returns per Gal.'!R22</f>
        <v>0.21939999999999998</v>
      </c>
      <c r="T15" s="93">
        <f>'Returns per Gal.'!S22</f>
        <v>1.1881710710112785</v>
      </c>
      <c r="U15" s="93">
        <f>'Returns per Gal.'!T22</f>
        <v>0.19624601212121212</v>
      </c>
      <c r="V15" s="93">
        <f>'Returns per Gal.'!U22</f>
        <v>1.3844170831324907</v>
      </c>
      <c r="W15" s="93">
        <f>'Returns per Gal.'!V22</f>
        <v>1.1138135412515175</v>
      </c>
      <c r="X15" s="105"/>
      <c r="Y15" s="93">
        <f>'Returns per Gal.'!V22</f>
        <v>1.1138135412515175</v>
      </c>
      <c r="Z15" s="93">
        <f>'Returns per Gal.'!Y22</f>
        <v>1.4829126375256974</v>
      </c>
      <c r="AA15" s="93">
        <f>'Returns per Gal.'!Z22</f>
        <v>1.3020126375256973</v>
      </c>
      <c r="AB15" s="93">
        <f>'Returns per Gal.'!AA22</f>
        <v>1.1057666254044851</v>
      </c>
      <c r="AC15" s="80">
        <f>'Returns per Gal.'!AB22</f>
        <v>0</v>
      </c>
      <c r="AD15" s="15">
        <f>'Returns per Gal.'!AC22</f>
        <v>0</v>
      </c>
      <c r="AE15" s="81">
        <f>'Returns per Gal.'!AD22</f>
        <v>0</v>
      </c>
      <c r="AF15" s="93">
        <f>'Returns per Gal.'!AE22</f>
        <v>0.27380590203833283</v>
      </c>
      <c r="AG15" s="93">
        <f>'Returns per Gal.'!AF22</f>
        <v>0.6268329783997566</v>
      </c>
      <c r="AH15" s="93">
        <f>'Returns per Gal.'!AG22</f>
        <v>0.90063888043808937</v>
      </c>
      <c r="AI15" s="105">
        <f>'Returns per Gal.'!AH22</f>
        <v>0</v>
      </c>
      <c r="AJ15" s="104">
        <f>'Returns per Gal.'!AI22</f>
        <v>0</v>
      </c>
      <c r="AK15" s="93">
        <f>'Returns per Gal.'!AJ22</f>
        <v>1.4263388804380894</v>
      </c>
      <c r="AL15" s="93">
        <f>'Returns per Gal.'!AK22</f>
        <v>1.6225848925593016</v>
      </c>
      <c r="AM15" s="105">
        <f>'Returns per Gal.'!AL22</f>
        <v>0</v>
      </c>
      <c r="AN15" s="104"/>
      <c r="AO15" s="93">
        <f>'Returns per Gal.'!AN22</f>
        <v>1.0638448280988864</v>
      </c>
      <c r="AP15" s="93">
        <f>'Returns per Gal.'!AO22</f>
        <v>0.86759881597767419</v>
      </c>
      <c r="AQ15" s="93">
        <f>'Returns per Gal.'!AP22</f>
        <v>1.1057666254044851</v>
      </c>
      <c r="AR15" s="93">
        <f>'Returns per Gal.'!AQ22</f>
        <v>-0.23816780942681093</v>
      </c>
      <c r="AS15" s="52"/>
      <c r="AU15" s="177">
        <f>'Returns per Bu.'!G22</f>
        <v>1.8880425523821436</v>
      </c>
      <c r="AV15" s="166">
        <f>'Returns per Bu.'!N22</f>
        <v>7.0970235693303803</v>
      </c>
      <c r="AW15" s="166">
        <f>'Returns per Bu.'!O22</f>
        <v>5.039477434784926</v>
      </c>
      <c r="AX15" s="169">
        <f>'Returns per Bu.'!Z22</f>
        <v>0.95965330311983399</v>
      </c>
      <c r="AY15" s="162">
        <f>'Returns per Bu.'!AF22</f>
        <v>2.5668208092485547</v>
      </c>
      <c r="AZ15" s="172" t="e">
        <f>'Returns per Bu.'!#REF!</f>
        <v>#REF!</v>
      </c>
      <c r="BA15" s="15">
        <f t="shared" si="0"/>
        <v>1.7864739884393062</v>
      </c>
      <c r="BB15" s="93">
        <f>'Returns per Bu.'!AD22</f>
        <v>0.78034682080924855</v>
      </c>
      <c r="BC15" s="93">
        <f t="shared" si="1"/>
        <v>0.6268329783997566</v>
      </c>
      <c r="BD15" s="93"/>
    </row>
    <row r="16" spans="1:56" hidden="1" x14ac:dyDescent="0.2">
      <c r="A16" s="6">
        <v>38777</v>
      </c>
      <c r="B16" s="6"/>
      <c r="C16" s="53"/>
      <c r="D16" s="93">
        <v>2.1315015886140976</v>
      </c>
      <c r="E16" s="95">
        <v>91.268650220209878</v>
      </c>
      <c r="F16" s="323"/>
      <c r="G16" s="93">
        <v>1.8820865821853541</v>
      </c>
      <c r="H16" s="96">
        <v>9.1999999999999993</v>
      </c>
      <c r="I16" s="17">
        <f>'Returns per Gal.'!H23</f>
        <v>0</v>
      </c>
      <c r="J16" s="18"/>
      <c r="K16" s="93">
        <f>'Returns per Gal.'!J23</f>
        <v>2.1315015886140976</v>
      </c>
      <c r="L16" s="93">
        <f>'Returns per Gal.'!K23</f>
        <v>0.27060354188097313</v>
      </c>
      <c r="M16" s="93"/>
      <c r="N16" s="93">
        <f>'Returns per Gal.'!M23</f>
        <v>2.4021051304950705</v>
      </c>
      <c r="O16" s="93">
        <f>'Returns per Gal.'!N23</f>
        <v>0</v>
      </c>
      <c r="P16" s="104">
        <f>'Returns per Gal.'!O23</f>
        <v>0</v>
      </c>
      <c r="Q16" s="93">
        <f>'Returns per Gal.'!P23</f>
        <v>0.66038125690714178</v>
      </c>
      <c r="R16" s="93">
        <f>'Returns per Gal.'!Q23</f>
        <v>0.27600000000000002</v>
      </c>
      <c r="S16" s="93">
        <f>'Returns per Gal.'!R23</f>
        <v>0.21939999999999998</v>
      </c>
      <c r="T16" s="93">
        <f>'Returns per Gal.'!S23</f>
        <v>1.1557812569071417</v>
      </c>
      <c r="U16" s="93">
        <f>'Returns per Gal.'!T23</f>
        <v>0.19624601212121212</v>
      </c>
      <c r="V16" s="93">
        <f>'Returns per Gal.'!U23</f>
        <v>1.3520272690283539</v>
      </c>
      <c r="W16" s="93">
        <f>'Returns per Gal.'!V23</f>
        <v>1.0814237271473808</v>
      </c>
      <c r="X16" s="105"/>
      <c r="Y16" s="93">
        <f>'Returns per Gal.'!V23</f>
        <v>1.0814237271473808</v>
      </c>
      <c r="Z16" s="93">
        <f>'Returns per Gal.'!Y23</f>
        <v>1.4272238735879286</v>
      </c>
      <c r="AA16" s="93">
        <f>'Returns per Gal.'!Z23</f>
        <v>1.2463238735879287</v>
      </c>
      <c r="AB16" s="93">
        <f>'Returns per Gal.'!AA23</f>
        <v>1.0500778614667166</v>
      </c>
      <c r="AC16" s="80">
        <f>'Returns per Gal.'!AB23</f>
        <v>0</v>
      </c>
      <c r="AD16" s="15">
        <f>'Returns per Gal.'!AC23</f>
        <v>0</v>
      </c>
      <c r="AE16" s="81">
        <f>'Returns per Gal.'!AD23</f>
        <v>0</v>
      </c>
      <c r="AF16" s="93">
        <f>'Returns per Gal.'!AE23</f>
        <v>0.27380590203833283</v>
      </c>
      <c r="AG16" s="93">
        <f>'Returns per Gal.'!AF23</f>
        <v>0.6268329783997566</v>
      </c>
      <c r="AH16" s="93">
        <f>'Returns per Gal.'!AG23</f>
        <v>0.90063888043808937</v>
      </c>
      <c r="AI16" s="105">
        <f>'Returns per Gal.'!AH23</f>
        <v>0</v>
      </c>
      <c r="AJ16" s="104">
        <f>'Returns per Gal.'!AI23</f>
        <v>0</v>
      </c>
      <c r="AK16" s="93">
        <f>'Returns per Gal.'!AJ23</f>
        <v>1.3960388804380894</v>
      </c>
      <c r="AL16" s="93">
        <f>'Returns per Gal.'!AK23</f>
        <v>1.5922848925593016</v>
      </c>
      <c r="AM16" s="105">
        <f>'Returns per Gal.'!AL23</f>
        <v>0</v>
      </c>
      <c r="AN16" s="104"/>
      <c r="AO16" s="93">
        <f>'Returns per Gal.'!AN23</f>
        <v>1.006066250056981</v>
      </c>
      <c r="AP16" s="93">
        <f>'Returns per Gal.'!AO23</f>
        <v>0.80982023793576885</v>
      </c>
      <c r="AQ16" s="93">
        <f>'Returns per Gal.'!AP23</f>
        <v>1.0500778614667166</v>
      </c>
      <c r="AR16" s="93">
        <f>'Returns per Gal.'!AQ23</f>
        <v>-0.24025762353094759</v>
      </c>
      <c r="AS16" s="52"/>
      <c r="AU16" s="177">
        <f>'Returns per Bu.'!G23</f>
        <v>1.8820865821853541</v>
      </c>
      <c r="AV16" s="166">
        <f>'Returns per Bu.'!N23</f>
        <v>6.845999621910952</v>
      </c>
      <c r="AW16" s="166">
        <f>'Returns per Bu.'!O23</f>
        <v>4.874808487365498</v>
      </c>
      <c r="AX16" s="169">
        <f>'Returns per Bu.'!Z23</f>
        <v>0.91132311749862238</v>
      </c>
      <c r="AY16" s="162">
        <f>'Returns per Bu.'!AF23</f>
        <v>2.5668208092485547</v>
      </c>
      <c r="AZ16" s="172" t="e">
        <f>'Returns per Bu.'!#REF!</f>
        <v>#REF!</v>
      </c>
      <c r="BA16" s="15">
        <f t="shared" si="0"/>
        <v>1.7864739884393062</v>
      </c>
      <c r="BB16" s="93">
        <f>'Returns per Bu.'!AD23</f>
        <v>0.78034682080924855</v>
      </c>
      <c r="BC16" s="93">
        <f t="shared" si="1"/>
        <v>0.6268329783997566</v>
      </c>
      <c r="BD16" s="93"/>
    </row>
    <row r="17" spans="1:56" hidden="1" x14ac:dyDescent="0.2">
      <c r="A17" s="8">
        <v>38808</v>
      </c>
      <c r="B17" s="8"/>
      <c r="C17" s="53"/>
      <c r="D17" s="93">
        <v>2.1579251620266691</v>
      </c>
      <c r="E17" s="95">
        <v>88.386482318519043</v>
      </c>
      <c r="F17" s="323"/>
      <c r="G17" s="93">
        <v>1.9867414870717905</v>
      </c>
      <c r="H17" s="96">
        <v>8.6199999999999992</v>
      </c>
      <c r="I17" s="17">
        <f>'Returns per Gal.'!H24</f>
        <v>0</v>
      </c>
      <c r="J17" s="18"/>
      <c r="K17" s="93">
        <f>'Returns per Gal.'!J24</f>
        <v>2.1579251620266691</v>
      </c>
      <c r="L17" s="93">
        <f>'Returns per Gal.'!K24</f>
        <v>0.26205816687420558</v>
      </c>
      <c r="M17" s="93"/>
      <c r="N17" s="93">
        <f>'Returns per Gal.'!M24</f>
        <v>2.4199833289008748</v>
      </c>
      <c r="O17" s="93">
        <f>'Returns per Gal.'!N24</f>
        <v>0</v>
      </c>
      <c r="P17" s="104">
        <f>'Returns per Gal.'!O24</f>
        <v>0</v>
      </c>
      <c r="Q17" s="93">
        <f>'Returns per Gal.'!P24</f>
        <v>0.69710227616554055</v>
      </c>
      <c r="R17" s="93">
        <f>'Returns per Gal.'!Q24</f>
        <v>0.2586</v>
      </c>
      <c r="S17" s="93">
        <f>'Returns per Gal.'!R24</f>
        <v>0.21939999999999998</v>
      </c>
      <c r="T17" s="93">
        <f>'Returns per Gal.'!S24</f>
        <v>1.1751022761655405</v>
      </c>
      <c r="U17" s="93">
        <f>'Returns per Gal.'!T24</f>
        <v>0.19624601212121212</v>
      </c>
      <c r="V17" s="93">
        <f>'Returns per Gal.'!U24</f>
        <v>1.3713482882867527</v>
      </c>
      <c r="W17" s="93">
        <f>'Returns per Gal.'!V24</f>
        <v>1.1092901214125472</v>
      </c>
      <c r="X17" s="105"/>
      <c r="Y17" s="93">
        <f>'Returns per Gal.'!V24</f>
        <v>1.1092901214125472</v>
      </c>
      <c r="Z17" s="93">
        <f>'Returns per Gal.'!Y24</f>
        <v>1.4257810527353343</v>
      </c>
      <c r="AA17" s="93">
        <f>'Returns per Gal.'!Z24</f>
        <v>1.2448810527353342</v>
      </c>
      <c r="AB17" s="93">
        <f>'Returns per Gal.'!AA24</f>
        <v>1.048635040614122</v>
      </c>
      <c r="AC17" s="80">
        <f>'Returns per Gal.'!AB24</f>
        <v>0</v>
      </c>
      <c r="AD17" s="15">
        <f>'Returns per Gal.'!AC24</f>
        <v>0</v>
      </c>
      <c r="AE17" s="81">
        <f>'Returns per Gal.'!AD24</f>
        <v>0</v>
      </c>
      <c r="AF17" s="93">
        <f>'Returns per Gal.'!AE24</f>
        <v>0.27380590203833283</v>
      </c>
      <c r="AG17" s="93">
        <f>'Returns per Gal.'!AF24</f>
        <v>0.6268329783997566</v>
      </c>
      <c r="AH17" s="93">
        <f>'Returns per Gal.'!AG24</f>
        <v>0.90063888043808937</v>
      </c>
      <c r="AI17" s="105">
        <f>'Returns per Gal.'!AH24</f>
        <v>0</v>
      </c>
      <c r="AJ17" s="104">
        <f>'Returns per Gal.'!AI24</f>
        <v>0</v>
      </c>
      <c r="AK17" s="93">
        <f>'Returns per Gal.'!AJ24</f>
        <v>1.3786388804380894</v>
      </c>
      <c r="AL17" s="93">
        <f>'Returns per Gal.'!AK24</f>
        <v>1.5748848925593015</v>
      </c>
      <c r="AM17" s="105">
        <f>'Returns per Gal.'!AL24</f>
        <v>0</v>
      </c>
      <c r="AN17" s="104"/>
      <c r="AO17" s="93">
        <f>'Returns per Gal.'!AN24</f>
        <v>1.0413444484627854</v>
      </c>
      <c r="AP17" s="93">
        <f>'Returns per Gal.'!AO24</f>
        <v>0.84509843634157322</v>
      </c>
      <c r="AQ17" s="93">
        <f>'Returns per Gal.'!AP24</f>
        <v>1.048635040614122</v>
      </c>
      <c r="AR17" s="93">
        <f>'Returns per Gal.'!AQ24</f>
        <v>-0.20353660427254883</v>
      </c>
      <c r="AS17" s="52"/>
      <c r="AU17" s="177">
        <f>'Returns per Bu.'!G24</f>
        <v>1.9867414870717905</v>
      </c>
      <c r="AV17" s="166">
        <f>'Returns per Bu.'!N24</f>
        <v>6.8969524873674928</v>
      </c>
      <c r="AW17" s="166">
        <f>'Returns per Bu.'!O24</f>
        <v>4.9753513528220381</v>
      </c>
      <c r="AX17" s="169">
        <f>'Returns per Bu.'!Z24</f>
        <v>0.91007094749711182</v>
      </c>
      <c r="AY17" s="162">
        <f>'Returns per Bu.'!AF24</f>
        <v>2.5668208092485547</v>
      </c>
      <c r="AZ17" s="172" t="e">
        <f>'Returns per Bu.'!#REF!</f>
        <v>#REF!</v>
      </c>
      <c r="BA17" s="15">
        <f t="shared" si="0"/>
        <v>1.7864739884393062</v>
      </c>
      <c r="BB17" s="93">
        <f>'Returns per Bu.'!AD24</f>
        <v>0.78034682080924855</v>
      </c>
      <c r="BC17" s="93">
        <f t="shared" si="1"/>
        <v>0.6268329783997566</v>
      </c>
      <c r="BD17" s="93"/>
    </row>
    <row r="18" spans="1:56" hidden="1" x14ac:dyDescent="0.2">
      <c r="A18" s="6">
        <v>38838</v>
      </c>
      <c r="B18" s="6"/>
      <c r="C18" s="53"/>
      <c r="D18" s="93">
        <v>2.6775887724739076</v>
      </c>
      <c r="E18" s="95">
        <v>83.582869149034309</v>
      </c>
      <c r="F18" s="323"/>
      <c r="G18" s="93">
        <v>2.0071619563179253</v>
      </c>
      <c r="H18" s="96">
        <v>8</v>
      </c>
      <c r="I18" s="17">
        <f>'Returns per Gal.'!H25</f>
        <v>0</v>
      </c>
      <c r="J18" s="18"/>
      <c r="K18" s="93">
        <f>'Returns per Gal.'!J25</f>
        <v>2.6775887724739076</v>
      </c>
      <c r="L18" s="93">
        <f>'Returns per Gal.'!K25</f>
        <v>0.24781587519625956</v>
      </c>
      <c r="M18" s="93"/>
      <c r="N18" s="93">
        <f>'Returns per Gal.'!M25</f>
        <v>2.9254046476701672</v>
      </c>
      <c r="O18" s="93">
        <f>'Returns per Gal.'!N25</f>
        <v>0</v>
      </c>
      <c r="P18" s="104">
        <f>'Returns per Gal.'!O25</f>
        <v>0</v>
      </c>
      <c r="Q18" s="93">
        <f>'Returns per Gal.'!P25</f>
        <v>0.7042673530940089</v>
      </c>
      <c r="R18" s="93">
        <f>'Returns per Gal.'!Q25</f>
        <v>0.24</v>
      </c>
      <c r="S18" s="93">
        <f>'Returns per Gal.'!R25</f>
        <v>0.21939999999999998</v>
      </c>
      <c r="T18" s="93">
        <f>'Returns per Gal.'!S25</f>
        <v>1.1636673530940089</v>
      </c>
      <c r="U18" s="93">
        <f>'Returns per Gal.'!T25</f>
        <v>0.19624601212121212</v>
      </c>
      <c r="V18" s="93">
        <f>'Returns per Gal.'!U25</f>
        <v>1.3599133652152211</v>
      </c>
      <c r="W18" s="93">
        <f>'Returns per Gal.'!V25</f>
        <v>1.1120974900189615</v>
      </c>
      <c r="X18" s="105"/>
      <c r="Y18" s="93">
        <f>'Returns per Gal.'!V25</f>
        <v>1.1120974900189615</v>
      </c>
      <c r="Z18" s="93">
        <f>'Returns per Gal.'!Y25</f>
        <v>1.9426372945761583</v>
      </c>
      <c r="AA18" s="93">
        <f>'Returns per Gal.'!Z25</f>
        <v>1.7617372945761582</v>
      </c>
      <c r="AB18" s="93">
        <f>'Returns per Gal.'!AA25</f>
        <v>1.5654912824549461</v>
      </c>
      <c r="AC18" s="80">
        <f>'Returns per Gal.'!AB25</f>
        <v>0</v>
      </c>
      <c r="AD18" s="15">
        <f>'Returns per Gal.'!AC25</f>
        <v>0</v>
      </c>
      <c r="AE18" s="81">
        <f>'Returns per Gal.'!AD25</f>
        <v>0</v>
      </c>
      <c r="AF18" s="93">
        <f>'Returns per Gal.'!AE25</f>
        <v>0.27380590203833283</v>
      </c>
      <c r="AG18" s="93">
        <f>'Returns per Gal.'!AF25</f>
        <v>0.6268329783997566</v>
      </c>
      <c r="AH18" s="93">
        <f>'Returns per Gal.'!AG25</f>
        <v>0.90063888043808937</v>
      </c>
      <c r="AI18" s="105">
        <f>'Returns per Gal.'!AH25</f>
        <v>0</v>
      </c>
      <c r="AJ18" s="104">
        <f>'Returns per Gal.'!AI25</f>
        <v>0</v>
      </c>
      <c r="AK18" s="93">
        <f>'Returns per Gal.'!AJ25</f>
        <v>1.3600388804380894</v>
      </c>
      <c r="AL18" s="93">
        <f>'Returns per Gal.'!AK25</f>
        <v>1.5562848925593016</v>
      </c>
      <c r="AM18" s="105">
        <f>'Returns per Gal.'!AL25</f>
        <v>0</v>
      </c>
      <c r="AN18" s="104"/>
      <c r="AO18" s="93">
        <f>'Returns per Gal.'!AN25</f>
        <v>1.5653657672320778</v>
      </c>
      <c r="AP18" s="93">
        <f>'Returns per Gal.'!AO25</f>
        <v>1.3691197551108656</v>
      </c>
      <c r="AQ18" s="93">
        <f>'Returns per Gal.'!AP25</f>
        <v>1.5654912824549461</v>
      </c>
      <c r="AR18" s="93">
        <f>'Returns per Gal.'!AQ25</f>
        <v>-0.19637152734408048</v>
      </c>
      <c r="AS18" s="52"/>
      <c r="AU18" s="177">
        <f>'Returns per Bu.'!G25</f>
        <v>2.0071619563179253</v>
      </c>
      <c r="AV18" s="166">
        <f>'Returns per Bu.'!N25</f>
        <v>8.3374032458599761</v>
      </c>
      <c r="AW18" s="166">
        <f>'Returns per Bu.'!O25</f>
        <v>6.4688121113145209</v>
      </c>
      <c r="AX18" s="169">
        <f>'Returns per Bu.'!Z25</f>
        <v>1.3586310580350967</v>
      </c>
      <c r="AY18" s="162">
        <f>'Returns per Bu.'!AF25</f>
        <v>2.5668208092485547</v>
      </c>
      <c r="AZ18" s="172" t="e">
        <f>'Returns per Bu.'!#REF!</f>
        <v>#REF!</v>
      </c>
      <c r="BA18" s="15">
        <f t="shared" si="0"/>
        <v>1.7864739884393062</v>
      </c>
      <c r="BB18" s="93">
        <f>'Returns per Bu.'!AD25</f>
        <v>0.78034682080924855</v>
      </c>
      <c r="BC18" s="93">
        <f t="shared" si="1"/>
        <v>0.6268329783997566</v>
      </c>
      <c r="BD18" s="93"/>
    </row>
    <row r="19" spans="1:56" hidden="1" x14ac:dyDescent="0.2">
      <c r="A19" s="8">
        <v>38869</v>
      </c>
      <c r="B19" s="8"/>
      <c r="C19" s="53"/>
      <c r="D19" s="93">
        <v>3.1532130939001939</v>
      </c>
      <c r="E19" s="95">
        <v>79.739978613446524</v>
      </c>
      <c r="F19" s="323"/>
      <c r="G19" s="93">
        <v>1.9406252606909382</v>
      </c>
      <c r="H19" s="96">
        <v>8.2799999999999994</v>
      </c>
      <c r="I19" s="17">
        <f>'Returns per Gal.'!H26</f>
        <v>0</v>
      </c>
      <c r="J19" s="18"/>
      <c r="K19" s="93">
        <f>'Returns per Gal.'!J26</f>
        <v>3.1532130939001939</v>
      </c>
      <c r="L19" s="93">
        <f>'Returns per Gal.'!K26</f>
        <v>0.23642204185390284</v>
      </c>
      <c r="M19" s="93"/>
      <c r="N19" s="93">
        <f>'Returns per Gal.'!M26</f>
        <v>3.3896351357540966</v>
      </c>
      <c r="O19" s="93">
        <f>'Returns per Gal.'!N26</f>
        <v>0</v>
      </c>
      <c r="P19" s="104">
        <f>'Returns per Gal.'!O26</f>
        <v>0</v>
      </c>
      <c r="Q19" s="93">
        <f>'Returns per Gal.'!P26</f>
        <v>0.6809211441020836</v>
      </c>
      <c r="R19" s="93">
        <f>'Returns per Gal.'!Q26</f>
        <v>0.24839999999999998</v>
      </c>
      <c r="S19" s="93">
        <f>'Returns per Gal.'!R26</f>
        <v>0.21939999999999998</v>
      </c>
      <c r="T19" s="93">
        <f>'Returns per Gal.'!S26</f>
        <v>1.1487211441020835</v>
      </c>
      <c r="U19" s="93">
        <f>'Returns per Gal.'!T26</f>
        <v>0.19624601212121212</v>
      </c>
      <c r="V19" s="93">
        <f>'Returns per Gal.'!U26</f>
        <v>1.3449671562232957</v>
      </c>
      <c r="W19" s="93">
        <f>'Returns per Gal.'!V26</f>
        <v>1.1085451143693927</v>
      </c>
      <c r="X19" s="105"/>
      <c r="Y19" s="93">
        <f>'Returns per Gal.'!V26</f>
        <v>1.1085451143693927</v>
      </c>
      <c r="Z19" s="93">
        <f>'Returns per Gal.'!Y26</f>
        <v>2.4218139916520127</v>
      </c>
      <c r="AA19" s="93">
        <f>'Returns per Gal.'!Z26</f>
        <v>2.2409139916520129</v>
      </c>
      <c r="AB19" s="93">
        <f>'Returns per Gal.'!AA26</f>
        <v>2.0446679795308009</v>
      </c>
      <c r="AC19" s="80">
        <f>'Returns per Gal.'!AB26</f>
        <v>0</v>
      </c>
      <c r="AD19" s="15">
        <f>'Returns per Gal.'!AC26</f>
        <v>0</v>
      </c>
      <c r="AE19" s="81">
        <f>'Returns per Gal.'!AD26</f>
        <v>0</v>
      </c>
      <c r="AF19" s="93">
        <f>'Returns per Gal.'!AE26</f>
        <v>0.27380590203833283</v>
      </c>
      <c r="AG19" s="93">
        <f>'Returns per Gal.'!AF26</f>
        <v>0.6268329783997566</v>
      </c>
      <c r="AH19" s="93">
        <f>'Returns per Gal.'!AG26</f>
        <v>0.90063888043808937</v>
      </c>
      <c r="AI19" s="105">
        <f>'Returns per Gal.'!AH26</f>
        <v>0</v>
      </c>
      <c r="AJ19" s="104">
        <f>'Returns per Gal.'!AI26</f>
        <v>0</v>
      </c>
      <c r="AK19" s="93">
        <f>'Returns per Gal.'!AJ26</f>
        <v>1.3684388804380894</v>
      </c>
      <c r="AL19" s="93">
        <f>'Returns per Gal.'!AK26</f>
        <v>1.5646848925593015</v>
      </c>
      <c r="AM19" s="105">
        <f>'Returns per Gal.'!AL26</f>
        <v>0</v>
      </c>
      <c r="AN19" s="104"/>
      <c r="AO19" s="93">
        <f>'Returns per Gal.'!AN26</f>
        <v>2.0211962553160072</v>
      </c>
      <c r="AP19" s="93">
        <f>'Returns per Gal.'!AO26</f>
        <v>1.824950243194795</v>
      </c>
      <c r="AQ19" s="93">
        <f>'Returns per Gal.'!AP26</f>
        <v>2.0446679795308009</v>
      </c>
      <c r="AR19" s="93">
        <f>'Returns per Gal.'!AQ26</f>
        <v>-0.21971773633600578</v>
      </c>
      <c r="AS19" s="52"/>
      <c r="AU19" s="177">
        <f>'Returns per Bu.'!G26</f>
        <v>1.9406252606909382</v>
      </c>
      <c r="AV19" s="166">
        <f>'Returns per Bu.'!N26</f>
        <v>9.6604601368991752</v>
      </c>
      <c r="AW19" s="166">
        <f>'Returns per Bu.'!O26</f>
        <v>7.7679290023537204</v>
      </c>
      <c r="AX19" s="169">
        <f>'Returns per Bu.'!Z26</f>
        <v>1.7744905075447865</v>
      </c>
      <c r="AY19" s="162">
        <f>'Returns per Bu.'!AF26</f>
        <v>2.5668208092485547</v>
      </c>
      <c r="AZ19" s="172" t="e">
        <f>'Returns per Bu.'!#REF!</f>
        <v>#REF!</v>
      </c>
      <c r="BA19" s="15">
        <f t="shared" si="0"/>
        <v>1.7864739884393062</v>
      </c>
      <c r="BB19" s="93">
        <f>'Returns per Bu.'!AD26</f>
        <v>0.78034682080924855</v>
      </c>
      <c r="BC19" s="93">
        <f t="shared" si="1"/>
        <v>0.6268329783997566</v>
      </c>
      <c r="BD19" s="93"/>
    </row>
    <row r="20" spans="1:56" hidden="1" x14ac:dyDescent="0.2">
      <c r="A20" s="6">
        <v>38899</v>
      </c>
      <c r="B20" s="6"/>
      <c r="C20" s="53"/>
      <c r="D20" s="93">
        <v>2.7656673505158125</v>
      </c>
      <c r="E20" s="95">
        <v>78.298894662601114</v>
      </c>
      <c r="F20" s="323"/>
      <c r="G20" s="93">
        <v>1.9892940457275576</v>
      </c>
      <c r="H20" s="96">
        <v>6.83</v>
      </c>
      <c r="I20" s="17">
        <f>'Returns per Gal.'!H27</f>
        <v>0</v>
      </c>
      <c r="J20" s="18"/>
      <c r="K20" s="93">
        <f>'Returns per Gal.'!J27</f>
        <v>2.7656673505158125</v>
      </c>
      <c r="L20" s="93">
        <f>'Returns per Gal.'!K27</f>
        <v>0.23214935435051906</v>
      </c>
      <c r="M20" s="93"/>
      <c r="N20" s="93">
        <f>'Returns per Gal.'!M27</f>
        <v>2.9978167048663313</v>
      </c>
      <c r="O20" s="93">
        <f>'Returns per Gal.'!N27</f>
        <v>0</v>
      </c>
      <c r="P20" s="104">
        <f>'Returns per Gal.'!O27</f>
        <v>0</v>
      </c>
      <c r="Q20" s="93">
        <f>'Returns per Gal.'!P27</f>
        <v>0.69799791078159912</v>
      </c>
      <c r="R20" s="93">
        <f>'Returns per Gal.'!Q27</f>
        <v>0.2049</v>
      </c>
      <c r="S20" s="93">
        <f>'Returns per Gal.'!R27</f>
        <v>0.21939999999999998</v>
      </c>
      <c r="T20" s="93">
        <f>'Returns per Gal.'!S27</f>
        <v>1.1222979107815991</v>
      </c>
      <c r="U20" s="93">
        <f>'Returns per Gal.'!T27</f>
        <v>0.19624601212121212</v>
      </c>
      <c r="V20" s="93">
        <f>'Returns per Gal.'!U27</f>
        <v>1.3185439229028113</v>
      </c>
      <c r="W20" s="93">
        <f>'Returns per Gal.'!V27</f>
        <v>1.0863945685522922</v>
      </c>
      <c r="X20" s="105"/>
      <c r="Y20" s="93">
        <f>'Returns per Gal.'!V27</f>
        <v>1.0863945685522922</v>
      </c>
      <c r="Z20" s="93">
        <f>'Returns per Gal.'!Y27</f>
        <v>2.0564187940847325</v>
      </c>
      <c r="AA20" s="93">
        <f>'Returns per Gal.'!Z27</f>
        <v>1.8755187940847322</v>
      </c>
      <c r="AB20" s="93">
        <f>'Returns per Gal.'!AA27</f>
        <v>1.67927278196352</v>
      </c>
      <c r="AC20" s="80">
        <f>'Returns per Gal.'!AB27</f>
        <v>0</v>
      </c>
      <c r="AD20" s="15">
        <f>'Returns per Gal.'!AC27</f>
        <v>0</v>
      </c>
      <c r="AE20" s="81">
        <f>'Returns per Gal.'!AD27</f>
        <v>0</v>
      </c>
      <c r="AF20" s="93">
        <f>'Returns per Gal.'!AE27</f>
        <v>0.27380590203833283</v>
      </c>
      <c r="AG20" s="93">
        <f>'Returns per Gal.'!AF27</f>
        <v>0.6268329783997566</v>
      </c>
      <c r="AH20" s="93">
        <f>'Returns per Gal.'!AG27</f>
        <v>0.90063888043808937</v>
      </c>
      <c r="AI20" s="105">
        <f>'Returns per Gal.'!AH27</f>
        <v>0</v>
      </c>
      <c r="AJ20" s="104">
        <f>'Returns per Gal.'!AI27</f>
        <v>0</v>
      </c>
      <c r="AK20" s="93">
        <f>'Returns per Gal.'!AJ27</f>
        <v>1.3249388804380895</v>
      </c>
      <c r="AL20" s="93">
        <f>'Returns per Gal.'!AK27</f>
        <v>1.5211848925593017</v>
      </c>
      <c r="AM20" s="105">
        <f>'Returns per Gal.'!AL27</f>
        <v>0</v>
      </c>
      <c r="AN20" s="104"/>
      <c r="AO20" s="93">
        <f>'Returns per Gal.'!AN27</f>
        <v>1.6728778244282418</v>
      </c>
      <c r="AP20" s="93">
        <f>'Returns per Gal.'!AO27</f>
        <v>1.4766318123070297</v>
      </c>
      <c r="AQ20" s="93">
        <f>'Returns per Gal.'!AP27</f>
        <v>1.6792727819635198</v>
      </c>
      <c r="AR20" s="93">
        <f>'Returns per Gal.'!AQ27</f>
        <v>-0.20264096965649026</v>
      </c>
      <c r="AS20" s="52"/>
      <c r="AU20" s="177">
        <f>'Returns per Bu.'!G27</f>
        <v>1.9892940457275576</v>
      </c>
      <c r="AV20" s="166">
        <f>'Returns per Bu.'!N27</f>
        <v>8.5437776088690445</v>
      </c>
      <c r="AW20" s="166">
        <f>'Returns per Bu.'!O27</f>
        <v>6.7752214743235895</v>
      </c>
      <c r="AX20" s="169">
        <f>'Returns per Bu.'!Z27</f>
        <v>1.4573777459244959</v>
      </c>
      <c r="AY20" s="162">
        <f>'Returns per Bu.'!AF27</f>
        <v>2.5668208092485547</v>
      </c>
      <c r="AZ20" s="172" t="e">
        <f>'Returns per Bu.'!#REF!</f>
        <v>#REF!</v>
      </c>
      <c r="BA20" s="15">
        <f t="shared" si="0"/>
        <v>1.7864739884393062</v>
      </c>
      <c r="BB20" s="93">
        <f>'Returns per Bu.'!AD27</f>
        <v>0.78034682080924855</v>
      </c>
      <c r="BC20" s="93">
        <f t="shared" si="1"/>
        <v>0.6268329783997566</v>
      </c>
      <c r="BD20" s="93"/>
    </row>
    <row r="21" spans="1:56" hidden="1" x14ac:dyDescent="0.2">
      <c r="A21" s="8">
        <v>38930</v>
      </c>
      <c r="B21" s="8"/>
      <c r="C21" s="53"/>
      <c r="D21" s="93">
        <v>2.3957373227398122</v>
      </c>
      <c r="E21" s="95">
        <v>76.85781071175569</v>
      </c>
      <c r="F21" s="323"/>
      <c r="G21" s="93">
        <v>1.9113559214381461</v>
      </c>
      <c r="H21" s="96">
        <v>8.4499999999999993</v>
      </c>
      <c r="I21" s="17">
        <f>'Returns per Gal.'!H28</f>
        <v>0</v>
      </c>
      <c r="J21" s="18"/>
      <c r="K21" s="93">
        <f>'Returns per Gal.'!J28</f>
        <v>2.3957373227398122</v>
      </c>
      <c r="L21" s="93">
        <f>'Returns per Gal.'!K28</f>
        <v>0.22787666684713528</v>
      </c>
      <c r="M21" s="93"/>
      <c r="N21" s="93">
        <f>'Returns per Gal.'!M28</f>
        <v>2.6236139895869477</v>
      </c>
      <c r="O21" s="93">
        <f>'Returns per Gal.'!N28</f>
        <v>0</v>
      </c>
      <c r="P21" s="104">
        <f>'Returns per Gal.'!O28</f>
        <v>0</v>
      </c>
      <c r="Q21" s="93">
        <f>'Returns per Gal.'!P28</f>
        <v>0.67065120050461269</v>
      </c>
      <c r="R21" s="93">
        <f>'Returns per Gal.'!Q28</f>
        <v>0.25349999999999995</v>
      </c>
      <c r="S21" s="93">
        <f>'Returns per Gal.'!R28</f>
        <v>0.21939999999999998</v>
      </c>
      <c r="T21" s="93">
        <f>'Returns per Gal.'!S28</f>
        <v>1.1435512005046127</v>
      </c>
      <c r="U21" s="93">
        <f>'Returns per Gal.'!T28</f>
        <v>0.19624601212121212</v>
      </c>
      <c r="V21" s="93">
        <f>'Returns per Gal.'!U28</f>
        <v>1.3397972126258249</v>
      </c>
      <c r="W21" s="93">
        <f>'Returns per Gal.'!V28</f>
        <v>1.1119205457786896</v>
      </c>
      <c r="X21" s="105"/>
      <c r="Y21" s="93">
        <f>'Returns per Gal.'!V28</f>
        <v>1.1119205457786896</v>
      </c>
      <c r="Z21" s="93">
        <f>'Returns per Gal.'!Y28</f>
        <v>1.6609627890823351</v>
      </c>
      <c r="AA21" s="93">
        <f>'Returns per Gal.'!Z28</f>
        <v>1.480062789082335</v>
      </c>
      <c r="AB21" s="93">
        <f>'Returns per Gal.'!AA28</f>
        <v>1.2838167769611228</v>
      </c>
      <c r="AC21" s="80">
        <f>'Returns per Gal.'!AB28</f>
        <v>0</v>
      </c>
      <c r="AD21" s="15">
        <f>'Returns per Gal.'!AC28</f>
        <v>0</v>
      </c>
      <c r="AE21" s="81">
        <f>'Returns per Gal.'!AD28</f>
        <v>0</v>
      </c>
      <c r="AF21" s="93">
        <f>'Returns per Gal.'!AE28</f>
        <v>0.27380590203833283</v>
      </c>
      <c r="AG21" s="93">
        <f>'Returns per Gal.'!AF28</f>
        <v>0.6268329783997566</v>
      </c>
      <c r="AH21" s="93">
        <f>'Returns per Gal.'!AG28</f>
        <v>0.90063888043808937</v>
      </c>
      <c r="AI21" s="105">
        <f>'Returns per Gal.'!AH28</f>
        <v>0</v>
      </c>
      <c r="AJ21" s="104">
        <f>'Returns per Gal.'!AI28</f>
        <v>0</v>
      </c>
      <c r="AK21" s="93">
        <f>'Returns per Gal.'!AJ28</f>
        <v>1.3735388804380892</v>
      </c>
      <c r="AL21" s="93">
        <f>'Returns per Gal.'!AK28</f>
        <v>1.5697848925593014</v>
      </c>
      <c r="AM21" s="105">
        <f>'Returns per Gal.'!AL28</f>
        <v>0</v>
      </c>
      <c r="AN21" s="104"/>
      <c r="AO21" s="93">
        <f>'Returns per Gal.'!AN28</f>
        <v>1.2500751091488584</v>
      </c>
      <c r="AP21" s="93">
        <f>'Returns per Gal.'!AO28</f>
        <v>1.0538290970276463</v>
      </c>
      <c r="AQ21" s="93">
        <f>'Returns per Gal.'!AP28</f>
        <v>1.2838167769611228</v>
      </c>
      <c r="AR21" s="93">
        <f>'Returns per Gal.'!AQ28</f>
        <v>-0.22998767993347669</v>
      </c>
      <c r="AS21" s="52"/>
      <c r="AU21" s="177">
        <f>'Returns per Bu.'!G28</f>
        <v>1.9113559214381461</v>
      </c>
      <c r="AV21" s="166">
        <f>'Returns per Bu.'!N28</f>
        <v>7.4772998703228</v>
      </c>
      <c r="AW21" s="166">
        <f>'Returns per Bu.'!O28</f>
        <v>5.5702337357773448</v>
      </c>
      <c r="AX21" s="169">
        <f>'Returns per Bu.'!Z28</f>
        <v>1.1141763391174271</v>
      </c>
      <c r="AY21" s="162">
        <f>'Returns per Bu.'!AF28</f>
        <v>2.5668208092485547</v>
      </c>
      <c r="AZ21" s="172" t="e">
        <f>'Returns per Bu.'!#REF!</f>
        <v>#REF!</v>
      </c>
      <c r="BA21" s="15">
        <f t="shared" si="0"/>
        <v>1.7864739884393062</v>
      </c>
      <c r="BB21" s="93">
        <f>'Returns per Bu.'!AD28</f>
        <v>0.78034682080924855</v>
      </c>
      <c r="BC21" s="93">
        <f t="shared" si="1"/>
        <v>0.6268329783997566</v>
      </c>
      <c r="BD21" s="93"/>
    </row>
    <row r="22" spans="1:56" hidden="1" x14ac:dyDescent="0.2">
      <c r="A22" s="6">
        <v>38961</v>
      </c>
      <c r="B22" s="6"/>
      <c r="C22" s="53"/>
      <c r="D22" s="93">
        <v>2.052230868376383</v>
      </c>
      <c r="E22" s="95">
        <v>72.054197542270956</v>
      </c>
      <c r="F22" s="323"/>
      <c r="G22" s="93">
        <v>2.0463011890396823</v>
      </c>
      <c r="H22" s="96">
        <v>7.83</v>
      </c>
      <c r="I22" s="17">
        <f>'Returns per Gal.'!H29</f>
        <v>0</v>
      </c>
      <c r="J22" s="18"/>
      <c r="K22" s="93">
        <f>'Returns per Gal.'!J29</f>
        <v>2.052230868376383</v>
      </c>
      <c r="L22" s="93">
        <f>'Returns per Gal.'!K29</f>
        <v>0.21363437516918929</v>
      </c>
      <c r="M22" s="93"/>
      <c r="N22" s="93">
        <f>'Returns per Gal.'!M29</f>
        <v>2.2658652435455724</v>
      </c>
      <c r="O22" s="93">
        <f>'Returns per Gal.'!N29</f>
        <v>0</v>
      </c>
      <c r="P22" s="104">
        <f>'Returns per Gal.'!O29</f>
        <v>0</v>
      </c>
      <c r="Q22" s="93">
        <f>'Returns per Gal.'!P29</f>
        <v>0.71800041720690599</v>
      </c>
      <c r="R22" s="93">
        <f>'Returns per Gal.'!Q29</f>
        <v>0.2349</v>
      </c>
      <c r="S22" s="93">
        <f>'Returns per Gal.'!R29</f>
        <v>0.21939999999999998</v>
      </c>
      <c r="T22" s="93">
        <f>'Returns per Gal.'!S29</f>
        <v>1.172300417206906</v>
      </c>
      <c r="U22" s="93">
        <f>'Returns per Gal.'!T29</f>
        <v>0.19624601212121212</v>
      </c>
      <c r="V22" s="93">
        <f>'Returns per Gal.'!U29</f>
        <v>1.3685464293281182</v>
      </c>
      <c r="W22" s="93">
        <f>'Returns per Gal.'!V29</f>
        <v>1.1549120541589288</v>
      </c>
      <c r="X22" s="105"/>
      <c r="Y22" s="93">
        <f>'Returns per Gal.'!V29</f>
        <v>1.1549120541589288</v>
      </c>
      <c r="Z22" s="93">
        <f>'Returns per Gal.'!Y29</f>
        <v>1.2744648263386664</v>
      </c>
      <c r="AA22" s="93">
        <f>'Returns per Gal.'!Z29</f>
        <v>1.0935648263386664</v>
      </c>
      <c r="AB22" s="93">
        <f>'Returns per Gal.'!AA29</f>
        <v>0.89731881421745419</v>
      </c>
      <c r="AC22" s="80">
        <f>'Returns per Gal.'!AB29</f>
        <v>0</v>
      </c>
      <c r="AD22" s="15">
        <f>'Returns per Gal.'!AC29</f>
        <v>0</v>
      </c>
      <c r="AE22" s="81">
        <f>'Returns per Gal.'!AD29</f>
        <v>0</v>
      </c>
      <c r="AF22" s="93">
        <f>'Returns per Gal.'!AE29</f>
        <v>0.28535193405199744</v>
      </c>
      <c r="AG22" s="93">
        <f>'Returns per Gal.'!AF29</f>
        <v>0.67195096174170366</v>
      </c>
      <c r="AH22" s="93">
        <f>'Returns per Gal.'!AG29</f>
        <v>0.95730289579370109</v>
      </c>
      <c r="AI22" s="105">
        <f>'Returns per Gal.'!AH29</f>
        <v>0</v>
      </c>
      <c r="AJ22" s="104">
        <f>'Returns per Gal.'!AI29</f>
        <v>0</v>
      </c>
      <c r="AK22" s="93">
        <f>'Returns per Gal.'!AJ29</f>
        <v>1.411602895793701</v>
      </c>
      <c r="AL22" s="93">
        <f>'Returns per Gal.'!AK29</f>
        <v>1.6078489079149132</v>
      </c>
      <c r="AM22" s="105">
        <f>'Returns per Gal.'!AL29</f>
        <v>0</v>
      </c>
      <c r="AN22" s="104"/>
      <c r="AO22" s="93">
        <f>'Returns per Gal.'!AN29</f>
        <v>0.85426234775187138</v>
      </c>
      <c r="AP22" s="93">
        <f>'Returns per Gal.'!AO29</f>
        <v>0.6580163356306592</v>
      </c>
      <c r="AQ22" s="93">
        <f>'Returns per Gal.'!AP29</f>
        <v>0.8973188142174543</v>
      </c>
      <c r="AR22" s="93">
        <f>'Returns per Gal.'!AQ29</f>
        <v>-0.2393024785867951</v>
      </c>
      <c r="AS22" s="52"/>
      <c r="AU22" s="177">
        <f>'Returns per Bu.'!G29</f>
        <v>2.0463011890396823</v>
      </c>
      <c r="AV22" s="166">
        <f>'Returns per Bu.'!N29</f>
        <v>6.4577159441048808</v>
      </c>
      <c r="AW22" s="166">
        <f>'Returns per Bu.'!O29</f>
        <v>4.6036598095594261</v>
      </c>
      <c r="AX22" s="169">
        <f>'Returns per Bu.'!Z29</f>
        <v>0.7787492805729781</v>
      </c>
      <c r="AY22" s="162">
        <f>'Returns per Bu.'!AF29</f>
        <v>2.7283132530120482</v>
      </c>
      <c r="AZ22" s="172" t="e">
        <f>'Returns per Bu.'!#REF!</f>
        <v>#REF!</v>
      </c>
      <c r="BA22" s="15">
        <f t="shared" si="0"/>
        <v>1.9150602409638555</v>
      </c>
      <c r="BB22" s="93">
        <f>'Returns per Bu.'!AD29</f>
        <v>0.81325301204819278</v>
      </c>
      <c r="BC22" s="93">
        <f t="shared" si="1"/>
        <v>0.67195096174170366</v>
      </c>
      <c r="BD22" s="93"/>
    </row>
    <row r="23" spans="1:56" hidden="1" x14ac:dyDescent="0.2">
      <c r="A23" s="8">
        <v>38991</v>
      </c>
      <c r="B23" s="8"/>
      <c r="C23" s="53"/>
      <c r="D23" s="93">
        <v>1.9</v>
      </c>
      <c r="E23" s="95">
        <v>79.607954545454547</v>
      </c>
      <c r="F23" s="323"/>
      <c r="G23" s="93">
        <v>2.6565056818181829</v>
      </c>
      <c r="H23" s="96">
        <v>6.39</v>
      </c>
      <c r="I23" s="17">
        <f>'Returns per Gal.'!H30</f>
        <v>0</v>
      </c>
      <c r="J23" s="18"/>
      <c r="K23" s="93">
        <f>'Returns per Gal.'!J30</f>
        <v>1.9</v>
      </c>
      <c r="L23" s="93">
        <f>'Returns per Gal.'!K30</f>
        <v>0.23603060207336521</v>
      </c>
      <c r="M23" s="93"/>
      <c r="N23" s="93">
        <f>'Returns per Gal.'!M30</f>
        <v>2.1360306020733653</v>
      </c>
      <c r="O23" s="93">
        <f>'Returns per Gal.'!N30</f>
        <v>0</v>
      </c>
      <c r="P23" s="104">
        <f>'Returns per Gal.'!O30</f>
        <v>0</v>
      </c>
      <c r="Q23" s="93">
        <f>'Returns per Gal.'!P30</f>
        <v>0.93210725677830975</v>
      </c>
      <c r="R23" s="93">
        <f>'Returns per Gal.'!Q30</f>
        <v>0.19169999999999998</v>
      </c>
      <c r="S23" s="93">
        <f>'Returns per Gal.'!R30</f>
        <v>0.21939999999999998</v>
      </c>
      <c r="T23" s="93">
        <f>'Returns per Gal.'!S30</f>
        <v>1.3432072567783098</v>
      </c>
      <c r="U23" s="93">
        <f>'Returns per Gal.'!T30</f>
        <v>0.19624601212121212</v>
      </c>
      <c r="V23" s="93">
        <f>'Returns per Gal.'!U30</f>
        <v>1.5394532688995219</v>
      </c>
      <c r="W23" s="93">
        <f>'Returns per Gal.'!V30</f>
        <v>1.3034226668261568</v>
      </c>
      <c r="X23" s="105"/>
      <c r="Y23" s="93">
        <f>'Returns per Gal.'!V30</f>
        <v>1.3034226668261568</v>
      </c>
      <c r="Z23" s="93">
        <f>'Returns per Gal.'!Y30</f>
        <v>0.97372334529505555</v>
      </c>
      <c r="AA23" s="93">
        <f>'Returns per Gal.'!Z30</f>
        <v>0.79282334529505549</v>
      </c>
      <c r="AB23" s="93">
        <f>'Returns per Gal.'!AA30</f>
        <v>0.59657733317384332</v>
      </c>
      <c r="AC23" s="80">
        <f>'Returns per Gal.'!AB30</f>
        <v>0</v>
      </c>
      <c r="AD23" s="15">
        <f>'Returns per Gal.'!AC30</f>
        <v>0</v>
      </c>
      <c r="AE23" s="81">
        <f>'Returns per Gal.'!AD30</f>
        <v>0</v>
      </c>
      <c r="AF23" s="93">
        <f>'Returns per Gal.'!AE30</f>
        <v>0.28535193405199744</v>
      </c>
      <c r="AG23" s="93">
        <f>'Returns per Gal.'!AF30</f>
        <v>0.67195096174170366</v>
      </c>
      <c r="AH23" s="93">
        <f>'Returns per Gal.'!AG30</f>
        <v>0.95730289579370109</v>
      </c>
      <c r="AI23" s="105">
        <f>'Returns per Gal.'!AH30</f>
        <v>0</v>
      </c>
      <c r="AJ23" s="104">
        <f>'Returns per Gal.'!AI30</f>
        <v>0</v>
      </c>
      <c r="AK23" s="93">
        <f>'Returns per Gal.'!AJ30</f>
        <v>1.3684028957937011</v>
      </c>
      <c r="AL23" s="93">
        <f>'Returns per Gal.'!AK30</f>
        <v>1.5646489079149133</v>
      </c>
      <c r="AM23" s="105">
        <f>'Returns per Gal.'!AL30</f>
        <v>0</v>
      </c>
      <c r="AN23" s="104"/>
      <c r="AO23" s="93">
        <f>'Returns per Gal.'!AN30</f>
        <v>0.76762770627966415</v>
      </c>
      <c r="AP23" s="93">
        <f>'Returns per Gal.'!AO30</f>
        <v>0.57138169415845197</v>
      </c>
      <c r="AQ23" s="93">
        <f>'Returns per Gal.'!AP30</f>
        <v>0.59657733317384332</v>
      </c>
      <c r="AR23" s="93">
        <f>'Returns per Gal.'!AQ30</f>
        <v>-2.5195639015391347E-2</v>
      </c>
      <c r="AS23" s="52"/>
      <c r="AU23" s="177">
        <f>'Returns per Bu.'!G30</f>
        <v>2.6565056818181829</v>
      </c>
      <c r="AV23" s="166">
        <f>'Returns per Bu.'!N30</f>
        <v>6.0876872159090905</v>
      </c>
      <c r="AW23" s="166">
        <f>'Returns per Bu.'!O30</f>
        <v>4.356751081363635</v>
      </c>
      <c r="AX23" s="169">
        <f>'Returns per Bu.'!Z30</f>
        <v>0.51774705004980526</v>
      </c>
      <c r="AY23" s="162">
        <f>'Returns per Bu.'!AF30</f>
        <v>2.7283132530120482</v>
      </c>
      <c r="AZ23" s="172" t="e">
        <f>'Returns per Bu.'!#REF!</f>
        <v>#REF!</v>
      </c>
      <c r="BA23" s="15">
        <f t="shared" si="0"/>
        <v>1.9150602409638555</v>
      </c>
      <c r="BB23" s="93">
        <f>'Returns per Bu.'!AD30</f>
        <v>0.81325301204819278</v>
      </c>
      <c r="BC23" s="93">
        <f t="shared" si="1"/>
        <v>0.67195096174170366</v>
      </c>
      <c r="BD23" s="93"/>
    </row>
    <row r="24" spans="1:56" hidden="1" x14ac:dyDescent="0.2">
      <c r="A24" s="6">
        <v>39022</v>
      </c>
      <c r="B24" s="6"/>
      <c r="C24" s="53"/>
      <c r="D24" s="93">
        <v>2.04</v>
      </c>
      <c r="E24" s="95">
        <v>106.30952380952381</v>
      </c>
      <c r="F24" s="323"/>
      <c r="G24" s="93">
        <v>3.2774999999999999</v>
      </c>
      <c r="H24" s="96">
        <v>7.26</v>
      </c>
      <c r="I24" s="17">
        <f>'Returns per Gal.'!H31</f>
        <v>0</v>
      </c>
      <c r="J24" s="18"/>
      <c r="K24" s="93">
        <f>'Returns per Gal.'!J31</f>
        <v>2.04</v>
      </c>
      <c r="L24" s="93">
        <f>'Returns per Gal.'!K31</f>
        <v>0.31519841269841264</v>
      </c>
      <c r="M24" s="93"/>
      <c r="N24" s="93">
        <f>'Returns per Gal.'!M31</f>
        <v>2.3551984126984129</v>
      </c>
      <c r="O24" s="93">
        <f>'Returns per Gal.'!N31</f>
        <v>0</v>
      </c>
      <c r="P24" s="104">
        <f>'Returns per Gal.'!O31</f>
        <v>0</v>
      </c>
      <c r="Q24" s="93">
        <f>'Returns per Gal.'!P31</f>
        <v>1.1499999999999999</v>
      </c>
      <c r="R24" s="93">
        <f>'Returns per Gal.'!Q31</f>
        <v>0.21779999999999999</v>
      </c>
      <c r="S24" s="93">
        <f>'Returns per Gal.'!R31</f>
        <v>0.21939999999999998</v>
      </c>
      <c r="T24" s="93">
        <f>'Returns per Gal.'!S31</f>
        <v>1.5871999999999999</v>
      </c>
      <c r="U24" s="93">
        <f>'Returns per Gal.'!T31</f>
        <v>0.19624601212121212</v>
      </c>
      <c r="V24" s="93">
        <f>'Returns per Gal.'!U31</f>
        <v>1.7834460121212121</v>
      </c>
      <c r="W24" s="93">
        <f>'Returns per Gal.'!V31</f>
        <v>1.4682475994227995</v>
      </c>
      <c r="X24" s="105"/>
      <c r="Y24" s="93">
        <f>'Returns per Gal.'!V31</f>
        <v>1.4682475994227995</v>
      </c>
      <c r="Z24" s="93">
        <f>'Returns per Gal.'!Y31</f>
        <v>0.94889841269841302</v>
      </c>
      <c r="AA24" s="93">
        <f>'Returns per Gal.'!Z31</f>
        <v>0.76799841269841296</v>
      </c>
      <c r="AB24" s="93">
        <f>'Returns per Gal.'!AA31</f>
        <v>0.57175240057720078</v>
      </c>
      <c r="AC24" s="80">
        <f>'Returns per Gal.'!AB31</f>
        <v>0</v>
      </c>
      <c r="AD24" s="15">
        <f>'Returns per Gal.'!AC31</f>
        <v>0</v>
      </c>
      <c r="AE24" s="81">
        <f>'Returns per Gal.'!AD31</f>
        <v>0</v>
      </c>
      <c r="AF24" s="93">
        <f>'Returns per Gal.'!AE31</f>
        <v>0.28535193405199744</v>
      </c>
      <c r="AG24" s="93">
        <f>'Returns per Gal.'!AF31</f>
        <v>0.67195096174170366</v>
      </c>
      <c r="AH24" s="93">
        <f>'Returns per Gal.'!AG31</f>
        <v>0.95730289579370109</v>
      </c>
      <c r="AI24" s="105">
        <f>'Returns per Gal.'!AH31</f>
        <v>0</v>
      </c>
      <c r="AJ24" s="104">
        <f>'Returns per Gal.'!AI31</f>
        <v>0</v>
      </c>
      <c r="AK24" s="93">
        <f>'Returns per Gal.'!AJ31</f>
        <v>1.3945028957937011</v>
      </c>
      <c r="AL24" s="93">
        <f>'Returns per Gal.'!AK31</f>
        <v>1.5907489079149133</v>
      </c>
      <c r="AM24" s="105">
        <f>'Returns per Gal.'!AL31</f>
        <v>0</v>
      </c>
      <c r="AN24" s="104"/>
      <c r="AO24" s="93">
        <f>'Returns per Gal.'!AN31</f>
        <v>0.96069551690471178</v>
      </c>
      <c r="AP24" s="93">
        <f>'Returns per Gal.'!AO31</f>
        <v>0.7644495047834996</v>
      </c>
      <c r="AQ24" s="93">
        <f>'Returns per Gal.'!AP31</f>
        <v>0.57175240057720078</v>
      </c>
      <c r="AR24" s="93">
        <f>'Returns per Gal.'!AQ31</f>
        <v>0.19269710420629882</v>
      </c>
      <c r="AS24" s="52"/>
      <c r="AU24" s="177">
        <f>'Returns per Bu.'!G31</f>
        <v>3.2774999999999999</v>
      </c>
      <c r="AV24" s="166">
        <f>'Returns per Bu.'!N31</f>
        <v>6.7123154761904757</v>
      </c>
      <c r="AW24" s="166">
        <f>'Returns per Bu.'!O31</f>
        <v>4.9069943416450217</v>
      </c>
      <c r="AX24" s="169">
        <f>'Returns per Bu.'!Z31</f>
        <v>0.49620242388840291</v>
      </c>
      <c r="AY24" s="162">
        <f>'Returns per Bu.'!AF31</f>
        <v>2.7283132530120482</v>
      </c>
      <c r="AZ24" s="172" t="e">
        <f>'Returns per Bu.'!#REF!</f>
        <v>#REF!</v>
      </c>
      <c r="BA24" s="15">
        <f t="shared" si="0"/>
        <v>1.9150602409638555</v>
      </c>
      <c r="BB24" s="93">
        <f>'Returns per Bu.'!AD31</f>
        <v>0.81325301204819278</v>
      </c>
      <c r="BC24" s="93">
        <f t="shared" si="1"/>
        <v>0.67195096174170366</v>
      </c>
      <c r="BD24" s="93"/>
    </row>
    <row r="25" spans="1:56" hidden="1" x14ac:dyDescent="0.2">
      <c r="A25" s="68">
        <v>39052</v>
      </c>
      <c r="B25" s="69"/>
      <c r="C25" s="56"/>
      <c r="D25" s="97">
        <v>2.23</v>
      </c>
      <c r="E25" s="99">
        <v>126.1</v>
      </c>
      <c r="F25" s="324"/>
      <c r="G25" s="97">
        <v>3.4264999999999999</v>
      </c>
      <c r="H25" s="100">
        <v>8.31</v>
      </c>
      <c r="I25" s="65">
        <f>'Returns per Gal.'!H32</f>
        <v>0</v>
      </c>
      <c r="J25" s="66"/>
      <c r="K25" s="97">
        <f>'Returns per Gal.'!J32</f>
        <v>2.23</v>
      </c>
      <c r="L25" s="97">
        <f>'Returns per Gal.'!K32</f>
        <v>0.37387543859649114</v>
      </c>
      <c r="M25" s="97"/>
      <c r="N25" s="97">
        <f>'Returns per Gal.'!M32</f>
        <v>2.6038754385964911</v>
      </c>
      <c r="O25" s="97">
        <f>'Returns per Gal.'!N32</f>
        <v>0</v>
      </c>
      <c r="P25" s="106">
        <f>'Returns per Gal.'!O32</f>
        <v>0</v>
      </c>
      <c r="Q25" s="97">
        <f>'Returns per Gal.'!P32</f>
        <v>1.2022807017543859</v>
      </c>
      <c r="R25" s="97">
        <f>'Returns per Gal.'!Q32</f>
        <v>0.24929999999999999</v>
      </c>
      <c r="S25" s="97">
        <f>'Returns per Gal.'!R32</f>
        <v>0.21939999999999998</v>
      </c>
      <c r="T25" s="97">
        <f>'Returns per Gal.'!S32</f>
        <v>1.6709807017543861</v>
      </c>
      <c r="U25" s="97">
        <f>'Returns per Gal.'!T32</f>
        <v>0.19624601212121212</v>
      </c>
      <c r="V25" s="97">
        <f>'Returns per Gal.'!U32</f>
        <v>1.8672267138755982</v>
      </c>
      <c r="W25" s="97">
        <f>'Returns per Gal.'!V32</f>
        <v>1.4933512752791072</v>
      </c>
      <c r="X25" s="107"/>
      <c r="Y25" s="97">
        <f>'Returns per Gal.'!V32</f>
        <v>1.4933512752791072</v>
      </c>
      <c r="Z25" s="97">
        <f>'Returns per Gal.'!Y32</f>
        <v>1.1137947368421051</v>
      </c>
      <c r="AA25" s="97">
        <f>'Returns per Gal.'!Z32</f>
        <v>0.932894736842105</v>
      </c>
      <c r="AB25" s="97">
        <f>'Returns per Gal.'!AA32</f>
        <v>0.73664872472089282</v>
      </c>
      <c r="AC25" s="82">
        <f>'Returns per Gal.'!AB32</f>
        <v>0</v>
      </c>
      <c r="AD25" s="15">
        <f>'Returns per Gal.'!AC32</f>
        <v>0</v>
      </c>
      <c r="AE25" s="83">
        <f>'Returns per Gal.'!AD32</f>
        <v>0</v>
      </c>
      <c r="AF25" s="97">
        <f>'Returns per Gal.'!AE32</f>
        <v>0.28535193405199744</v>
      </c>
      <c r="AG25" s="97">
        <f>'Returns per Gal.'!AF32</f>
        <v>0.67195096174170366</v>
      </c>
      <c r="AH25" s="97">
        <f>'Returns per Gal.'!AG32</f>
        <v>0.95730289579370109</v>
      </c>
      <c r="AI25" s="107">
        <f>'Returns per Gal.'!AH32</f>
        <v>0</v>
      </c>
      <c r="AJ25" s="106">
        <f>'Returns per Gal.'!AI32</f>
        <v>0</v>
      </c>
      <c r="AK25" s="97">
        <f>'Returns per Gal.'!AJ32</f>
        <v>1.4260028957937012</v>
      </c>
      <c r="AL25" s="97">
        <f>'Returns per Gal.'!AK32</f>
        <v>1.6222489079149134</v>
      </c>
      <c r="AM25" s="107">
        <f>'Returns per Gal.'!AL32</f>
        <v>0</v>
      </c>
      <c r="AN25" s="106"/>
      <c r="AO25" s="97">
        <f>'Returns per Gal.'!AN32</f>
        <v>1.1778725428027899</v>
      </c>
      <c r="AP25" s="97">
        <f>'Returns per Gal.'!AO32</f>
        <v>0.98162653068157768</v>
      </c>
      <c r="AQ25" s="97">
        <f>'Returns per Gal.'!AP32</f>
        <v>0.73664872472089282</v>
      </c>
      <c r="AR25" s="97">
        <f>'Returns per Gal.'!AQ32</f>
        <v>0.24497780596068486</v>
      </c>
      <c r="AS25" s="64"/>
      <c r="AU25" s="178">
        <f>'Returns per Bu.'!G32</f>
        <v>3.4264999999999999</v>
      </c>
      <c r="AV25" s="167">
        <f>'Returns per Bu.'!N32</f>
        <v>7.4210449999999994</v>
      </c>
      <c r="AW25" s="167">
        <f>'Returns per Bu.'!O32</f>
        <v>5.525948865454545</v>
      </c>
      <c r="AX25" s="170">
        <f>'Returns per Bu.'!Z32</f>
        <v>0.63930974735182222</v>
      </c>
      <c r="AY25" s="163">
        <f>'Returns per Bu.'!AF32</f>
        <v>2.7283132530120482</v>
      </c>
      <c r="AZ25" s="173" t="e">
        <f>'Returns per Bu.'!#REF!</f>
        <v>#REF!</v>
      </c>
      <c r="BA25" s="15">
        <f t="shared" si="0"/>
        <v>1.9150602409638555</v>
      </c>
      <c r="BB25" s="93">
        <f>'Returns per Bu.'!AD32</f>
        <v>0.81325301204819278</v>
      </c>
      <c r="BC25" s="93">
        <f t="shared" si="1"/>
        <v>0.67195096174170366</v>
      </c>
      <c r="BD25" s="93"/>
    </row>
    <row r="26" spans="1:56" hidden="1" x14ac:dyDescent="0.2">
      <c r="A26" s="21">
        <v>39083</v>
      </c>
      <c r="B26" s="6"/>
      <c r="C26" s="50"/>
      <c r="D26" s="93">
        <v>2.15</v>
      </c>
      <c r="E26" s="95">
        <v>128.08750000000001</v>
      </c>
      <c r="F26" s="323"/>
      <c r="G26" s="93">
        <v>3.5306250000000001</v>
      </c>
      <c r="H26" s="96">
        <v>8.8699999999999992</v>
      </c>
      <c r="I26" s="16">
        <f>'Returns per Gal.'!H33</f>
        <v>0</v>
      </c>
      <c r="J26" s="84"/>
      <c r="K26" s="93">
        <f>'Returns per Gal.'!J33</f>
        <v>2.15</v>
      </c>
      <c r="L26" s="93">
        <f>'Returns per Gal.'!K33</f>
        <v>0.37976820175438591</v>
      </c>
      <c r="M26" s="93"/>
      <c r="N26" s="93">
        <f>'Returns per Gal.'!M33</f>
        <v>2.5297682017543859</v>
      </c>
      <c r="O26" s="108">
        <f>'Returns per Gal.'!N33</f>
        <v>0</v>
      </c>
      <c r="P26" s="109">
        <f>'Returns per Gal.'!O33</f>
        <v>0</v>
      </c>
      <c r="Q26" s="93">
        <f>'Returns per Gal.'!P33</f>
        <v>1.2388157894736842</v>
      </c>
      <c r="R26" s="93">
        <f>'Returns per Gal.'!Q33</f>
        <v>0.2661</v>
      </c>
      <c r="S26" s="93">
        <f>'Returns per Gal.'!R33</f>
        <v>0.21939999999999998</v>
      </c>
      <c r="T26" s="93">
        <f>'Returns per Gal.'!S33</f>
        <v>1.7243157894736842</v>
      </c>
      <c r="U26" s="93">
        <f>'Returns per Gal.'!T33</f>
        <v>0.19624601212121212</v>
      </c>
      <c r="V26" s="93">
        <f>'Returns per Gal.'!U33</f>
        <v>1.9205618015948964</v>
      </c>
      <c r="W26" s="93">
        <f>'Returns per Gal.'!V33</f>
        <v>1.5407935998405105</v>
      </c>
      <c r="X26" s="105"/>
      <c r="Y26" s="93">
        <f>'Returns per Gal.'!V33</f>
        <v>1.5407935998405105</v>
      </c>
      <c r="Z26" s="93">
        <f>'Returns per Gal.'!Y33</f>
        <v>0.9863524122807017</v>
      </c>
      <c r="AA26" s="93">
        <f>'Returns per Gal.'!Z33</f>
        <v>0.80545241228070164</v>
      </c>
      <c r="AB26" s="93">
        <f>'Returns per Gal.'!AA33</f>
        <v>0.60920640015948946</v>
      </c>
      <c r="AC26" s="80">
        <f>'Returns per Gal.'!AB33</f>
        <v>0</v>
      </c>
      <c r="AD26" s="15">
        <f>'Returns per Gal.'!AC33</f>
        <v>0</v>
      </c>
      <c r="AE26" s="81">
        <f>'Returns per Gal.'!AD33</f>
        <v>0</v>
      </c>
      <c r="AF26" s="93">
        <f>'Returns per Gal.'!AE33</f>
        <v>0.28535193405199744</v>
      </c>
      <c r="AG26" s="93">
        <f>'Returns per Gal.'!AF33</f>
        <v>0.67195096174170366</v>
      </c>
      <c r="AH26" s="93">
        <f>'Returns per Gal.'!AG33</f>
        <v>0.95730289579370109</v>
      </c>
      <c r="AI26" s="105">
        <f>'Returns per Gal.'!AH33</f>
        <v>0</v>
      </c>
      <c r="AJ26" s="104">
        <f>'Returns per Gal.'!AI33</f>
        <v>0</v>
      </c>
      <c r="AK26" s="93">
        <f>'Returns per Gal.'!AJ33</f>
        <v>1.4428028957937011</v>
      </c>
      <c r="AL26" s="93">
        <f>'Returns per Gal.'!AK33</f>
        <v>1.6390489079149133</v>
      </c>
      <c r="AM26" s="105">
        <f>'Returns per Gal.'!AL33</f>
        <v>0</v>
      </c>
      <c r="AN26" s="104"/>
      <c r="AO26" s="93">
        <f>'Returns per Gal.'!AN33</f>
        <v>1.0869653059606847</v>
      </c>
      <c r="AP26" s="93">
        <f>'Returns per Gal.'!AO33</f>
        <v>0.89071929383947257</v>
      </c>
      <c r="AQ26" s="93">
        <f>'Returns per Gal.'!AP33</f>
        <v>0.60920640015948946</v>
      </c>
      <c r="AR26" s="93">
        <f>'Returns per Gal.'!AQ33</f>
        <v>0.28151289367998311</v>
      </c>
      <c r="AS26" s="52"/>
      <c r="AU26" s="177">
        <f>'Returns per Bu.'!G33</f>
        <v>3.5306250000000001</v>
      </c>
      <c r="AV26" s="166">
        <f>'Returns per Bu.'!N33</f>
        <v>7.2098393749999996</v>
      </c>
      <c r="AW26" s="166">
        <f>'Returns per Bu.'!O33</f>
        <v>5.2668632404545459</v>
      </c>
      <c r="AX26" s="169">
        <f>'Returns per Bu.'!Z33</f>
        <v>0.52870734272789566</v>
      </c>
      <c r="AY26" s="162">
        <f>'Returns per Bu.'!AF33</f>
        <v>2.7283132530120482</v>
      </c>
      <c r="AZ26" s="172" t="e">
        <f>'Returns per Bu.'!#REF!</f>
        <v>#REF!</v>
      </c>
      <c r="BA26" s="15">
        <f t="shared" si="0"/>
        <v>1.9150602409638555</v>
      </c>
      <c r="BB26" s="93">
        <f>'Returns per Bu.'!AD33</f>
        <v>0.81325301204819278</v>
      </c>
      <c r="BC26" s="93">
        <f t="shared" si="1"/>
        <v>0.67195096174170366</v>
      </c>
      <c r="BD26" s="93"/>
    </row>
    <row r="27" spans="1:56" hidden="1" x14ac:dyDescent="0.2">
      <c r="A27" s="8">
        <v>39114</v>
      </c>
      <c r="B27" s="8"/>
      <c r="C27" s="50"/>
      <c r="D27" s="93">
        <v>1.9</v>
      </c>
      <c r="E27" s="95">
        <v>127.55555555555556</v>
      </c>
      <c r="F27" s="323"/>
      <c r="G27" s="93">
        <v>3.8377777777777777</v>
      </c>
      <c r="H27" s="96">
        <v>9.39</v>
      </c>
      <c r="I27" s="16">
        <f>'Returns per Gal.'!H34</f>
        <v>0</v>
      </c>
      <c r="J27" s="84"/>
      <c r="K27" s="93">
        <f>'Returns per Gal.'!J34</f>
        <v>1.9</v>
      </c>
      <c r="L27" s="93">
        <f>'Returns per Gal.'!K34</f>
        <v>0.37819103313840152</v>
      </c>
      <c r="M27" s="93"/>
      <c r="N27" s="93">
        <f>'Returns per Gal.'!M34</f>
        <v>2.2781910331384014</v>
      </c>
      <c r="O27" s="108">
        <f>'Returns per Gal.'!N34</f>
        <v>0</v>
      </c>
      <c r="P27" s="109">
        <f>'Returns per Gal.'!O34</f>
        <v>0</v>
      </c>
      <c r="Q27" s="93">
        <f>'Returns per Gal.'!P34</f>
        <v>1.346588693957115</v>
      </c>
      <c r="R27" s="93">
        <f>'Returns per Gal.'!Q34</f>
        <v>0.28170000000000001</v>
      </c>
      <c r="S27" s="93">
        <f>'Returns per Gal.'!R34</f>
        <v>0.21939999999999998</v>
      </c>
      <c r="T27" s="93">
        <f>'Returns per Gal.'!S34</f>
        <v>1.8476886939571151</v>
      </c>
      <c r="U27" s="93">
        <f>'Returns per Gal.'!T34</f>
        <v>0.19624601212121212</v>
      </c>
      <c r="V27" s="93">
        <f>'Returns per Gal.'!U34</f>
        <v>2.0439347060783271</v>
      </c>
      <c r="W27" s="93">
        <f>'Returns per Gal.'!V34</f>
        <v>1.6657436729399255</v>
      </c>
      <c r="X27" s="105"/>
      <c r="Y27" s="93">
        <f>'Returns per Gal.'!V34</f>
        <v>1.6657436729399255</v>
      </c>
      <c r="Z27" s="93">
        <f>'Returns per Gal.'!Y34</f>
        <v>0.61140233918128639</v>
      </c>
      <c r="AA27" s="93">
        <f>'Returns per Gal.'!Z34</f>
        <v>0.43050233918128633</v>
      </c>
      <c r="AB27" s="93">
        <f>'Returns per Gal.'!AA34</f>
        <v>0.23425632706007438</v>
      </c>
      <c r="AC27" s="80">
        <f>'Returns per Gal.'!AB34</f>
        <v>0</v>
      </c>
      <c r="AD27" s="15">
        <f>'Returns per Gal.'!AC34</f>
        <v>0</v>
      </c>
      <c r="AE27" s="81">
        <f>'Returns per Gal.'!AD34</f>
        <v>0</v>
      </c>
      <c r="AF27" s="93">
        <f>'Returns per Gal.'!AE34</f>
        <v>0.28535193405199744</v>
      </c>
      <c r="AG27" s="93">
        <f>'Returns per Gal.'!AF34</f>
        <v>0.67195096174170366</v>
      </c>
      <c r="AH27" s="93">
        <f>'Returns per Gal.'!AG34</f>
        <v>0.95730289579370109</v>
      </c>
      <c r="AI27" s="105">
        <f>'Returns per Gal.'!AH34</f>
        <v>0</v>
      </c>
      <c r="AJ27" s="104">
        <f>'Returns per Gal.'!AI34</f>
        <v>0</v>
      </c>
      <c r="AK27" s="93">
        <f>'Returns per Gal.'!AJ34</f>
        <v>1.4584028957937012</v>
      </c>
      <c r="AL27" s="93">
        <f>'Returns per Gal.'!AK34</f>
        <v>1.6546489079149134</v>
      </c>
      <c r="AM27" s="105">
        <f>'Returns per Gal.'!AL34</f>
        <v>0</v>
      </c>
      <c r="AN27" s="104"/>
      <c r="AO27" s="93">
        <f>'Returns per Gal.'!AN34</f>
        <v>0.81978813734470024</v>
      </c>
      <c r="AP27" s="93">
        <f>'Returns per Gal.'!AO34</f>
        <v>0.62354212522348806</v>
      </c>
      <c r="AQ27" s="93">
        <f>'Returns per Gal.'!AP34</f>
        <v>0.23425632706007415</v>
      </c>
      <c r="AR27" s="93">
        <f>'Returns per Gal.'!AQ34</f>
        <v>0.38928579816341391</v>
      </c>
      <c r="AS27" s="52"/>
      <c r="AU27" s="177">
        <f>'Returns per Bu.'!G34</f>
        <v>3.8377777777777777</v>
      </c>
      <c r="AV27" s="166">
        <f>'Returns per Bu.'!N34</f>
        <v>6.4928444444444446</v>
      </c>
      <c r="AW27" s="166">
        <f>'Returns per Bu.'!O34</f>
        <v>4.505408309898991</v>
      </c>
      <c r="AX27" s="169">
        <f>'Returns per Bu.'!Z34</f>
        <v>0.20330226367402626</v>
      </c>
      <c r="AY27" s="162">
        <f>'Returns per Bu.'!AF34</f>
        <v>2.7283132530120482</v>
      </c>
      <c r="AZ27" s="172" t="e">
        <f>'Returns per Bu.'!#REF!</f>
        <v>#REF!</v>
      </c>
      <c r="BA27" s="15">
        <f t="shared" si="0"/>
        <v>1.9150602409638555</v>
      </c>
      <c r="BB27" s="93">
        <f>'Returns per Bu.'!AD34</f>
        <v>0.81325301204819278</v>
      </c>
      <c r="BC27" s="93">
        <f t="shared" si="1"/>
        <v>0.67195096174170366</v>
      </c>
      <c r="BD27" s="93"/>
    </row>
    <row r="28" spans="1:56" hidden="1" x14ac:dyDescent="0.2">
      <c r="A28" s="6">
        <v>39142</v>
      </c>
      <c r="B28" s="6"/>
      <c r="C28" s="50"/>
      <c r="D28" s="93">
        <v>2.19</v>
      </c>
      <c r="E28" s="95">
        <v>129.28571428571428</v>
      </c>
      <c r="F28" s="323"/>
      <c r="G28" s="93">
        <v>3.7503690476190483</v>
      </c>
      <c r="H28" s="96">
        <v>9.2799999999999994</v>
      </c>
      <c r="I28" s="16">
        <f>'Returns per Gal.'!H35</f>
        <v>0</v>
      </c>
      <c r="J28" s="84"/>
      <c r="K28" s="93">
        <f>'Returns per Gal.'!J35</f>
        <v>2.19</v>
      </c>
      <c r="L28" s="93">
        <f>'Returns per Gal.'!K35</f>
        <v>0.38332080200501251</v>
      </c>
      <c r="M28" s="93"/>
      <c r="N28" s="93">
        <f>'Returns per Gal.'!M35</f>
        <v>2.5733208020050125</v>
      </c>
      <c r="O28" s="108">
        <f>'Returns per Gal.'!N35</f>
        <v>0</v>
      </c>
      <c r="P28" s="109">
        <f>'Returns per Gal.'!O35</f>
        <v>0</v>
      </c>
      <c r="Q28" s="93">
        <f>'Returns per Gal.'!P35</f>
        <v>1.3159189640768589</v>
      </c>
      <c r="R28" s="93">
        <f>'Returns per Gal.'!Q35</f>
        <v>0.27839999999999998</v>
      </c>
      <c r="S28" s="93">
        <f>'Returns per Gal.'!R35</f>
        <v>0.21939999999999998</v>
      </c>
      <c r="T28" s="93">
        <f>'Returns per Gal.'!S35</f>
        <v>1.813718964076859</v>
      </c>
      <c r="U28" s="93">
        <f>'Returns per Gal.'!T35</f>
        <v>0.19624601212121212</v>
      </c>
      <c r="V28" s="93">
        <f>'Returns per Gal.'!U35</f>
        <v>2.0099649761980709</v>
      </c>
      <c r="W28" s="93">
        <f>'Returns per Gal.'!V35</f>
        <v>1.6266441741930584</v>
      </c>
      <c r="X28" s="105"/>
      <c r="Y28" s="93">
        <f>'Returns per Gal.'!V35</f>
        <v>1.6266441741930584</v>
      </c>
      <c r="Z28" s="93">
        <f>'Returns per Gal.'!Y35</f>
        <v>0.94050183792815356</v>
      </c>
      <c r="AA28" s="93">
        <f>'Returns per Gal.'!Z35</f>
        <v>0.7596018379281535</v>
      </c>
      <c r="AB28" s="93">
        <f>'Returns per Gal.'!AA35</f>
        <v>0.56335582580694155</v>
      </c>
      <c r="AC28" s="80">
        <f>'Returns per Gal.'!AB35</f>
        <v>0</v>
      </c>
      <c r="AD28" s="15">
        <f>'Returns per Gal.'!AC35</f>
        <v>0</v>
      </c>
      <c r="AE28" s="81">
        <f>'Returns per Gal.'!AD35</f>
        <v>0</v>
      </c>
      <c r="AF28" s="93">
        <f>'Returns per Gal.'!AE35</f>
        <v>0.28535193405199744</v>
      </c>
      <c r="AG28" s="93">
        <f>'Returns per Gal.'!AF35</f>
        <v>0.67195096174170366</v>
      </c>
      <c r="AH28" s="93">
        <f>'Returns per Gal.'!AG35</f>
        <v>0.95730289579370109</v>
      </c>
      <c r="AI28" s="105">
        <f>'Returns per Gal.'!AH35</f>
        <v>0</v>
      </c>
      <c r="AJ28" s="104">
        <f>'Returns per Gal.'!AI35</f>
        <v>0</v>
      </c>
      <c r="AK28" s="93">
        <f>'Returns per Gal.'!AJ35</f>
        <v>1.4551028957937011</v>
      </c>
      <c r="AL28" s="93">
        <f>'Returns per Gal.'!AK35</f>
        <v>1.6513489079149133</v>
      </c>
      <c r="AM28" s="105">
        <f>'Returns per Gal.'!AL35</f>
        <v>0</v>
      </c>
      <c r="AN28" s="104"/>
      <c r="AO28" s="93">
        <f>'Returns per Gal.'!AN35</f>
        <v>1.1182179062113113</v>
      </c>
      <c r="AP28" s="93">
        <f>'Returns per Gal.'!AO35</f>
        <v>0.92197189409009916</v>
      </c>
      <c r="AQ28" s="93">
        <f>'Returns per Gal.'!AP35</f>
        <v>0.56335582580694132</v>
      </c>
      <c r="AR28" s="93">
        <f>'Returns per Gal.'!AQ35</f>
        <v>0.35861606828315784</v>
      </c>
      <c r="AS28" s="52"/>
      <c r="AU28" s="177">
        <f>'Returns per Bu.'!G35</f>
        <v>3.7503690476190483</v>
      </c>
      <c r="AV28" s="166">
        <f>'Returns per Bu.'!N35</f>
        <v>7.3339642857142859</v>
      </c>
      <c r="AW28" s="166">
        <f>'Returns per Bu.'!O35</f>
        <v>5.3559331511688315</v>
      </c>
      <c r="AX28" s="169">
        <f>'Returns per Bu.'!Z35</f>
        <v>0.48891535216092663</v>
      </c>
      <c r="AY28" s="162">
        <f>'Returns per Bu.'!AF35</f>
        <v>2.7283132530120482</v>
      </c>
      <c r="AZ28" s="172" t="e">
        <f>'Returns per Bu.'!#REF!</f>
        <v>#REF!</v>
      </c>
      <c r="BA28" s="15">
        <f t="shared" si="0"/>
        <v>1.9150602409638555</v>
      </c>
      <c r="BB28" s="93">
        <f>'Returns per Bu.'!AD35</f>
        <v>0.81325301204819278</v>
      </c>
      <c r="BC28" s="93">
        <f t="shared" si="1"/>
        <v>0.67195096174170366</v>
      </c>
      <c r="BD28" s="93"/>
    </row>
    <row r="29" spans="1:56" hidden="1" x14ac:dyDescent="0.2">
      <c r="A29" s="8">
        <v>39173</v>
      </c>
      <c r="B29" s="8"/>
      <c r="C29" s="50"/>
      <c r="D29" s="93">
        <v>2.16</v>
      </c>
      <c r="E29" s="95">
        <v>112.42857142857143</v>
      </c>
      <c r="F29" s="323"/>
      <c r="G29" s="93">
        <v>3.3292857142857133</v>
      </c>
      <c r="H29" s="96">
        <v>8.58</v>
      </c>
      <c r="I29" s="16">
        <f>'Returns per Gal.'!H36</f>
        <v>0</v>
      </c>
      <c r="J29" s="84"/>
      <c r="K29" s="93">
        <f>'Returns per Gal.'!J36</f>
        <v>2.16</v>
      </c>
      <c r="L29" s="93">
        <f>'Returns per Gal.'!K36</f>
        <v>0.33334085213032583</v>
      </c>
      <c r="M29" s="93"/>
      <c r="N29" s="93">
        <f>'Returns per Gal.'!M36</f>
        <v>2.4933408521303262</v>
      </c>
      <c r="O29" s="108">
        <f>'Returns per Gal.'!N36</f>
        <v>0</v>
      </c>
      <c r="P29" s="109">
        <f>'Returns per Gal.'!O36</f>
        <v>0</v>
      </c>
      <c r="Q29" s="93">
        <f>'Returns per Gal.'!P36</f>
        <v>1.1681704260651624</v>
      </c>
      <c r="R29" s="93">
        <f>'Returns per Gal.'!Q36</f>
        <v>0.25740000000000002</v>
      </c>
      <c r="S29" s="93">
        <f>'Returns per Gal.'!R36</f>
        <v>0.21939999999999998</v>
      </c>
      <c r="T29" s="93">
        <f>'Returns per Gal.'!S36</f>
        <v>1.6449704260651625</v>
      </c>
      <c r="U29" s="93">
        <f>'Returns per Gal.'!T36</f>
        <v>0.19624601212121212</v>
      </c>
      <c r="V29" s="93">
        <f>'Returns per Gal.'!U36</f>
        <v>1.8412164381863747</v>
      </c>
      <c r="W29" s="93">
        <f>'Returns per Gal.'!V36</f>
        <v>1.5078755860560489</v>
      </c>
      <c r="X29" s="105"/>
      <c r="Y29" s="93">
        <f>'Returns per Gal.'!V36</f>
        <v>1.5078755860560489</v>
      </c>
      <c r="Z29" s="93">
        <f>'Returns per Gal.'!Y36</f>
        <v>1.0292704260651637</v>
      </c>
      <c r="AA29" s="93">
        <f>'Returns per Gal.'!Z36</f>
        <v>0.84837042606516366</v>
      </c>
      <c r="AB29" s="93">
        <f>'Returns per Gal.'!AA36</f>
        <v>0.65212441394395149</v>
      </c>
      <c r="AC29" s="80">
        <f>'Returns per Gal.'!AB36</f>
        <v>0</v>
      </c>
      <c r="AD29" s="15">
        <f>'Returns per Gal.'!AC36</f>
        <v>0</v>
      </c>
      <c r="AE29" s="81">
        <f>'Returns per Gal.'!AD36</f>
        <v>0</v>
      </c>
      <c r="AF29" s="93">
        <f>'Returns per Gal.'!AE36</f>
        <v>0.28535193405199744</v>
      </c>
      <c r="AG29" s="93">
        <f>'Returns per Gal.'!AF36</f>
        <v>0.67195096174170366</v>
      </c>
      <c r="AH29" s="93">
        <f>'Returns per Gal.'!AG36</f>
        <v>0.95730289579370109</v>
      </c>
      <c r="AI29" s="105">
        <f>'Returns per Gal.'!AH36</f>
        <v>0</v>
      </c>
      <c r="AJ29" s="104">
        <f>'Returns per Gal.'!AI36</f>
        <v>0</v>
      </c>
      <c r="AK29" s="93">
        <f>'Returns per Gal.'!AJ36</f>
        <v>1.4341028957937012</v>
      </c>
      <c r="AL29" s="93">
        <f>'Returns per Gal.'!AK36</f>
        <v>1.6303489079149134</v>
      </c>
      <c r="AM29" s="105">
        <f>'Returns per Gal.'!AL36</f>
        <v>0</v>
      </c>
      <c r="AN29" s="104"/>
      <c r="AO29" s="93">
        <f>'Returns per Gal.'!AN36</f>
        <v>1.059237956336625</v>
      </c>
      <c r="AP29" s="93">
        <f>'Returns per Gal.'!AO36</f>
        <v>0.86299194421541281</v>
      </c>
      <c r="AQ29" s="93">
        <f>'Returns per Gal.'!AP36</f>
        <v>0.65212441394395149</v>
      </c>
      <c r="AR29" s="93">
        <f>'Returns per Gal.'!AQ36</f>
        <v>0.21086753027146132</v>
      </c>
      <c r="AS29" s="52"/>
      <c r="AU29" s="177">
        <f>'Returns per Bu.'!G36</f>
        <v>3.3292857142857133</v>
      </c>
      <c r="AV29" s="166">
        <f>'Returns per Bu.'!N36</f>
        <v>7.1060214285714292</v>
      </c>
      <c r="AW29" s="166">
        <f>'Returns per Bu.'!O36</f>
        <v>5.1878402940259747</v>
      </c>
      <c r="AX29" s="169">
        <f>'Returns per Bu.'!Z36</f>
        <v>0.5659542741737924</v>
      </c>
      <c r="AY29" s="162">
        <f>'Returns per Bu.'!AF36</f>
        <v>2.7283132530120482</v>
      </c>
      <c r="AZ29" s="172" t="e">
        <f>'Returns per Bu.'!#REF!</f>
        <v>#REF!</v>
      </c>
      <c r="BA29" s="15">
        <f t="shared" si="0"/>
        <v>1.9150602409638555</v>
      </c>
      <c r="BB29" s="93">
        <f>'Returns per Bu.'!AD36</f>
        <v>0.81325301204819278</v>
      </c>
      <c r="BC29" s="93">
        <f t="shared" si="1"/>
        <v>0.67195096174170366</v>
      </c>
      <c r="BD29" s="93"/>
    </row>
    <row r="30" spans="1:56" hidden="1" x14ac:dyDescent="0.2">
      <c r="A30" s="6">
        <v>39203</v>
      </c>
      <c r="B30" s="6"/>
      <c r="C30" s="50"/>
      <c r="D30" s="93">
        <v>2.17</v>
      </c>
      <c r="E30" s="95">
        <v>102.17045454545455</v>
      </c>
      <c r="F30" s="323"/>
      <c r="G30" s="93">
        <v>3.4418181818181819</v>
      </c>
      <c r="H30" s="96">
        <v>8</v>
      </c>
      <c r="I30" s="16">
        <f>'Returns per Gal.'!H37</f>
        <v>0</v>
      </c>
      <c r="J30" s="84"/>
      <c r="K30" s="93">
        <f>'Returns per Gal.'!J37</f>
        <v>2.17</v>
      </c>
      <c r="L30" s="93">
        <f>'Returns per Gal.'!K37</f>
        <v>0.30292643540669856</v>
      </c>
      <c r="M30" s="93"/>
      <c r="N30" s="93">
        <f>'Returns per Gal.'!M37</f>
        <v>2.4729264354066984</v>
      </c>
      <c r="O30" s="108">
        <f>'Returns per Gal.'!N37</f>
        <v>0</v>
      </c>
      <c r="P30" s="109">
        <f>'Returns per Gal.'!O37</f>
        <v>0</v>
      </c>
      <c r="Q30" s="93">
        <f>'Returns per Gal.'!P37</f>
        <v>1.2076555023923445</v>
      </c>
      <c r="R30" s="93">
        <f>'Returns per Gal.'!Q37</f>
        <v>0.24</v>
      </c>
      <c r="S30" s="93">
        <f>'Returns per Gal.'!R37</f>
        <v>0.21939999999999998</v>
      </c>
      <c r="T30" s="93">
        <f>'Returns per Gal.'!S37</f>
        <v>1.6670555023923446</v>
      </c>
      <c r="U30" s="93">
        <f>'Returns per Gal.'!T37</f>
        <v>0.19624601212121212</v>
      </c>
      <c r="V30" s="93">
        <f>'Returns per Gal.'!U37</f>
        <v>1.8633015145135567</v>
      </c>
      <c r="W30" s="93">
        <f>'Returns per Gal.'!V37</f>
        <v>1.5603750791068582</v>
      </c>
      <c r="X30" s="105"/>
      <c r="Y30" s="93">
        <f>'Returns per Gal.'!V37</f>
        <v>1.5603750791068582</v>
      </c>
      <c r="Z30" s="93">
        <f>'Returns per Gal.'!Y37</f>
        <v>0.98677093301435392</v>
      </c>
      <c r="AA30" s="93">
        <f>'Returns per Gal.'!Z37</f>
        <v>0.80587093301435386</v>
      </c>
      <c r="AB30" s="93">
        <f>'Returns per Gal.'!AA37</f>
        <v>0.60962492089314169</v>
      </c>
      <c r="AC30" s="80">
        <f>'Returns per Gal.'!AB37</f>
        <v>0</v>
      </c>
      <c r="AD30" s="15">
        <f>'Returns per Gal.'!AC37</f>
        <v>0</v>
      </c>
      <c r="AE30" s="81">
        <f>'Returns per Gal.'!AD37</f>
        <v>0</v>
      </c>
      <c r="AF30" s="93">
        <f>'Returns per Gal.'!AE37</f>
        <v>0.28535193405199744</v>
      </c>
      <c r="AG30" s="93">
        <f>'Returns per Gal.'!AF37</f>
        <v>0.67195096174170366</v>
      </c>
      <c r="AH30" s="93">
        <f>'Returns per Gal.'!AG37</f>
        <v>0.95730289579370109</v>
      </c>
      <c r="AI30" s="105">
        <f>'Returns per Gal.'!AH37</f>
        <v>0</v>
      </c>
      <c r="AJ30" s="104">
        <f>'Returns per Gal.'!AI37</f>
        <v>0</v>
      </c>
      <c r="AK30" s="93">
        <f>'Returns per Gal.'!AJ37</f>
        <v>1.4167028957937011</v>
      </c>
      <c r="AL30" s="93">
        <f>'Returns per Gal.'!AK37</f>
        <v>1.6129489079149133</v>
      </c>
      <c r="AM30" s="105">
        <f>'Returns per Gal.'!AL37</f>
        <v>0</v>
      </c>
      <c r="AN30" s="104"/>
      <c r="AO30" s="93">
        <f>'Returns per Gal.'!AN37</f>
        <v>1.0562235396129973</v>
      </c>
      <c r="AP30" s="93">
        <f>'Returns per Gal.'!AO37</f>
        <v>0.85997752749178513</v>
      </c>
      <c r="AQ30" s="93">
        <f>'Returns per Gal.'!AP37</f>
        <v>0.60962492089314169</v>
      </c>
      <c r="AR30" s="93">
        <f>'Returns per Gal.'!AQ37</f>
        <v>0.25035260659864345</v>
      </c>
      <c r="AS30" s="52"/>
      <c r="AU30" s="177">
        <f>'Returns per Bu.'!G37</f>
        <v>3.4418181818181819</v>
      </c>
      <c r="AV30" s="166">
        <f>'Returns per Bu.'!N37</f>
        <v>7.0478403409090911</v>
      </c>
      <c r="AW30" s="166">
        <f>'Returns per Bu.'!O37</f>
        <v>5.1792492063636377</v>
      </c>
      <c r="AX30" s="169">
        <f>'Returns per Bu.'!Z37</f>
        <v>0.52907056114600171</v>
      </c>
      <c r="AY30" s="162">
        <f>'Returns per Bu.'!AF37</f>
        <v>2.7283132530120482</v>
      </c>
      <c r="AZ30" s="172" t="e">
        <f>'Returns per Bu.'!#REF!</f>
        <v>#REF!</v>
      </c>
      <c r="BA30" s="15">
        <f t="shared" si="0"/>
        <v>1.9150602409638555</v>
      </c>
      <c r="BB30" s="93">
        <f>'Returns per Bu.'!AD37</f>
        <v>0.81325301204819278</v>
      </c>
      <c r="BC30" s="93">
        <f t="shared" si="1"/>
        <v>0.67195096174170366</v>
      </c>
      <c r="BD30" s="93"/>
    </row>
    <row r="31" spans="1:56" hidden="1" x14ac:dyDescent="0.2">
      <c r="A31" s="8">
        <v>39234</v>
      </c>
      <c r="B31" s="8"/>
      <c r="C31" s="50"/>
      <c r="D31" s="93">
        <v>2.09</v>
      </c>
      <c r="E31" s="95">
        <v>96.642857142857139</v>
      </c>
      <c r="F31" s="323"/>
      <c r="G31" s="93">
        <v>3.6492857142857154</v>
      </c>
      <c r="H31" s="96">
        <v>8.58</v>
      </c>
      <c r="I31" s="16">
        <f>'Returns per Gal.'!H38</f>
        <v>0</v>
      </c>
      <c r="J31" s="84"/>
      <c r="K31" s="93">
        <f>'Returns per Gal.'!J38</f>
        <v>2.09</v>
      </c>
      <c r="L31" s="93">
        <f>'Returns per Gal.'!K38</f>
        <v>0.28653759398496237</v>
      </c>
      <c r="M31" s="93"/>
      <c r="N31" s="93">
        <f>'Returns per Gal.'!M38</f>
        <v>2.3765375939849624</v>
      </c>
      <c r="O31" s="108">
        <f>'Returns per Gal.'!N38</f>
        <v>0</v>
      </c>
      <c r="P31" s="109">
        <f>'Returns per Gal.'!O38</f>
        <v>0</v>
      </c>
      <c r="Q31" s="93">
        <f>'Returns per Gal.'!P38</f>
        <v>1.2804511278195492</v>
      </c>
      <c r="R31" s="93">
        <f>'Returns per Gal.'!Q38</f>
        <v>0.25740000000000002</v>
      </c>
      <c r="S31" s="93">
        <f>'Returns per Gal.'!R38</f>
        <v>0.21939999999999998</v>
      </c>
      <c r="T31" s="93">
        <f>'Returns per Gal.'!S38</f>
        <v>1.7572511278195493</v>
      </c>
      <c r="U31" s="93">
        <f>'Returns per Gal.'!T38</f>
        <v>0.19624601212121212</v>
      </c>
      <c r="V31" s="93">
        <f>'Returns per Gal.'!U38</f>
        <v>1.9534971399407615</v>
      </c>
      <c r="W31" s="93">
        <f>'Returns per Gal.'!V38</f>
        <v>1.6669595459557991</v>
      </c>
      <c r="X31" s="105"/>
      <c r="Y31" s="93">
        <f>'Returns per Gal.'!V38</f>
        <v>1.6669595459557991</v>
      </c>
      <c r="Z31" s="93">
        <f>'Returns per Gal.'!Y38</f>
        <v>0.80018646616541322</v>
      </c>
      <c r="AA31" s="93">
        <f>'Returns per Gal.'!Z38</f>
        <v>0.61928646616541316</v>
      </c>
      <c r="AB31" s="93">
        <f>'Returns per Gal.'!AA38</f>
        <v>0.42304045404420099</v>
      </c>
      <c r="AC31" s="80">
        <f>'Returns per Gal.'!AB38</f>
        <v>0</v>
      </c>
      <c r="AD31" s="15">
        <f>'Returns per Gal.'!AC38</f>
        <v>0</v>
      </c>
      <c r="AE31" s="81">
        <f>'Returns per Gal.'!AD38</f>
        <v>0</v>
      </c>
      <c r="AF31" s="93">
        <f>'Returns per Gal.'!AE38</f>
        <v>0.28535193405199744</v>
      </c>
      <c r="AG31" s="93">
        <f>'Returns per Gal.'!AF38</f>
        <v>0.67195096174170366</v>
      </c>
      <c r="AH31" s="93">
        <f>'Returns per Gal.'!AG38</f>
        <v>0.95730289579370109</v>
      </c>
      <c r="AI31" s="105">
        <f>'Returns per Gal.'!AH38</f>
        <v>0</v>
      </c>
      <c r="AJ31" s="104">
        <f>'Returns per Gal.'!AI38</f>
        <v>0</v>
      </c>
      <c r="AK31" s="93">
        <f>'Returns per Gal.'!AJ38</f>
        <v>1.4341028957937012</v>
      </c>
      <c r="AL31" s="93">
        <f>'Returns per Gal.'!AK38</f>
        <v>1.6303489079149134</v>
      </c>
      <c r="AM31" s="105">
        <f>'Returns per Gal.'!AL38</f>
        <v>0</v>
      </c>
      <c r="AN31" s="104"/>
      <c r="AO31" s="93">
        <f>'Returns per Gal.'!AN38</f>
        <v>0.94243469819126124</v>
      </c>
      <c r="AP31" s="93">
        <f>'Returns per Gal.'!AO38</f>
        <v>0.74618868607004907</v>
      </c>
      <c r="AQ31" s="93">
        <f>'Returns per Gal.'!AP38</f>
        <v>0.42304045404420099</v>
      </c>
      <c r="AR31" s="93">
        <f>'Returns per Gal.'!AQ38</f>
        <v>0.32314823202584808</v>
      </c>
      <c r="AS31" s="52"/>
      <c r="AU31" s="177">
        <f>'Returns per Bu.'!G38</f>
        <v>3.6492857142857154</v>
      </c>
      <c r="AV31" s="166">
        <f>'Returns per Bu.'!N38</f>
        <v>6.7731321428571434</v>
      </c>
      <c r="AW31" s="166">
        <f>'Returns per Bu.'!O38</f>
        <v>4.8549510083116889</v>
      </c>
      <c r="AX31" s="169">
        <f>'Returns per Bu.'!Z38</f>
        <v>0.36714091359768547</v>
      </c>
      <c r="AY31" s="162">
        <f>'Returns per Bu.'!AF38</f>
        <v>2.7283132530120482</v>
      </c>
      <c r="AZ31" s="172" t="e">
        <f>'Returns per Bu.'!#REF!</f>
        <v>#REF!</v>
      </c>
      <c r="BA31" s="15">
        <f t="shared" si="0"/>
        <v>1.9150602409638555</v>
      </c>
      <c r="BB31" s="93">
        <f>'Returns per Bu.'!AD38</f>
        <v>0.81325301204819278</v>
      </c>
      <c r="BC31" s="93">
        <f t="shared" si="1"/>
        <v>0.67195096174170366</v>
      </c>
      <c r="BD31" s="93"/>
    </row>
    <row r="32" spans="1:56" hidden="1" x14ac:dyDescent="0.2">
      <c r="A32" s="6">
        <v>39264</v>
      </c>
      <c r="B32" s="6"/>
      <c r="C32" s="50"/>
      <c r="D32" s="93">
        <v>1.97</v>
      </c>
      <c r="E32" s="95">
        <v>93.88095238095238</v>
      </c>
      <c r="F32" s="323"/>
      <c r="G32" s="93">
        <v>3.013363571428572</v>
      </c>
      <c r="H32" s="96">
        <v>8.61</v>
      </c>
      <c r="I32" s="16">
        <f>'Returns per Gal.'!H39</f>
        <v>0</v>
      </c>
      <c r="J32" s="84"/>
      <c r="K32" s="93">
        <f>'Returns per Gal.'!J39</f>
        <v>1.97</v>
      </c>
      <c r="L32" s="93">
        <f>'Returns per Gal.'!K39</f>
        <v>0.27834878863826229</v>
      </c>
      <c r="M32" s="93"/>
      <c r="N32" s="93">
        <f>'Returns per Gal.'!M39</f>
        <v>2.2483487886382623</v>
      </c>
      <c r="O32" s="108">
        <f>'Returns per Gal.'!N39</f>
        <v>0</v>
      </c>
      <c r="P32" s="109">
        <f>'Returns per Gal.'!O39</f>
        <v>0</v>
      </c>
      <c r="Q32" s="93">
        <f>'Returns per Gal.'!P39</f>
        <v>1.0573205513784463</v>
      </c>
      <c r="R32" s="93">
        <f>'Returns per Gal.'!Q39</f>
        <v>0.25829999999999997</v>
      </c>
      <c r="S32" s="93">
        <f>'Returns per Gal.'!R39</f>
        <v>0.21939999999999998</v>
      </c>
      <c r="T32" s="93">
        <f>'Returns per Gal.'!S39</f>
        <v>1.5350205513784463</v>
      </c>
      <c r="U32" s="93">
        <f>'Returns per Gal.'!T39</f>
        <v>0.19624601212121212</v>
      </c>
      <c r="V32" s="93">
        <f>'Returns per Gal.'!U39</f>
        <v>1.7312665634996585</v>
      </c>
      <c r="W32" s="93">
        <f>'Returns per Gal.'!V39</f>
        <v>1.4529177748613962</v>
      </c>
      <c r="X32" s="105"/>
      <c r="Y32" s="93">
        <f>'Returns per Gal.'!V39</f>
        <v>1.4529177748613962</v>
      </c>
      <c r="Z32" s="93">
        <f>'Returns per Gal.'!Y39</f>
        <v>0.89422823725981604</v>
      </c>
      <c r="AA32" s="93">
        <f>'Returns per Gal.'!Z39</f>
        <v>0.71332823725981598</v>
      </c>
      <c r="AB32" s="93">
        <f>'Returns per Gal.'!AA39</f>
        <v>0.5170822251386038</v>
      </c>
      <c r="AC32" s="80">
        <f>'Returns per Gal.'!AB39</f>
        <v>0</v>
      </c>
      <c r="AD32" s="15">
        <f>'Returns per Gal.'!AC39</f>
        <v>0</v>
      </c>
      <c r="AE32" s="81">
        <f>'Returns per Gal.'!AD39</f>
        <v>0</v>
      </c>
      <c r="AF32" s="93">
        <f>'Returns per Gal.'!AE39</f>
        <v>0.28535193405199744</v>
      </c>
      <c r="AG32" s="93">
        <f>'Returns per Gal.'!AF39</f>
        <v>0.67195096174170366</v>
      </c>
      <c r="AH32" s="93">
        <f>'Returns per Gal.'!AG39</f>
        <v>0.95730289579370109</v>
      </c>
      <c r="AI32" s="105">
        <f>'Returns per Gal.'!AH39</f>
        <v>0</v>
      </c>
      <c r="AJ32" s="104">
        <f>'Returns per Gal.'!AI39</f>
        <v>0</v>
      </c>
      <c r="AK32" s="93">
        <f>'Returns per Gal.'!AJ39</f>
        <v>1.4350028957937011</v>
      </c>
      <c r="AL32" s="93">
        <f>'Returns per Gal.'!AK39</f>
        <v>1.6312489079149133</v>
      </c>
      <c r="AM32" s="105">
        <f>'Returns per Gal.'!AL39</f>
        <v>0</v>
      </c>
      <c r="AN32" s="104"/>
      <c r="AO32" s="93">
        <f>'Returns per Gal.'!AN39</f>
        <v>0.81334589284456116</v>
      </c>
      <c r="AP32" s="93">
        <f>'Returns per Gal.'!AO39</f>
        <v>0.61709988072334898</v>
      </c>
      <c r="AQ32" s="93">
        <f>'Returns per Gal.'!AP39</f>
        <v>0.5170822251386038</v>
      </c>
      <c r="AR32" s="93">
        <f>'Returns per Gal.'!AQ39</f>
        <v>0.10001765558474518</v>
      </c>
      <c r="AS32" s="52"/>
      <c r="AU32" s="177">
        <f>'Returns per Bu.'!G39</f>
        <v>3.013363571428572</v>
      </c>
      <c r="AV32" s="166">
        <f>'Returns per Bu.'!N39</f>
        <v>6.4077940476190482</v>
      </c>
      <c r="AW32" s="166">
        <f>'Returns per Bu.'!O39</f>
        <v>4.4870479130735941</v>
      </c>
      <c r="AX32" s="169">
        <f>'Returns per Bu.'!Z39</f>
        <v>0.44875623295042033</v>
      </c>
      <c r="AY32" s="162">
        <f>'Returns per Bu.'!AF39</f>
        <v>2.7283132530120482</v>
      </c>
      <c r="AZ32" s="172" t="e">
        <f>'Returns per Bu.'!#REF!</f>
        <v>#REF!</v>
      </c>
      <c r="BA32" s="15">
        <f t="shared" si="0"/>
        <v>1.9150602409638555</v>
      </c>
      <c r="BB32" s="93">
        <f>'Returns per Bu.'!AD39</f>
        <v>0.81325301204819278</v>
      </c>
      <c r="BC32" s="93">
        <f t="shared" si="1"/>
        <v>0.67195096174170366</v>
      </c>
      <c r="BD32" s="93"/>
    </row>
    <row r="33" spans="1:56" hidden="1" x14ac:dyDescent="0.2">
      <c r="A33" s="8">
        <v>39295</v>
      </c>
      <c r="B33" s="6"/>
      <c r="C33" s="50"/>
      <c r="D33" s="93">
        <v>1.86</v>
      </c>
      <c r="E33" s="95">
        <v>92.413043478260875</v>
      </c>
      <c r="F33" s="323"/>
      <c r="G33" s="93">
        <v>3.0681576086956519</v>
      </c>
      <c r="H33" s="96">
        <v>7.88</v>
      </c>
      <c r="I33" s="16">
        <f>'Returns per Gal.'!H40</f>
        <v>0</v>
      </c>
      <c r="J33" s="84"/>
      <c r="K33" s="93">
        <f>'Returns per Gal.'!J40</f>
        <v>1.86</v>
      </c>
      <c r="L33" s="93">
        <f>'Returns per Gal.'!K40</f>
        <v>0.27399656750572082</v>
      </c>
      <c r="M33" s="93"/>
      <c r="N33" s="93">
        <f>'Returns per Gal.'!M40</f>
        <v>2.1339965675057209</v>
      </c>
      <c r="O33" s="108">
        <f>'Returns per Gal.'!N40</f>
        <v>0</v>
      </c>
      <c r="P33" s="109">
        <f>'Returns per Gal.'!O40</f>
        <v>0</v>
      </c>
      <c r="Q33" s="93">
        <f>'Returns per Gal.'!P40</f>
        <v>1.0765465293668954</v>
      </c>
      <c r="R33" s="93">
        <f>'Returns per Gal.'!Q40</f>
        <v>0.2364</v>
      </c>
      <c r="S33" s="93">
        <f>'Returns per Gal.'!R40</f>
        <v>0.21939999999999998</v>
      </c>
      <c r="T33" s="93">
        <f>'Returns per Gal.'!S40</f>
        <v>1.5323465293668954</v>
      </c>
      <c r="U33" s="93">
        <f>'Returns per Gal.'!T40</f>
        <v>0.19624601212121212</v>
      </c>
      <c r="V33" s="93">
        <f>'Returns per Gal.'!U40</f>
        <v>1.7285925414881076</v>
      </c>
      <c r="W33" s="93">
        <f>'Returns per Gal.'!V40</f>
        <v>1.4545959739823868</v>
      </c>
      <c r="X33" s="105"/>
      <c r="Y33" s="93">
        <f>'Returns per Gal.'!V40</f>
        <v>1.4545959739823868</v>
      </c>
      <c r="Z33" s="93">
        <f>'Returns per Gal.'!Y40</f>
        <v>0.78255003813882551</v>
      </c>
      <c r="AA33" s="93">
        <f>'Returns per Gal.'!Z40</f>
        <v>0.60165003813882545</v>
      </c>
      <c r="AB33" s="93">
        <f>'Returns per Gal.'!AA40</f>
        <v>0.40540402601761327</v>
      </c>
      <c r="AC33" s="80">
        <f>'Returns per Gal.'!AB40</f>
        <v>0</v>
      </c>
      <c r="AD33" s="15">
        <f>'Returns per Gal.'!AC40</f>
        <v>0</v>
      </c>
      <c r="AE33" s="81">
        <f>'Returns per Gal.'!AD40</f>
        <v>0</v>
      </c>
      <c r="AF33" s="93">
        <f>'Returns per Gal.'!AE40</f>
        <v>0.28535193405199744</v>
      </c>
      <c r="AG33" s="93">
        <f>'Returns per Gal.'!AF40</f>
        <v>0.67195096174170366</v>
      </c>
      <c r="AH33" s="93">
        <f>'Returns per Gal.'!AG40</f>
        <v>0.95730289579370109</v>
      </c>
      <c r="AI33" s="105">
        <f>'Returns per Gal.'!AH40</f>
        <v>0</v>
      </c>
      <c r="AJ33" s="104">
        <f>'Returns per Gal.'!AI40</f>
        <v>0</v>
      </c>
      <c r="AK33" s="93">
        <f>'Returns per Gal.'!AJ40</f>
        <v>1.4131028957937011</v>
      </c>
      <c r="AL33" s="93">
        <f>'Returns per Gal.'!AK40</f>
        <v>1.6093489079149133</v>
      </c>
      <c r="AM33" s="105">
        <f>'Returns per Gal.'!AL40</f>
        <v>0</v>
      </c>
      <c r="AN33" s="104"/>
      <c r="AO33" s="93">
        <f>'Returns per Gal.'!AN40</f>
        <v>0.72089367171201979</v>
      </c>
      <c r="AP33" s="93">
        <f>'Returns per Gal.'!AO40</f>
        <v>0.52464765959080761</v>
      </c>
      <c r="AQ33" s="93">
        <f>'Returns per Gal.'!AP40</f>
        <v>0.40540402601761327</v>
      </c>
      <c r="AR33" s="93">
        <f>'Returns per Gal.'!AQ40</f>
        <v>0.11924363357319434</v>
      </c>
      <c r="AS33" s="52"/>
      <c r="AU33" s="177">
        <f>'Returns per Bu.'!G40</f>
        <v>3.0681576086956519</v>
      </c>
      <c r="AV33" s="166">
        <f>'Returns per Bu.'!N40</f>
        <v>6.0818902173913045</v>
      </c>
      <c r="AW33" s="166">
        <f>'Returns per Bu.'!O40</f>
        <v>4.2235590828458509</v>
      </c>
      <c r="AX33" s="169">
        <f>'Returns per Bu.'!Z40</f>
        <v>0.35183492043230191</v>
      </c>
      <c r="AY33" s="162">
        <f>'Returns per Bu.'!AF40</f>
        <v>2.7283132530120482</v>
      </c>
      <c r="AZ33" s="172" t="e">
        <f>'Returns per Bu.'!#REF!</f>
        <v>#REF!</v>
      </c>
      <c r="BA33" s="15">
        <f t="shared" si="0"/>
        <v>1.9150602409638555</v>
      </c>
      <c r="BB33" s="93">
        <f>'Returns per Bu.'!AD40</f>
        <v>0.81325301204819278</v>
      </c>
      <c r="BC33" s="93">
        <f t="shared" si="1"/>
        <v>0.67195096174170366</v>
      </c>
      <c r="BD33" s="93"/>
    </row>
    <row r="34" spans="1:56" hidden="1" x14ac:dyDescent="0.2">
      <c r="A34" s="6">
        <v>39326</v>
      </c>
      <c r="B34" s="6"/>
      <c r="C34" s="50"/>
      <c r="D34" s="93">
        <v>1.5768421052631594</v>
      </c>
      <c r="E34" s="95">
        <v>99.973684210526315</v>
      </c>
      <c r="F34" s="323"/>
      <c r="G34" s="93">
        <v>3.161973684210527</v>
      </c>
      <c r="H34" s="96">
        <v>7.48</v>
      </c>
      <c r="I34" s="16">
        <f>'Returns per Gal.'!H41</f>
        <v>0</v>
      </c>
      <c r="J34" s="84"/>
      <c r="K34" s="93">
        <f>'Returns per Gal.'!J41</f>
        <v>1.5768421052631594</v>
      </c>
      <c r="L34" s="93">
        <f>'Returns per Gal.'!K41</f>
        <v>0.29641320406278848</v>
      </c>
      <c r="M34" s="93"/>
      <c r="N34" s="93">
        <f>'Returns per Gal.'!M41</f>
        <v>1.8732553093259479</v>
      </c>
      <c r="O34" s="108">
        <f>'Returns per Gal.'!N41</f>
        <v>0</v>
      </c>
      <c r="P34" s="109">
        <f>'Returns per Gal.'!O41</f>
        <v>0</v>
      </c>
      <c r="Q34" s="93">
        <f>'Returns per Gal.'!P41</f>
        <v>1.1094644506001849</v>
      </c>
      <c r="R34" s="93">
        <f>'Returns per Gal.'!Q41</f>
        <v>0.22440000000000002</v>
      </c>
      <c r="S34" s="93">
        <f>'Returns per Gal.'!R41</f>
        <v>0.21939999999999998</v>
      </c>
      <c r="T34" s="93">
        <f>'Returns per Gal.'!S41</f>
        <v>1.5532644506001849</v>
      </c>
      <c r="U34" s="93">
        <f>'Returns per Gal.'!T41</f>
        <v>0.19624601212121212</v>
      </c>
      <c r="V34" s="93">
        <f>'Returns per Gal.'!U41</f>
        <v>1.7495104627213971</v>
      </c>
      <c r="W34" s="93">
        <f>'Returns per Gal.'!V41</f>
        <v>1.4530972586586086</v>
      </c>
      <c r="X34" s="105"/>
      <c r="Y34" s="93">
        <f>'Returns per Gal.'!V41</f>
        <v>1.4530972586586086</v>
      </c>
      <c r="Z34" s="93">
        <f>'Returns per Gal.'!Y41</f>
        <v>0.50089085872576289</v>
      </c>
      <c r="AA34" s="93">
        <f>'Returns per Gal.'!Z41</f>
        <v>0.31999085872576294</v>
      </c>
      <c r="AB34" s="93">
        <f>'Returns per Gal.'!AA41</f>
        <v>0.12374484660455076</v>
      </c>
      <c r="AC34" s="80">
        <f>'Returns per Gal.'!AB41</f>
        <v>0</v>
      </c>
      <c r="AD34" s="15">
        <f>'Returns per Gal.'!AC41</f>
        <v>0</v>
      </c>
      <c r="AE34" s="81">
        <f>'Returns per Gal.'!AD41</f>
        <v>0</v>
      </c>
      <c r="AF34" s="93">
        <f>'Returns per Gal.'!AE41</f>
        <v>0.30368318456961113</v>
      </c>
      <c r="AG34" s="93">
        <f>'Returns per Gal.'!AF41</f>
        <v>0.69510618651892875</v>
      </c>
      <c r="AH34" s="93">
        <f>'Returns per Gal.'!AG41</f>
        <v>0.99878937108853993</v>
      </c>
      <c r="AI34" s="105">
        <f>'Returns per Gal.'!AH41</f>
        <v>0</v>
      </c>
      <c r="AJ34" s="104">
        <f>'Returns per Gal.'!AI41</f>
        <v>0</v>
      </c>
      <c r="AK34" s="93">
        <f>'Returns per Gal.'!AJ41</f>
        <v>1.44258937108854</v>
      </c>
      <c r="AL34" s="93">
        <f>'Returns per Gal.'!AK41</f>
        <v>1.6388353832097522</v>
      </c>
      <c r="AM34" s="105">
        <f>'Returns per Gal.'!AL41</f>
        <v>0</v>
      </c>
      <c r="AN34" s="104"/>
      <c r="AO34" s="93">
        <f>'Returns per Gal.'!AN41</f>
        <v>0.43066593823740784</v>
      </c>
      <c r="AP34" s="93">
        <f>'Returns per Gal.'!AO41</f>
        <v>0.23441992611619566</v>
      </c>
      <c r="AQ34" s="93">
        <f>'Returns per Gal.'!AP41</f>
        <v>0.12374484660455065</v>
      </c>
      <c r="AR34" s="93">
        <f>'Returns per Gal.'!AQ41</f>
        <v>0.11067507951164501</v>
      </c>
      <c r="AS34" s="52"/>
      <c r="AU34" s="177">
        <f>'Returns per Bu.'!G41</f>
        <v>3.161973684210527</v>
      </c>
      <c r="AV34" s="166">
        <f>'Returns per Bu.'!N41</f>
        <v>5.3387776315789512</v>
      </c>
      <c r="AW34" s="166">
        <f>'Returns per Bu.'!O41</f>
        <v>3.514646497033497</v>
      </c>
      <c r="AX34" s="169">
        <f>'Returns per Bu.'!Z41</f>
        <v>0.10739350244422086</v>
      </c>
      <c r="AY34" s="162">
        <f>'Returns per Bu.'!AF41</f>
        <v>2.8465497076023389</v>
      </c>
      <c r="AZ34" s="172" t="e">
        <f>'Returns per Bu.'!#REF!</f>
        <v>#REF!</v>
      </c>
      <c r="BA34" s="15">
        <f t="shared" si="0"/>
        <v>1.9810526315789472</v>
      </c>
      <c r="BB34" s="93">
        <f>'Returns per Bu.'!AD41</f>
        <v>0.86549707602339176</v>
      </c>
      <c r="BC34" s="93">
        <f t="shared" si="1"/>
        <v>0.69510618651892875</v>
      </c>
      <c r="BD34" s="93"/>
    </row>
    <row r="35" spans="1:56" hidden="1" x14ac:dyDescent="0.2">
      <c r="A35" s="8">
        <v>39356</v>
      </c>
      <c r="B35" s="6"/>
      <c r="C35" s="50"/>
      <c r="D35" s="93">
        <v>1.5232608695652179</v>
      </c>
      <c r="E35" s="95">
        <v>114.71739130434783</v>
      </c>
      <c r="F35" s="323"/>
      <c r="G35" s="93">
        <v>3.1945951086956517</v>
      </c>
      <c r="H35" s="96">
        <v>7.48</v>
      </c>
      <c r="I35" s="16">
        <f>'Returns per Gal.'!H42</f>
        <v>0</v>
      </c>
      <c r="J35" s="84"/>
      <c r="K35" s="93">
        <f>'Returns per Gal.'!J42</f>
        <v>1.5232608695652179</v>
      </c>
      <c r="L35" s="93">
        <f>'Returns per Gal.'!K42</f>
        <v>0.34012700228832948</v>
      </c>
      <c r="M35" s="93"/>
      <c r="N35" s="93">
        <f>'Returns per Gal.'!M42</f>
        <v>1.8633878718535475</v>
      </c>
      <c r="O35" s="108">
        <f>'Returns per Gal.'!N42</f>
        <v>0</v>
      </c>
      <c r="P35" s="109">
        <f>'Returns per Gal.'!O42</f>
        <v>0</v>
      </c>
      <c r="Q35" s="93">
        <f>'Returns per Gal.'!P42</f>
        <v>1.1209105644546147</v>
      </c>
      <c r="R35" s="93">
        <f>'Returns per Gal.'!Q42</f>
        <v>0.22440000000000002</v>
      </c>
      <c r="S35" s="93">
        <f>'Returns per Gal.'!R42</f>
        <v>0.21939999999999998</v>
      </c>
      <c r="T35" s="93">
        <f>'Returns per Gal.'!S42</f>
        <v>1.5647105644546146</v>
      </c>
      <c r="U35" s="93">
        <f>'Returns per Gal.'!T42</f>
        <v>0.19624601212121212</v>
      </c>
      <c r="V35" s="93">
        <f>'Returns per Gal.'!U42</f>
        <v>1.7609565765758268</v>
      </c>
      <c r="W35" s="93">
        <f>'Returns per Gal.'!V42</f>
        <v>1.4208295742874975</v>
      </c>
      <c r="X35" s="110"/>
      <c r="Y35" s="108">
        <f>'Returns per Gal.'!V42</f>
        <v>1.4208295742874975</v>
      </c>
      <c r="Z35" s="93">
        <f>'Returns per Gal.'!Y42</f>
        <v>0.47957730739893278</v>
      </c>
      <c r="AA35" s="93">
        <f>'Returns per Gal.'!Z42</f>
        <v>0.29867730739893283</v>
      </c>
      <c r="AB35" s="93">
        <f>'Returns per Gal.'!AA42</f>
        <v>0.10243129527772066</v>
      </c>
      <c r="AC35" s="80">
        <f>'Returns per Gal.'!AB42</f>
        <v>0</v>
      </c>
      <c r="AD35" s="15">
        <f>'Returns per Gal.'!AC42</f>
        <v>0</v>
      </c>
      <c r="AE35" s="81">
        <f>'Returns per Gal.'!AD42</f>
        <v>0</v>
      </c>
      <c r="AF35" s="93">
        <f>'Returns per Gal.'!AE42</f>
        <v>0.30368318456961113</v>
      </c>
      <c r="AG35" s="93">
        <f>'Returns per Gal.'!AF42</f>
        <v>0.69510618651892875</v>
      </c>
      <c r="AH35" s="93">
        <f>'Returns per Gal.'!AG42</f>
        <v>0.99878937108853993</v>
      </c>
      <c r="AI35" s="105">
        <f>'Returns per Gal.'!AH42</f>
        <v>0</v>
      </c>
      <c r="AJ35" s="104">
        <f>'Returns per Gal.'!AI42</f>
        <v>0</v>
      </c>
      <c r="AK35" s="93">
        <f>'Returns per Gal.'!AJ42</f>
        <v>1.44258937108854</v>
      </c>
      <c r="AL35" s="93">
        <f>'Returns per Gal.'!AK42</f>
        <v>1.6388353832097522</v>
      </c>
      <c r="AM35" s="105">
        <f>'Returns per Gal.'!AL42</f>
        <v>0</v>
      </c>
      <c r="AN35" s="104"/>
      <c r="AO35" s="93">
        <f>'Returns per Gal.'!AN42</f>
        <v>0.42079850076500747</v>
      </c>
      <c r="AP35" s="93">
        <f>'Returns per Gal.'!AO42</f>
        <v>0.22455248864379529</v>
      </c>
      <c r="AQ35" s="93">
        <f>'Returns per Gal.'!AP42</f>
        <v>0.10243129527772055</v>
      </c>
      <c r="AR35" s="93">
        <f>'Returns per Gal.'!AQ42</f>
        <v>0.12212119336607474</v>
      </c>
      <c r="AS35" s="52"/>
      <c r="AU35" s="177">
        <f>'Returns per Bu.'!G42</f>
        <v>3.1945951086956517</v>
      </c>
      <c r="AV35" s="166">
        <f>'Returns per Bu.'!N42</f>
        <v>5.3106554347826105</v>
      </c>
      <c r="AW35" s="166">
        <f>'Returns per Bu.'!O42</f>
        <v>3.4865243002371558</v>
      </c>
      <c r="AX35" s="169">
        <f>'Returns per Bu.'!Z42</f>
        <v>8.889627214074268E-2</v>
      </c>
      <c r="AY35" s="162">
        <f>'Returns per Bu.'!AF42</f>
        <v>2.8465497076023389</v>
      </c>
      <c r="AZ35" s="172" t="e">
        <f>'Returns per Bu.'!#REF!</f>
        <v>#REF!</v>
      </c>
      <c r="BA35" s="15">
        <f t="shared" si="0"/>
        <v>1.9810526315789472</v>
      </c>
      <c r="BB35" s="93">
        <f>'Returns per Bu.'!AD42</f>
        <v>0.86549707602339176</v>
      </c>
      <c r="BC35" s="93">
        <f t="shared" ref="BC35:BC66" si="2">AG35</f>
        <v>0.69510618651892875</v>
      </c>
      <c r="BD35" s="93"/>
    </row>
    <row r="36" spans="1:56" hidden="1" x14ac:dyDescent="0.2">
      <c r="A36" s="6">
        <v>39387</v>
      </c>
      <c r="B36" s="6"/>
      <c r="C36" s="50"/>
      <c r="D36" s="93">
        <v>1.740454545454545</v>
      </c>
      <c r="E36" s="95">
        <v>135.10714285714286</v>
      </c>
      <c r="F36" s="323"/>
      <c r="G36" s="93">
        <v>3.5963095238095235</v>
      </c>
      <c r="H36" s="96">
        <v>8.5299999999999994</v>
      </c>
      <c r="I36" s="16">
        <f>'Returns per Gal.'!H43</f>
        <v>0</v>
      </c>
      <c r="J36" s="84"/>
      <c r="K36" s="93">
        <f>'Returns per Gal.'!J43</f>
        <v>1.740454545454545</v>
      </c>
      <c r="L36" s="93">
        <f>'Returns per Gal.'!K43</f>
        <v>0.40058082706766918</v>
      </c>
      <c r="M36" s="93"/>
      <c r="N36" s="93">
        <f>'Returns per Gal.'!M43</f>
        <v>2.1410353725222144</v>
      </c>
      <c r="O36" s="108">
        <f>'Returns per Gal.'!N43</f>
        <v>0</v>
      </c>
      <c r="P36" s="109">
        <f>'Returns per Gal.'!O43</f>
        <v>0</v>
      </c>
      <c r="Q36" s="93">
        <f>'Returns per Gal.'!P43</f>
        <v>1.2618629908103591</v>
      </c>
      <c r="R36" s="93">
        <f>'Returns per Gal.'!Q43</f>
        <v>0.25589999999999996</v>
      </c>
      <c r="S36" s="93">
        <f>'Returns per Gal.'!R43</f>
        <v>0.21939999999999998</v>
      </c>
      <c r="T36" s="93">
        <f>'Returns per Gal.'!S43</f>
        <v>1.7371629908103592</v>
      </c>
      <c r="U36" s="93">
        <f>'Returns per Gal.'!T43</f>
        <v>0.19624601212121212</v>
      </c>
      <c r="V36" s="93">
        <f>'Returns per Gal.'!U43</f>
        <v>1.9334090029315714</v>
      </c>
      <c r="W36" s="93">
        <f>'Returns per Gal.'!V43</f>
        <v>1.5328281758639022</v>
      </c>
      <c r="X36" s="110"/>
      <c r="Y36" s="108">
        <f>'Returns per Gal.'!V43</f>
        <v>1.5328281758639022</v>
      </c>
      <c r="Z36" s="93">
        <f>'Returns per Gal.'!Y43</f>
        <v>0.5847723817118553</v>
      </c>
      <c r="AA36" s="93">
        <f>'Returns per Gal.'!Z43</f>
        <v>0.40387238171185524</v>
      </c>
      <c r="AB36" s="93">
        <f>'Returns per Gal.'!AA43</f>
        <v>0.20762636959064307</v>
      </c>
      <c r="AC36" s="80">
        <f>'Returns per Gal.'!AB43</f>
        <v>0</v>
      </c>
      <c r="AD36" s="15">
        <f>'Returns per Gal.'!AC43</f>
        <v>0</v>
      </c>
      <c r="AE36" s="81">
        <f>'Returns per Gal.'!AD43</f>
        <v>0</v>
      </c>
      <c r="AF36" s="93">
        <f>'Returns per Gal.'!AE43</f>
        <v>0.30368318456961113</v>
      </c>
      <c r="AG36" s="93">
        <f>'Returns per Gal.'!AF43</f>
        <v>0.69510618651892875</v>
      </c>
      <c r="AH36" s="93">
        <f>'Returns per Gal.'!AG43</f>
        <v>0.99878937108853993</v>
      </c>
      <c r="AI36" s="105">
        <f>'Returns per Gal.'!AH43</f>
        <v>0</v>
      </c>
      <c r="AJ36" s="104">
        <f>'Returns per Gal.'!AI43</f>
        <v>0</v>
      </c>
      <c r="AK36" s="93">
        <f>'Returns per Gal.'!AJ43</f>
        <v>1.4740893710885399</v>
      </c>
      <c r="AL36" s="93">
        <f>'Returns per Gal.'!AK43</f>
        <v>1.6703353832097521</v>
      </c>
      <c r="AM36" s="105">
        <f>'Returns per Gal.'!AL43</f>
        <v>0</v>
      </c>
      <c r="AN36" s="104"/>
      <c r="AO36" s="93">
        <f>'Returns per Gal.'!AN43</f>
        <v>0.66694600143367455</v>
      </c>
      <c r="AP36" s="93">
        <f>'Returns per Gal.'!AO43</f>
        <v>0.47069998931246237</v>
      </c>
      <c r="AQ36" s="93">
        <f>'Returns per Gal.'!AP43</f>
        <v>0.20762636959064318</v>
      </c>
      <c r="AR36" s="93">
        <f>'Returns per Gal.'!AQ43</f>
        <v>0.2630736197218192</v>
      </c>
      <c r="AS36" s="52"/>
      <c r="AU36" s="177">
        <f>'Returns per Bu.'!G43</f>
        <v>3.5963095238095235</v>
      </c>
      <c r="AV36" s="166">
        <f>'Returns per Bu.'!N43</f>
        <v>6.1019508116883099</v>
      </c>
      <c r="AW36" s="166">
        <f>'Returns per Bu.'!O43</f>
        <v>4.1880446771428561</v>
      </c>
      <c r="AX36" s="169">
        <f>'Returns per Bu.'!Z43</f>
        <v>0.1801911242524212</v>
      </c>
      <c r="AY36" s="162">
        <f>'Returns per Bu.'!AF43</f>
        <v>2.8465497076023389</v>
      </c>
      <c r="AZ36" s="172" t="e">
        <f>'Returns per Bu.'!#REF!</f>
        <v>#REF!</v>
      </c>
      <c r="BA36" s="15">
        <f t="shared" si="0"/>
        <v>1.9810526315789472</v>
      </c>
      <c r="BB36" s="93">
        <f>'Returns per Bu.'!AD43</f>
        <v>0.86549707602339176</v>
      </c>
      <c r="BC36" s="93">
        <f t="shared" si="2"/>
        <v>0.69510618651892875</v>
      </c>
      <c r="BD36" s="93"/>
    </row>
    <row r="37" spans="1:56" hidden="1" x14ac:dyDescent="0.2">
      <c r="A37" s="68">
        <v>39417</v>
      </c>
      <c r="B37" s="70"/>
      <c r="C37" s="67"/>
      <c r="D37" s="97">
        <v>1.9428947368421057</v>
      </c>
      <c r="E37" s="99">
        <v>148.18421052631578</v>
      </c>
      <c r="F37" s="324"/>
      <c r="G37" s="97">
        <v>4.0218421052631568</v>
      </c>
      <c r="H37" s="100">
        <v>8.86</v>
      </c>
      <c r="I37" s="71">
        <f>'Returns per Gal.'!H44</f>
        <v>0</v>
      </c>
      <c r="J37" s="86"/>
      <c r="K37" s="97">
        <f>'Returns per Gal.'!J44</f>
        <v>1.9428947368421057</v>
      </c>
      <c r="L37" s="97">
        <f>'Returns per Gal.'!K44</f>
        <v>0.4393531855955678</v>
      </c>
      <c r="M37" s="97"/>
      <c r="N37" s="97">
        <f>'Returns per Gal.'!M44</f>
        <v>2.3822479224376734</v>
      </c>
      <c r="O37" s="111">
        <f>'Returns per Gal.'!N44</f>
        <v>0</v>
      </c>
      <c r="P37" s="112">
        <f>'Returns per Gal.'!O44</f>
        <v>0</v>
      </c>
      <c r="Q37" s="97">
        <f>'Returns per Gal.'!P44</f>
        <v>1.4111726685133883</v>
      </c>
      <c r="R37" s="97">
        <f>'Returns per Gal.'!Q44</f>
        <v>0.26579999999999998</v>
      </c>
      <c r="S37" s="97">
        <f>'Returns per Gal.'!R44</f>
        <v>0.21939999999999998</v>
      </c>
      <c r="T37" s="97">
        <f>'Returns per Gal.'!S44</f>
        <v>1.8963726685133884</v>
      </c>
      <c r="U37" s="97">
        <f>'Returns per Gal.'!T44</f>
        <v>0.19624601212121212</v>
      </c>
      <c r="V37" s="97">
        <f>'Returns per Gal.'!U44</f>
        <v>2.0926186806346005</v>
      </c>
      <c r="W37" s="97">
        <f>'Returns per Gal.'!V44</f>
        <v>1.6532654950390326</v>
      </c>
      <c r="X37" s="113"/>
      <c r="Y37" s="111">
        <f>'Returns per Gal.'!V44</f>
        <v>1.6532654950390326</v>
      </c>
      <c r="Z37" s="97">
        <f>'Returns per Gal.'!Y44</f>
        <v>0.66677525392428505</v>
      </c>
      <c r="AA37" s="97">
        <f>'Returns per Gal.'!Z44</f>
        <v>0.48587525392428499</v>
      </c>
      <c r="AB37" s="97">
        <f>'Returns per Gal.'!AA44</f>
        <v>0.28962924180307281</v>
      </c>
      <c r="AC37" s="82">
        <f>'Returns per Gal.'!AB44</f>
        <v>0</v>
      </c>
      <c r="AD37" s="15">
        <f>'Returns per Gal.'!AC44</f>
        <v>0</v>
      </c>
      <c r="AE37" s="83">
        <f>'Returns per Gal.'!AD44</f>
        <v>0</v>
      </c>
      <c r="AF37" s="97">
        <f>'Returns per Gal.'!AE44</f>
        <v>0.30368318456961113</v>
      </c>
      <c r="AG37" s="97">
        <f>'Returns per Gal.'!AF44</f>
        <v>0.69510618651892875</v>
      </c>
      <c r="AH37" s="97">
        <f>'Returns per Gal.'!AG44</f>
        <v>0.99878937108853993</v>
      </c>
      <c r="AI37" s="107">
        <f>'Returns per Gal.'!AH44</f>
        <v>0</v>
      </c>
      <c r="AJ37" s="106">
        <f>'Returns per Gal.'!AI44</f>
        <v>0</v>
      </c>
      <c r="AK37" s="97">
        <f>'Returns per Gal.'!AJ44</f>
        <v>1.4839893710885399</v>
      </c>
      <c r="AL37" s="97">
        <f>'Returns per Gal.'!AK44</f>
        <v>1.6802353832097521</v>
      </c>
      <c r="AM37" s="107">
        <f>'Returns per Gal.'!AL44</f>
        <v>0</v>
      </c>
      <c r="AN37" s="106"/>
      <c r="AO37" s="97">
        <f>'Returns per Gal.'!AN44</f>
        <v>0.89825855134913346</v>
      </c>
      <c r="AP37" s="97">
        <f>'Returns per Gal.'!AO44</f>
        <v>0.70201253922792128</v>
      </c>
      <c r="AQ37" s="97">
        <f>'Returns per Gal.'!AP44</f>
        <v>0.28962924180307292</v>
      </c>
      <c r="AR37" s="97">
        <f>'Returns per Gal.'!AQ44</f>
        <v>0.41238329742484836</v>
      </c>
      <c r="AS37" s="64"/>
      <c r="AU37" s="178">
        <f>'Returns per Bu.'!G44</f>
        <v>4.0218421052631568</v>
      </c>
      <c r="AV37" s="167">
        <f>'Returns per Bu.'!N44</f>
        <v>6.7894065789473697</v>
      </c>
      <c r="AW37" s="167">
        <f>'Returns per Bu.'!O44</f>
        <v>4.8472854444019156</v>
      </c>
      <c r="AX37" s="170">
        <f>'Returns per Bu.'!Z44</f>
        <v>0.25135833564767041</v>
      </c>
      <c r="AY37" s="163">
        <f>'Returns per Bu.'!AF44</f>
        <v>2.8465497076023389</v>
      </c>
      <c r="AZ37" s="173" t="e">
        <f>'Returns per Bu.'!#REF!</f>
        <v>#REF!</v>
      </c>
      <c r="BA37" s="15">
        <f t="shared" si="0"/>
        <v>1.9810526315789472</v>
      </c>
      <c r="BB37" s="93">
        <f>'Returns per Bu.'!AD44</f>
        <v>0.86549707602339176</v>
      </c>
      <c r="BC37" s="93">
        <f t="shared" si="2"/>
        <v>0.69510618651892875</v>
      </c>
      <c r="BD37" s="93"/>
    </row>
    <row r="38" spans="1:56" hidden="1" x14ac:dyDescent="0.2">
      <c r="A38" s="21">
        <v>39448</v>
      </c>
      <c r="B38" s="6"/>
      <c r="C38" s="50"/>
      <c r="D38" s="93">
        <v>2.19</v>
      </c>
      <c r="E38" s="95">
        <v>175.54545454545453</v>
      </c>
      <c r="F38" s="323"/>
      <c r="G38" s="93">
        <v>4.5595454545454537</v>
      </c>
      <c r="H38" s="96">
        <v>8.74</v>
      </c>
      <c r="I38" s="16">
        <f>'Returns per Gal.'!H45</f>
        <v>0</v>
      </c>
      <c r="J38" s="84"/>
      <c r="K38" s="93">
        <f>'Returns per Gal.'!J45</f>
        <v>2.19</v>
      </c>
      <c r="L38" s="93">
        <f>'Returns per Gal.'!K45</f>
        <v>0.52047687400318965</v>
      </c>
      <c r="M38" s="93"/>
      <c r="N38" s="93">
        <f>'Returns per Gal.'!M45</f>
        <v>2.7104768740031897</v>
      </c>
      <c r="O38" s="108">
        <f>'Returns per Gal.'!N45</f>
        <v>0</v>
      </c>
      <c r="P38" s="109">
        <f>'Returns per Gal.'!O45</f>
        <v>0</v>
      </c>
      <c r="Q38" s="93">
        <f>'Returns per Gal.'!P45</f>
        <v>1.5998405103668258</v>
      </c>
      <c r="R38" s="93">
        <f>'Returns per Gal.'!Q45</f>
        <v>0.26219999999999999</v>
      </c>
      <c r="S38" s="93">
        <f>'Returns per Gal.'!R45</f>
        <v>0.21939999999999998</v>
      </c>
      <c r="T38" s="93">
        <f>'Returns per Gal.'!S45</f>
        <v>2.0814405103668259</v>
      </c>
      <c r="U38" s="93">
        <f>'Returns per Gal.'!T45</f>
        <v>0.19624601212121212</v>
      </c>
      <c r="V38" s="93">
        <f>'Returns per Gal.'!U45</f>
        <v>2.2776865224880378</v>
      </c>
      <c r="W38" s="93">
        <f>'Returns per Gal.'!V45</f>
        <v>1.7572096484848481</v>
      </c>
      <c r="X38" s="105"/>
      <c r="Y38" s="93">
        <f>'Returns per Gal.'!V45</f>
        <v>1.7572096484848481</v>
      </c>
      <c r="Z38" s="93">
        <f>'Returns per Gal.'!Y45</f>
        <v>0.8099363636363639</v>
      </c>
      <c r="AA38" s="93">
        <f>'Returns per Gal.'!Z45</f>
        <v>0.62903636363636384</v>
      </c>
      <c r="AB38" s="93">
        <f>'Returns per Gal.'!AA45</f>
        <v>0.43279035151515188</v>
      </c>
      <c r="AC38" s="80">
        <f>'Returns per Gal.'!AB45</f>
        <v>0</v>
      </c>
      <c r="AD38" s="15">
        <f>'Returns per Gal.'!AC45</f>
        <v>0</v>
      </c>
      <c r="AE38" s="81">
        <f>'Returns per Gal.'!AD45</f>
        <v>0</v>
      </c>
      <c r="AF38" s="93">
        <f>'Returns per Gal.'!AE45</f>
        <v>0.30368318456961113</v>
      </c>
      <c r="AG38" s="93">
        <f>'Returns per Gal.'!AF45</f>
        <v>0.69510618651892875</v>
      </c>
      <c r="AH38" s="93">
        <f>'Returns per Gal.'!AG45</f>
        <v>0.99878937108853993</v>
      </c>
      <c r="AI38" s="105">
        <f>'Returns per Gal.'!AH45</f>
        <v>0</v>
      </c>
      <c r="AJ38" s="104">
        <f>'Returns per Gal.'!AI45</f>
        <v>0</v>
      </c>
      <c r="AK38" s="93">
        <f>'Returns per Gal.'!AJ45</f>
        <v>1.4803893710885399</v>
      </c>
      <c r="AL38" s="93">
        <f>'Returns per Gal.'!AK45</f>
        <v>1.676635383209752</v>
      </c>
      <c r="AM38" s="105">
        <f>'Returns per Gal.'!AL45</f>
        <v>0</v>
      </c>
      <c r="AN38" s="104"/>
      <c r="AO38" s="93">
        <f>'Returns per Gal.'!AN45</f>
        <v>1.2300875029146499</v>
      </c>
      <c r="AP38" s="93">
        <f>'Returns per Gal.'!AO45</f>
        <v>1.0338414907934377</v>
      </c>
      <c r="AQ38" s="93">
        <f>'Returns per Gal.'!AP45</f>
        <v>0.43279035151515177</v>
      </c>
      <c r="AR38" s="93">
        <f>'Returns per Gal.'!AQ45</f>
        <v>0.60105113927828591</v>
      </c>
      <c r="AS38" s="52"/>
      <c r="AU38" s="177">
        <f>'Returns per Bu.'!G45</f>
        <v>4.5595454545454537</v>
      </c>
      <c r="AV38" s="166">
        <f>'Returns per Bu.'!N45</f>
        <v>7.7248590909090904</v>
      </c>
      <c r="AW38" s="166">
        <f>'Returns per Bu.'!O45</f>
        <v>5.792997956363636</v>
      </c>
      <c r="AX38" s="169">
        <f>'Returns per Bu.'!Z45</f>
        <v>0.37560248324368067</v>
      </c>
      <c r="AY38" s="162">
        <f>'Returns per Bu.'!AF45</f>
        <v>2.8465497076023389</v>
      </c>
      <c r="AZ38" s="172" t="e">
        <f>'Returns per Bu.'!#REF!</f>
        <v>#REF!</v>
      </c>
      <c r="BA38" s="15">
        <f t="shared" si="0"/>
        <v>1.9810526315789472</v>
      </c>
      <c r="BB38" s="93">
        <f>'Returns per Bu.'!AD45</f>
        <v>0.86549707602339176</v>
      </c>
      <c r="BC38" s="93">
        <f t="shared" si="2"/>
        <v>0.69510618651892875</v>
      </c>
      <c r="BD38" s="93"/>
    </row>
    <row r="39" spans="1:56" hidden="1" x14ac:dyDescent="0.2">
      <c r="A39" s="8">
        <v>39479</v>
      </c>
      <c r="B39" s="8"/>
      <c r="C39" s="50"/>
      <c r="D39" s="93">
        <v>2.1254761904761899</v>
      </c>
      <c r="E39" s="95">
        <v>163.1904761904762</v>
      </c>
      <c r="F39" s="323"/>
      <c r="G39" s="93">
        <v>4.906190476190476</v>
      </c>
      <c r="H39" s="96">
        <v>9.99</v>
      </c>
      <c r="I39" s="16">
        <f>'Returns per Gal.'!H46</f>
        <v>0</v>
      </c>
      <c r="J39" s="84"/>
      <c r="K39" s="93">
        <f>'Returns per Gal.'!J46</f>
        <v>2.1254761904761899</v>
      </c>
      <c r="L39" s="93">
        <f>'Returns per Gal.'!K46</f>
        <v>0.48384544695071008</v>
      </c>
      <c r="M39" s="93"/>
      <c r="N39" s="93">
        <f>'Returns per Gal.'!M46</f>
        <v>2.6093216374269002</v>
      </c>
      <c r="O39" s="108">
        <f>'Returns per Gal.'!N46</f>
        <v>0</v>
      </c>
      <c r="P39" s="109">
        <f>'Returns per Gal.'!O46</f>
        <v>0</v>
      </c>
      <c r="Q39" s="93">
        <f>'Returns per Gal.'!P46</f>
        <v>1.721470342522974</v>
      </c>
      <c r="R39" s="93">
        <f>'Returns per Gal.'!Q46</f>
        <v>0.29970000000000002</v>
      </c>
      <c r="S39" s="93">
        <f>'Returns per Gal.'!R46</f>
        <v>0.21939999999999998</v>
      </c>
      <c r="T39" s="93">
        <f>'Returns per Gal.'!S46</f>
        <v>2.2405703425229739</v>
      </c>
      <c r="U39" s="93">
        <f>'Returns per Gal.'!T46</f>
        <v>0.19624601212121212</v>
      </c>
      <c r="V39" s="93">
        <f>'Returns per Gal.'!U46</f>
        <v>2.4368163546441859</v>
      </c>
      <c r="W39" s="93">
        <f>'Returns per Gal.'!V46</f>
        <v>1.9529709076934758</v>
      </c>
      <c r="X39" s="105"/>
      <c r="Y39" s="93">
        <f>'Returns per Gal.'!V46</f>
        <v>1.9529709076934758</v>
      </c>
      <c r="Z39" s="93">
        <f>'Returns per Gal.'!Y46</f>
        <v>0.54965129490392606</v>
      </c>
      <c r="AA39" s="93">
        <f>'Returns per Gal.'!Z46</f>
        <v>0.36875129490392622</v>
      </c>
      <c r="AB39" s="93">
        <f>'Returns per Gal.'!AA46</f>
        <v>0.17250528278271426</v>
      </c>
      <c r="AC39" s="80">
        <f>'Returns per Gal.'!AB46</f>
        <v>0</v>
      </c>
      <c r="AD39" s="15">
        <f>'Returns per Gal.'!AC46</f>
        <v>0</v>
      </c>
      <c r="AE39" s="81">
        <f>'Returns per Gal.'!AD46</f>
        <v>0</v>
      </c>
      <c r="AF39" s="93">
        <f>'Returns per Gal.'!AE46</f>
        <v>0.30368318456961113</v>
      </c>
      <c r="AG39" s="93">
        <f>'Returns per Gal.'!AF46</f>
        <v>0.69510618651892875</v>
      </c>
      <c r="AH39" s="93">
        <f>'Returns per Gal.'!AG46</f>
        <v>0.99878937108853993</v>
      </c>
      <c r="AI39" s="105">
        <f>'Returns per Gal.'!AH46</f>
        <v>0</v>
      </c>
      <c r="AJ39" s="104">
        <f>'Returns per Gal.'!AI46</f>
        <v>0</v>
      </c>
      <c r="AK39" s="93">
        <f>'Returns per Gal.'!AJ46</f>
        <v>1.5178893710885399</v>
      </c>
      <c r="AL39" s="93">
        <f>'Returns per Gal.'!AK46</f>
        <v>1.7141353832097521</v>
      </c>
      <c r="AM39" s="105">
        <f>'Returns per Gal.'!AL46</f>
        <v>0</v>
      </c>
      <c r="AN39" s="104"/>
      <c r="AO39" s="93">
        <f>'Returns per Gal.'!AN46</f>
        <v>1.0914322663383602</v>
      </c>
      <c r="AP39" s="93">
        <f>'Returns per Gal.'!AO46</f>
        <v>0.89518625421714804</v>
      </c>
      <c r="AQ39" s="93">
        <f>'Returns per Gal.'!AP46</f>
        <v>0.17250528278271393</v>
      </c>
      <c r="AR39" s="93">
        <f>'Returns per Gal.'!AQ46</f>
        <v>0.72268097143443411</v>
      </c>
      <c r="AS39" s="52"/>
      <c r="AU39" s="177">
        <f>'Returns per Bu.'!G46</f>
        <v>4.906190476190476</v>
      </c>
      <c r="AV39" s="166">
        <f>'Returns per Bu.'!N46</f>
        <v>7.436566666666665</v>
      </c>
      <c r="AW39" s="166">
        <f>'Returns per Bu.'!O46</f>
        <v>5.397830532121211</v>
      </c>
      <c r="AX39" s="169">
        <f>'Returns per Bu.'!Z46</f>
        <v>0.1497108527466153</v>
      </c>
      <c r="AY39" s="162">
        <f>'Returns per Bu.'!AF46</f>
        <v>2.8465497076023389</v>
      </c>
      <c r="AZ39" s="172" t="e">
        <f>'Returns per Bu.'!#REF!</f>
        <v>#REF!</v>
      </c>
      <c r="BA39" s="15">
        <f t="shared" si="0"/>
        <v>1.9810526315789472</v>
      </c>
      <c r="BB39" s="93">
        <f>'Returns per Bu.'!AD46</f>
        <v>0.86549707602339176</v>
      </c>
      <c r="BC39" s="93">
        <f t="shared" si="2"/>
        <v>0.69510618651892875</v>
      </c>
      <c r="BD39" s="93"/>
    </row>
    <row r="40" spans="1:56" hidden="1" x14ac:dyDescent="0.2">
      <c r="A40" s="8">
        <v>39508</v>
      </c>
      <c r="B40" s="6"/>
      <c r="C40" s="50"/>
      <c r="D40" s="93">
        <v>2.3149999999999999</v>
      </c>
      <c r="E40" s="95">
        <v>161.36904761904762</v>
      </c>
      <c r="F40" s="323"/>
      <c r="G40" s="93">
        <v>5.1739404761904764</v>
      </c>
      <c r="H40" s="96">
        <v>10.06</v>
      </c>
      <c r="I40" s="16">
        <f>'Returns per Gal.'!H47</f>
        <v>0</v>
      </c>
      <c r="J40" s="84"/>
      <c r="K40" s="93">
        <f>'Returns per Gal.'!J47</f>
        <v>2.3149999999999999</v>
      </c>
      <c r="L40" s="93">
        <f>'Returns per Gal.'!K47</f>
        <v>0.47844507101086048</v>
      </c>
      <c r="M40" s="93"/>
      <c r="N40" s="93">
        <f>'Returns per Gal.'!M47</f>
        <v>2.7934450710108605</v>
      </c>
      <c r="O40" s="108">
        <f>'Returns per Gal.'!N47</f>
        <v>0</v>
      </c>
      <c r="P40" s="109">
        <f>'Returns per Gal.'!O47</f>
        <v>0</v>
      </c>
      <c r="Q40" s="93">
        <f>'Returns per Gal.'!P47</f>
        <v>1.8154177109440268</v>
      </c>
      <c r="R40" s="93">
        <f>'Returns per Gal.'!Q47</f>
        <v>0.30180000000000001</v>
      </c>
      <c r="S40" s="93">
        <f>'Returns per Gal.'!R47</f>
        <v>0.21939999999999998</v>
      </c>
      <c r="T40" s="93">
        <f>'Returns per Gal.'!S47</f>
        <v>2.3366177109440267</v>
      </c>
      <c r="U40" s="93">
        <f>'Returns per Gal.'!T47</f>
        <v>0.19624601212121212</v>
      </c>
      <c r="V40" s="93">
        <f>'Returns per Gal.'!U47</f>
        <v>2.5328637230652387</v>
      </c>
      <c r="W40" s="93">
        <f>'Returns per Gal.'!V47</f>
        <v>2.0544186520543781</v>
      </c>
      <c r="X40" s="105"/>
      <c r="Y40" s="93">
        <f>'Returns per Gal.'!V47</f>
        <v>2.0544186520543781</v>
      </c>
      <c r="Z40" s="93">
        <f>'Returns per Gal.'!Y47</f>
        <v>0.63772736006683362</v>
      </c>
      <c r="AA40" s="93">
        <f>'Returns per Gal.'!Z47</f>
        <v>0.45682736006683378</v>
      </c>
      <c r="AB40" s="93">
        <f>'Returns per Gal.'!AA47</f>
        <v>0.26058134794562182</v>
      </c>
      <c r="AC40" s="80">
        <f>'Returns per Gal.'!AB47</f>
        <v>0</v>
      </c>
      <c r="AD40" s="15">
        <f>'Returns per Gal.'!AC47</f>
        <v>0</v>
      </c>
      <c r="AE40" s="81">
        <f>'Returns per Gal.'!AD47</f>
        <v>0</v>
      </c>
      <c r="AF40" s="93">
        <f>'Returns per Gal.'!AE47</f>
        <v>0.30368318456961113</v>
      </c>
      <c r="AG40" s="93">
        <f>'Returns per Gal.'!AF47</f>
        <v>0.69510618651892875</v>
      </c>
      <c r="AH40" s="93">
        <f>'Returns per Gal.'!AG47</f>
        <v>0.99878937108853993</v>
      </c>
      <c r="AI40" s="105">
        <f>'Returns per Gal.'!AH47</f>
        <v>0</v>
      </c>
      <c r="AJ40" s="104">
        <f>'Returns per Gal.'!AI47</f>
        <v>0</v>
      </c>
      <c r="AK40" s="93">
        <f>'Returns per Gal.'!AJ47</f>
        <v>1.5199893710885399</v>
      </c>
      <c r="AL40" s="93">
        <f>'Returns per Gal.'!AK47</f>
        <v>1.7162353832097521</v>
      </c>
      <c r="AM40" s="105">
        <f>'Returns per Gal.'!AL47</f>
        <v>0</v>
      </c>
      <c r="AN40" s="104"/>
      <c r="AO40" s="93">
        <f>'Returns per Gal.'!AN47</f>
        <v>1.2734556999223205</v>
      </c>
      <c r="AP40" s="93">
        <f>'Returns per Gal.'!AO47</f>
        <v>1.0772096878011084</v>
      </c>
      <c r="AQ40" s="93">
        <f>'Returns per Gal.'!AP47</f>
        <v>0.26058134794562149</v>
      </c>
      <c r="AR40" s="93">
        <f>'Returns per Gal.'!AQ47</f>
        <v>0.81662833985548688</v>
      </c>
      <c r="AS40" s="52"/>
      <c r="AU40" s="177">
        <f>'Returns per Bu.'!G47</f>
        <v>5.1739404761904764</v>
      </c>
      <c r="AV40" s="166">
        <f>'Returns per Bu.'!N47</f>
        <v>7.9613184523809526</v>
      </c>
      <c r="AW40" s="166">
        <f>'Returns per Bu.'!O47</f>
        <v>5.9165973178354987</v>
      </c>
      <c r="AX40" s="169">
        <f>'Returns per Bu.'!Z47</f>
        <v>0.22614876009299073</v>
      </c>
      <c r="AY40" s="162">
        <f>'Returns per Bu.'!AF47</f>
        <v>2.8465497076023389</v>
      </c>
      <c r="AZ40" s="172" t="e">
        <f>'Returns per Bu.'!#REF!</f>
        <v>#REF!</v>
      </c>
      <c r="BA40" s="15">
        <f t="shared" si="0"/>
        <v>1.9810526315789472</v>
      </c>
      <c r="BB40" s="93">
        <f>'Returns per Bu.'!AD47</f>
        <v>0.86549707602339176</v>
      </c>
      <c r="BC40" s="93">
        <f t="shared" si="2"/>
        <v>0.69510618651892875</v>
      </c>
      <c r="BD40" s="93"/>
    </row>
    <row r="41" spans="1:56" hidden="1" x14ac:dyDescent="0.2">
      <c r="A41" s="8">
        <v>39539</v>
      </c>
      <c r="B41" s="8"/>
      <c r="C41" s="50"/>
      <c r="D41" s="93">
        <v>2.455227272727273</v>
      </c>
      <c r="E41" s="95">
        <v>169.68181818181819</v>
      </c>
      <c r="F41" s="323"/>
      <c r="G41" s="93">
        <v>5.590227272727275</v>
      </c>
      <c r="H41" s="96">
        <v>10.71</v>
      </c>
      <c r="I41" s="16">
        <f>'Returns per Gal.'!H48</f>
        <v>0</v>
      </c>
      <c r="J41" s="84"/>
      <c r="K41" s="93">
        <f>'Returns per Gal.'!J48</f>
        <v>2.455227272727273</v>
      </c>
      <c r="L41" s="93">
        <f>'Returns per Gal.'!K48</f>
        <v>0.50309170653907498</v>
      </c>
      <c r="M41" s="93"/>
      <c r="N41" s="93">
        <f>'Returns per Gal.'!M48</f>
        <v>2.9583189792663482</v>
      </c>
      <c r="O41" s="108">
        <f>'Returns per Gal.'!N48</f>
        <v>0</v>
      </c>
      <c r="P41" s="109">
        <f>'Returns per Gal.'!O48</f>
        <v>0</v>
      </c>
      <c r="Q41" s="93">
        <f>'Returns per Gal.'!P48</f>
        <v>1.9614832535885176</v>
      </c>
      <c r="R41" s="93">
        <f>'Returns per Gal.'!Q48</f>
        <v>0.32130000000000003</v>
      </c>
      <c r="S41" s="93">
        <f>'Returns per Gal.'!R48</f>
        <v>0.21939999999999998</v>
      </c>
      <c r="T41" s="93">
        <f>'Returns per Gal.'!S48</f>
        <v>2.5021832535885173</v>
      </c>
      <c r="U41" s="93">
        <f>'Returns per Gal.'!T48</f>
        <v>0.19624601212121212</v>
      </c>
      <c r="V41" s="93">
        <f>'Returns per Gal.'!U48</f>
        <v>2.6984292657097293</v>
      </c>
      <c r="W41" s="93">
        <f>'Returns per Gal.'!V48</f>
        <v>2.1953375591706541</v>
      </c>
      <c r="X41" s="105"/>
      <c r="Y41" s="93">
        <f>'Returns per Gal.'!V48</f>
        <v>2.1953375591706541</v>
      </c>
      <c r="Z41" s="93">
        <f>'Returns per Gal.'!Y48</f>
        <v>0.63703572567783062</v>
      </c>
      <c r="AA41" s="93">
        <f>'Returns per Gal.'!Z48</f>
        <v>0.45613572567783089</v>
      </c>
      <c r="AB41" s="93">
        <f>'Returns per Gal.'!AA48</f>
        <v>0.25988971355661894</v>
      </c>
      <c r="AC41" s="80">
        <f>'Returns per Gal.'!AB48</f>
        <v>0</v>
      </c>
      <c r="AD41" s="15">
        <f>'Returns per Gal.'!AC48</f>
        <v>0</v>
      </c>
      <c r="AE41" s="81">
        <f>'Returns per Gal.'!AD48</f>
        <v>0</v>
      </c>
      <c r="AF41" s="93">
        <f>'Returns per Gal.'!AE48</f>
        <v>0.30368318456961113</v>
      </c>
      <c r="AG41" s="93">
        <f>'Returns per Gal.'!AF48</f>
        <v>0.69510618651892875</v>
      </c>
      <c r="AH41" s="93">
        <f>'Returns per Gal.'!AG48</f>
        <v>0.99878937108853993</v>
      </c>
      <c r="AI41" s="105">
        <f>'Returns per Gal.'!AH48</f>
        <v>0</v>
      </c>
      <c r="AJ41" s="104">
        <f>'Returns per Gal.'!AI48</f>
        <v>0</v>
      </c>
      <c r="AK41" s="93">
        <f>'Returns per Gal.'!AJ48</f>
        <v>1.53948937108854</v>
      </c>
      <c r="AL41" s="93">
        <f>'Returns per Gal.'!AK48</f>
        <v>1.7357353832097522</v>
      </c>
      <c r="AM41" s="105">
        <f>'Returns per Gal.'!AL48</f>
        <v>0</v>
      </c>
      <c r="AN41" s="104"/>
      <c r="AO41" s="93">
        <f>'Returns per Gal.'!AN48</f>
        <v>1.4188296081778082</v>
      </c>
      <c r="AP41" s="93">
        <f>'Returns per Gal.'!AO48</f>
        <v>1.2225835960565961</v>
      </c>
      <c r="AQ41" s="93">
        <f>'Returns per Gal.'!AP48</f>
        <v>0.25988971355661838</v>
      </c>
      <c r="AR41" s="93">
        <f>'Returns per Gal.'!AQ48</f>
        <v>0.96269388249997767</v>
      </c>
      <c r="AS41" s="52"/>
      <c r="AU41" s="177">
        <f>'Returns per Bu.'!G48</f>
        <v>5.590227272727275</v>
      </c>
      <c r="AV41" s="166">
        <f>'Returns per Bu.'!N48</f>
        <v>8.4312090909090927</v>
      </c>
      <c r="AW41" s="166">
        <f>'Returns per Bu.'!O48</f>
        <v>6.3309129563636386</v>
      </c>
      <c r="AX41" s="169">
        <f>'Returns per Bu.'!Z48</f>
        <v>0.22554851659611788</v>
      </c>
      <c r="AY41" s="162">
        <f>'Returns per Bu.'!AF48</f>
        <v>2.8465497076023389</v>
      </c>
      <c r="AZ41" s="172" t="e">
        <f>'Returns per Bu.'!#REF!</f>
        <v>#REF!</v>
      </c>
      <c r="BA41" s="15">
        <f t="shared" si="0"/>
        <v>1.9810526315789472</v>
      </c>
      <c r="BB41" s="93">
        <f>'Returns per Bu.'!AD48</f>
        <v>0.86549707602339176</v>
      </c>
      <c r="BC41" s="93">
        <f t="shared" si="2"/>
        <v>0.69510618651892875</v>
      </c>
      <c r="BD41" s="93"/>
    </row>
    <row r="42" spans="1:56" hidden="1" x14ac:dyDescent="0.2">
      <c r="A42" s="8">
        <v>39569</v>
      </c>
      <c r="B42" s="6"/>
      <c r="C42" s="50"/>
      <c r="D42" s="93">
        <v>2.4852380952380968</v>
      </c>
      <c r="E42" s="95">
        <v>173.54761904761904</v>
      </c>
      <c r="F42" s="323"/>
      <c r="G42" s="93">
        <v>5.6180238095238098</v>
      </c>
      <c r="H42" s="96">
        <v>10.89</v>
      </c>
      <c r="I42" s="16">
        <f>'Returns per Gal.'!H49</f>
        <v>0</v>
      </c>
      <c r="J42" s="84"/>
      <c r="K42" s="93">
        <f>'Returns per Gal.'!J49</f>
        <v>2.4852380952380968</v>
      </c>
      <c r="L42" s="93">
        <f>'Returns per Gal.'!K49</f>
        <v>0.51455346700083537</v>
      </c>
      <c r="M42" s="93"/>
      <c r="N42" s="93">
        <f>'Returns per Gal.'!M49</f>
        <v>2.999791562238932</v>
      </c>
      <c r="O42" s="108">
        <f>'Returns per Gal.'!N49</f>
        <v>0</v>
      </c>
      <c r="P42" s="109">
        <f>'Returns per Gal.'!O49</f>
        <v>0</v>
      </c>
      <c r="Q42" s="93">
        <f>'Returns per Gal.'!P49</f>
        <v>1.9712364243943192</v>
      </c>
      <c r="R42" s="93">
        <f>'Returns per Gal.'!Q49</f>
        <v>0.32669999999999999</v>
      </c>
      <c r="S42" s="93">
        <f>'Returns per Gal.'!R49</f>
        <v>0.21939999999999998</v>
      </c>
      <c r="T42" s="93">
        <f>'Returns per Gal.'!S49</f>
        <v>2.517336424394319</v>
      </c>
      <c r="U42" s="93">
        <f>'Returns per Gal.'!T49</f>
        <v>0.19624601212121212</v>
      </c>
      <c r="V42" s="93">
        <f>'Returns per Gal.'!U49</f>
        <v>2.713582436515531</v>
      </c>
      <c r="W42" s="93">
        <f>'Returns per Gal.'!V49</f>
        <v>2.1990289695146954</v>
      </c>
      <c r="X42" s="105"/>
      <c r="Y42" s="93">
        <f>'Returns per Gal.'!V49</f>
        <v>2.1990289695146954</v>
      </c>
      <c r="Z42" s="93">
        <f>'Returns per Gal.'!Y49</f>
        <v>0.66335513784461275</v>
      </c>
      <c r="AA42" s="93">
        <f>'Returns per Gal.'!Z49</f>
        <v>0.48245513784461291</v>
      </c>
      <c r="AB42" s="93">
        <f>'Returns per Gal.'!AA49</f>
        <v>0.28620912572340096</v>
      </c>
      <c r="AC42" s="80">
        <f>'Returns per Gal.'!AB49</f>
        <v>0</v>
      </c>
      <c r="AD42" s="15">
        <f>'Returns per Gal.'!AC49</f>
        <v>0</v>
      </c>
      <c r="AE42" s="81">
        <f>'Returns per Gal.'!AD49</f>
        <v>0</v>
      </c>
      <c r="AF42" s="93">
        <f>'Returns per Gal.'!AE49</f>
        <v>0.30368318456961113</v>
      </c>
      <c r="AG42" s="93">
        <f>'Returns per Gal.'!AF49</f>
        <v>0.69510618651892875</v>
      </c>
      <c r="AH42" s="93">
        <f>'Returns per Gal.'!AG49</f>
        <v>0.99878937108853993</v>
      </c>
      <c r="AI42" s="105">
        <f>'Returns per Gal.'!AH49</f>
        <v>0</v>
      </c>
      <c r="AJ42" s="104">
        <f>'Returns per Gal.'!AI49</f>
        <v>0</v>
      </c>
      <c r="AK42" s="93">
        <f>'Returns per Gal.'!AJ49</f>
        <v>1.5448893710885401</v>
      </c>
      <c r="AL42" s="93">
        <f>'Returns per Gal.'!AK49</f>
        <v>1.7411353832097523</v>
      </c>
      <c r="AM42" s="105">
        <f>'Returns per Gal.'!AL49</f>
        <v>0</v>
      </c>
      <c r="AN42" s="104"/>
      <c r="AO42" s="93">
        <f>'Returns per Gal.'!AN49</f>
        <v>1.4549021911503919</v>
      </c>
      <c r="AP42" s="93">
        <f>'Returns per Gal.'!AO49</f>
        <v>1.2586561790291797</v>
      </c>
      <c r="AQ42" s="93">
        <f>'Returns per Gal.'!AP49</f>
        <v>0.2862091257234004</v>
      </c>
      <c r="AR42" s="93">
        <f>'Returns per Gal.'!AQ49</f>
        <v>0.9724470533057793</v>
      </c>
      <c r="AS42" s="52"/>
      <c r="AU42" s="177">
        <f>'Returns per Bu.'!G49</f>
        <v>5.6180238095238098</v>
      </c>
      <c r="AV42" s="166">
        <f>'Returns per Bu.'!N49</f>
        <v>8.5494059523809565</v>
      </c>
      <c r="AW42" s="166">
        <f>'Returns per Bu.'!O49</f>
        <v>6.4337198178355024</v>
      </c>
      <c r="AX42" s="169">
        <f>'Returns per Bu.'!Z49</f>
        <v>0.24839014541882332</v>
      </c>
      <c r="AY42" s="162">
        <f>'Returns per Bu.'!AF49</f>
        <v>2.8465497076023389</v>
      </c>
      <c r="AZ42" s="172" t="e">
        <f>'Returns per Bu.'!#REF!</f>
        <v>#REF!</v>
      </c>
      <c r="BA42" s="15">
        <f t="shared" si="0"/>
        <v>1.9810526315789472</v>
      </c>
      <c r="BB42" s="93">
        <f>'Returns per Bu.'!AD49</f>
        <v>0.86549707602339176</v>
      </c>
      <c r="BC42" s="93">
        <f t="shared" si="2"/>
        <v>0.69510618651892875</v>
      </c>
      <c r="BD42" s="93"/>
    </row>
    <row r="43" spans="1:56" hidden="1" x14ac:dyDescent="0.2">
      <c r="A43" s="8">
        <v>39600</v>
      </c>
      <c r="B43" s="8"/>
      <c r="C43" s="50"/>
      <c r="D43" s="93">
        <v>2.5354761904761918</v>
      </c>
      <c r="E43" s="95">
        <v>182.13095238095238</v>
      </c>
      <c r="F43" s="323"/>
      <c r="G43" s="93">
        <v>6.4493154761904758</v>
      </c>
      <c r="H43" s="96">
        <v>11.83</v>
      </c>
      <c r="I43" s="16">
        <f>'Returns per Gal.'!H50</f>
        <v>0</v>
      </c>
      <c r="J43" s="84"/>
      <c r="K43" s="93">
        <f>'Returns per Gal.'!J50</f>
        <v>2.5354761904761918</v>
      </c>
      <c r="L43" s="93">
        <f>'Returns per Gal.'!K50</f>
        <v>0.54000229741019212</v>
      </c>
      <c r="M43" s="93"/>
      <c r="N43" s="93">
        <f>'Returns per Gal.'!M50</f>
        <v>3.0754784878863841</v>
      </c>
      <c r="O43" s="108">
        <f>'Returns per Gal.'!N50</f>
        <v>0</v>
      </c>
      <c r="P43" s="109">
        <f>'Returns per Gal.'!O50</f>
        <v>0</v>
      </c>
      <c r="Q43" s="93">
        <f>'Returns per Gal.'!P50</f>
        <v>2.2629177109440266</v>
      </c>
      <c r="R43" s="93">
        <f>'Returns per Gal.'!Q50</f>
        <v>0.35489999999999999</v>
      </c>
      <c r="S43" s="93">
        <f>'Returns per Gal.'!R50</f>
        <v>0.21939999999999998</v>
      </c>
      <c r="T43" s="93">
        <f>'Returns per Gal.'!S50</f>
        <v>2.8372177109440266</v>
      </c>
      <c r="U43" s="93">
        <f>'Returns per Gal.'!T50</f>
        <v>0.19624601212121212</v>
      </c>
      <c r="V43" s="93">
        <f>'Returns per Gal.'!U50</f>
        <v>3.0334637230652386</v>
      </c>
      <c r="W43" s="93">
        <f>'Returns per Gal.'!V50</f>
        <v>2.4934614256550462</v>
      </c>
      <c r="X43" s="105"/>
      <c r="Y43" s="93">
        <f>'Returns per Gal.'!V50</f>
        <v>2.4934614256550462</v>
      </c>
      <c r="Z43" s="93">
        <f>'Returns per Gal.'!Y50</f>
        <v>0.41916077694235754</v>
      </c>
      <c r="AA43" s="93">
        <f>'Returns per Gal.'!Z50</f>
        <v>0.23826077694235748</v>
      </c>
      <c r="AB43" s="93">
        <f>'Returns per Gal.'!AA50</f>
        <v>4.2014764821145523E-2</v>
      </c>
      <c r="AC43" s="80">
        <f>'Returns per Gal.'!AB50</f>
        <v>0</v>
      </c>
      <c r="AD43" s="15">
        <f>'Returns per Gal.'!AC50</f>
        <v>0</v>
      </c>
      <c r="AE43" s="81">
        <f>'Returns per Gal.'!AD50</f>
        <v>0</v>
      </c>
      <c r="AF43" s="93">
        <f>'Returns per Gal.'!AE50</f>
        <v>0.30368318456961113</v>
      </c>
      <c r="AG43" s="93">
        <f>'Returns per Gal.'!AF50</f>
        <v>0.69510618651892875</v>
      </c>
      <c r="AH43" s="93">
        <f>'Returns per Gal.'!AG50</f>
        <v>0.99878937108853993</v>
      </c>
      <c r="AI43" s="105">
        <f>'Returns per Gal.'!AH50</f>
        <v>0</v>
      </c>
      <c r="AJ43" s="104">
        <f>'Returns per Gal.'!AI50</f>
        <v>0</v>
      </c>
      <c r="AK43" s="93">
        <f>'Returns per Gal.'!AJ50</f>
        <v>1.5730893710885401</v>
      </c>
      <c r="AL43" s="93">
        <f>'Returns per Gal.'!AK50</f>
        <v>1.7693353832097523</v>
      </c>
      <c r="AM43" s="105">
        <f>'Returns per Gal.'!AL50</f>
        <v>0</v>
      </c>
      <c r="AN43" s="104"/>
      <c r="AO43" s="93">
        <f>'Returns per Gal.'!AN50</f>
        <v>1.502389116797844</v>
      </c>
      <c r="AP43" s="93">
        <f>'Returns per Gal.'!AO50</f>
        <v>1.3061431046766319</v>
      </c>
      <c r="AQ43" s="93">
        <f>'Returns per Gal.'!AP50</f>
        <v>4.2014764821145079E-2</v>
      </c>
      <c r="AR43" s="93">
        <f>'Returns per Gal.'!AQ50</f>
        <v>1.2641283398554868</v>
      </c>
      <c r="AS43" s="52"/>
      <c r="AU43" s="177">
        <f>'Returns per Bu.'!G50</f>
        <v>6.4493154761904758</v>
      </c>
      <c r="AV43" s="166">
        <f>'Returns per Bu.'!N50</f>
        <v>8.7651136904761948</v>
      </c>
      <c r="AW43" s="166">
        <f>'Returns per Bu.'!O50</f>
        <v>6.5690575559307405</v>
      </c>
      <c r="AX43" s="169">
        <f>'Returns per Bu.'!Z50</f>
        <v>3.6463035611756248E-2</v>
      </c>
      <c r="AY43" s="162">
        <f>'Returns per Bu.'!AF50</f>
        <v>2.8465497076023389</v>
      </c>
      <c r="AZ43" s="172" t="e">
        <f>'Returns per Bu.'!#REF!</f>
        <v>#REF!</v>
      </c>
      <c r="BA43" s="15">
        <f t="shared" si="0"/>
        <v>1.9810526315789472</v>
      </c>
      <c r="BB43" s="93">
        <f>'Returns per Bu.'!AD50</f>
        <v>0.86549707602339176</v>
      </c>
      <c r="BC43" s="93">
        <f t="shared" si="2"/>
        <v>0.69510618651892875</v>
      </c>
      <c r="BD43" s="93"/>
    </row>
    <row r="44" spans="1:56" hidden="1" x14ac:dyDescent="0.2">
      <c r="A44" s="8">
        <v>39630</v>
      </c>
      <c r="B44" s="6"/>
      <c r="C44" s="50"/>
      <c r="D44" s="93">
        <v>2.6422727272727262</v>
      </c>
      <c r="E44" s="95">
        <v>185.86363636363637</v>
      </c>
      <c r="F44" s="323"/>
      <c r="G44" s="93">
        <v>5.9243181818181823</v>
      </c>
      <c r="H44" s="96">
        <v>12.42</v>
      </c>
      <c r="I44" s="16">
        <f>'Returns per Gal.'!H51</f>
        <v>0</v>
      </c>
      <c r="J44" s="84"/>
      <c r="K44" s="93">
        <f>'Returns per Gal.'!J51</f>
        <v>2.6422727272727262</v>
      </c>
      <c r="L44" s="93">
        <f>'Returns per Gal.'!K51</f>
        <v>0.55106937799043065</v>
      </c>
      <c r="M44" s="93"/>
      <c r="N44" s="93">
        <f>'Returns per Gal.'!M51</f>
        <v>3.1933421052631568</v>
      </c>
      <c r="O44" s="108">
        <f>'Returns per Gal.'!N51</f>
        <v>0</v>
      </c>
      <c r="P44" s="109">
        <f>'Returns per Gal.'!O51</f>
        <v>0</v>
      </c>
      <c r="Q44" s="93">
        <f>'Returns per Gal.'!P51</f>
        <v>2.0787081339712921</v>
      </c>
      <c r="R44" s="93">
        <f>'Returns per Gal.'!Q51</f>
        <v>0.37260000000000004</v>
      </c>
      <c r="S44" s="93">
        <f>'Returns per Gal.'!R51</f>
        <v>0.21939999999999998</v>
      </c>
      <c r="T44" s="93">
        <f>'Returns per Gal.'!S51</f>
        <v>2.6707081339712917</v>
      </c>
      <c r="U44" s="93">
        <f>'Returns per Gal.'!T51</f>
        <v>0.19624601212121212</v>
      </c>
      <c r="V44" s="93">
        <f>'Returns per Gal.'!U51</f>
        <v>2.8669541460925037</v>
      </c>
      <c r="W44" s="93">
        <f>'Returns per Gal.'!V51</f>
        <v>2.3158847681020731</v>
      </c>
      <c r="X44" s="105"/>
      <c r="Y44" s="93">
        <f>'Returns per Gal.'!V51</f>
        <v>2.3158847681020731</v>
      </c>
      <c r="Z44" s="93">
        <f>'Returns per Gal.'!Y51</f>
        <v>0.70353397129186468</v>
      </c>
      <c r="AA44" s="93">
        <f>'Returns per Gal.'!Z51</f>
        <v>0.52263397129186506</v>
      </c>
      <c r="AB44" s="93">
        <f>'Returns per Gal.'!AA51</f>
        <v>0.32638795917065311</v>
      </c>
      <c r="AC44" s="80">
        <f>'Returns per Gal.'!AB51</f>
        <v>0</v>
      </c>
      <c r="AD44" s="15">
        <f>'Returns per Gal.'!AC51</f>
        <v>0</v>
      </c>
      <c r="AE44" s="81">
        <f>'Returns per Gal.'!AD51</f>
        <v>0</v>
      </c>
      <c r="AF44" s="93">
        <f>'Returns per Gal.'!AE51</f>
        <v>0.30368318456961113</v>
      </c>
      <c r="AG44" s="93">
        <f>'Returns per Gal.'!AF51</f>
        <v>0.69510618651892875</v>
      </c>
      <c r="AH44" s="93">
        <f>'Returns per Gal.'!AG51</f>
        <v>0.99878937108853993</v>
      </c>
      <c r="AI44" s="105">
        <f>'Returns per Gal.'!AH51</f>
        <v>0</v>
      </c>
      <c r="AJ44" s="104">
        <f>'Returns per Gal.'!AI51</f>
        <v>0</v>
      </c>
      <c r="AK44" s="93">
        <f>'Returns per Gal.'!AJ51</f>
        <v>1.5907893710885401</v>
      </c>
      <c r="AL44" s="93">
        <f>'Returns per Gal.'!AK51</f>
        <v>1.7870353832097523</v>
      </c>
      <c r="AM44" s="105">
        <f>'Returns per Gal.'!AL51</f>
        <v>0</v>
      </c>
      <c r="AN44" s="104"/>
      <c r="AO44" s="93">
        <f>'Returns per Gal.'!AN51</f>
        <v>1.6025527341746166</v>
      </c>
      <c r="AP44" s="93">
        <f>'Returns per Gal.'!AO51</f>
        <v>1.4063067220534045</v>
      </c>
      <c r="AQ44" s="93">
        <f>'Returns per Gal.'!AP51</f>
        <v>0.32638795917065222</v>
      </c>
      <c r="AR44" s="93">
        <f>'Returns per Gal.'!AQ51</f>
        <v>1.0799187628827522</v>
      </c>
      <c r="AS44" s="52"/>
      <c r="AU44" s="177">
        <f>'Returns per Bu.'!G51</f>
        <v>5.9243181818181823</v>
      </c>
      <c r="AV44" s="166">
        <f>'Returns per Bu.'!N51</f>
        <v>9.1010249999999964</v>
      </c>
      <c r="AW44" s="166">
        <f>'Returns per Bu.'!O51</f>
        <v>6.8545238654545413</v>
      </c>
      <c r="AX44" s="169">
        <f>'Returns per Bu.'!Z51</f>
        <v>0.28325984517943253</v>
      </c>
      <c r="AY44" s="162">
        <f>'Returns per Bu.'!AF51</f>
        <v>2.8465497076023389</v>
      </c>
      <c r="AZ44" s="172" t="e">
        <f>'Returns per Bu.'!#REF!</f>
        <v>#REF!</v>
      </c>
      <c r="BA44" s="15">
        <f t="shared" si="0"/>
        <v>1.9810526315789472</v>
      </c>
      <c r="BB44" s="93">
        <f>'Returns per Bu.'!AD51</f>
        <v>0.86549707602339176</v>
      </c>
      <c r="BC44" s="93">
        <f t="shared" si="2"/>
        <v>0.69510618651892875</v>
      </c>
      <c r="BD44" s="93"/>
    </row>
    <row r="45" spans="1:56" hidden="1" x14ac:dyDescent="0.2">
      <c r="A45" s="8">
        <v>39661</v>
      </c>
      <c r="B45" s="6"/>
      <c r="C45" s="50"/>
      <c r="D45" s="93">
        <v>2.2238095238095235</v>
      </c>
      <c r="E45" s="95">
        <v>154.66666666666666</v>
      </c>
      <c r="F45" s="323"/>
      <c r="G45" s="93">
        <v>5.0598809523809516</v>
      </c>
      <c r="H45" s="96">
        <v>11.83</v>
      </c>
      <c r="I45" s="16">
        <f>'Returns per Gal.'!H52</f>
        <v>0</v>
      </c>
      <c r="J45" s="84"/>
      <c r="K45" s="93">
        <f>'Returns per Gal.'!J52</f>
        <v>2.2238095238095235</v>
      </c>
      <c r="L45" s="93">
        <f>'Returns per Gal.'!K52</f>
        <v>0.45857309941520458</v>
      </c>
      <c r="M45" s="93"/>
      <c r="N45" s="93">
        <f>'Returns per Gal.'!M52</f>
        <v>2.6823826232247279</v>
      </c>
      <c r="O45" s="108">
        <f>'Returns per Gal.'!N52</f>
        <v>0</v>
      </c>
      <c r="P45" s="109">
        <f>'Returns per Gal.'!O52</f>
        <v>0</v>
      </c>
      <c r="Q45" s="93">
        <f>'Returns per Gal.'!P52</f>
        <v>1.7753968253968251</v>
      </c>
      <c r="R45" s="93">
        <f>'Returns per Gal.'!Q52</f>
        <v>0.35489999999999999</v>
      </c>
      <c r="S45" s="93">
        <f>'Returns per Gal.'!R52</f>
        <v>0.21939999999999998</v>
      </c>
      <c r="T45" s="93">
        <f>'Returns per Gal.'!S52</f>
        <v>2.3496968253968249</v>
      </c>
      <c r="U45" s="93">
        <f>'Returns per Gal.'!T52</f>
        <v>0.19624601212121212</v>
      </c>
      <c r="V45" s="93">
        <f>'Returns per Gal.'!U52</f>
        <v>2.5459428375180368</v>
      </c>
      <c r="W45" s="93">
        <f>'Returns per Gal.'!V52</f>
        <v>2.0873697381028324</v>
      </c>
      <c r="X45" s="105"/>
      <c r="Y45" s="93">
        <f>'Returns per Gal.'!V52</f>
        <v>2.0873697381028324</v>
      </c>
      <c r="Z45" s="93">
        <f>'Returns per Gal.'!Y52</f>
        <v>0.51358579782790281</v>
      </c>
      <c r="AA45" s="93">
        <f>'Returns per Gal.'!Z52</f>
        <v>0.33268579782790297</v>
      </c>
      <c r="AB45" s="93">
        <f>'Returns per Gal.'!AA52</f>
        <v>0.13643978570669102</v>
      </c>
      <c r="AC45" s="80">
        <f>'Returns per Gal.'!AB52</f>
        <v>0</v>
      </c>
      <c r="AD45" s="15">
        <f>'Returns per Gal.'!AC52</f>
        <v>0</v>
      </c>
      <c r="AE45" s="81">
        <f>'Returns per Gal.'!AD52</f>
        <v>0</v>
      </c>
      <c r="AF45" s="93">
        <f>'Returns per Gal.'!AE52</f>
        <v>0.30368318456961113</v>
      </c>
      <c r="AG45" s="93">
        <f>'Returns per Gal.'!AF52</f>
        <v>0.69510618651892875</v>
      </c>
      <c r="AH45" s="93">
        <f>'Returns per Gal.'!AG52</f>
        <v>0.99878937108853993</v>
      </c>
      <c r="AI45" s="105">
        <f>'Returns per Gal.'!AH52</f>
        <v>0</v>
      </c>
      <c r="AJ45" s="104">
        <f>'Returns per Gal.'!AI52</f>
        <v>0</v>
      </c>
      <c r="AK45" s="93">
        <f>'Returns per Gal.'!AJ52</f>
        <v>1.5730893710885401</v>
      </c>
      <c r="AL45" s="93">
        <f>'Returns per Gal.'!AK52</f>
        <v>1.7693353832097523</v>
      </c>
      <c r="AM45" s="105">
        <f>'Returns per Gal.'!AL52</f>
        <v>0</v>
      </c>
      <c r="AN45" s="104"/>
      <c r="AO45" s="93">
        <f>'Returns per Gal.'!AN52</f>
        <v>1.1092932521361878</v>
      </c>
      <c r="AP45" s="93">
        <f>'Returns per Gal.'!AO52</f>
        <v>0.91304724001497561</v>
      </c>
      <c r="AQ45" s="93">
        <f>'Returns per Gal.'!AP52</f>
        <v>0.13643978570669046</v>
      </c>
      <c r="AR45" s="93">
        <f>'Returns per Gal.'!AQ52</f>
        <v>0.77660745430828515</v>
      </c>
      <c r="AS45" s="52"/>
      <c r="AU45" s="177">
        <f>'Returns per Bu.'!G52</f>
        <v>5.0598809523809516</v>
      </c>
      <c r="AV45" s="166">
        <f>'Returns per Bu.'!N52</f>
        <v>7.644790476190475</v>
      </c>
      <c r="AW45" s="166">
        <f>'Returns per Bu.'!O52</f>
        <v>5.4487343416450207</v>
      </c>
      <c r="AX45" s="169">
        <f>'Returns per Bu.'!Z52</f>
        <v>0.1184109630569586</v>
      </c>
      <c r="AY45" s="162">
        <f>'Returns per Bu.'!AF52</f>
        <v>2.8465497076023389</v>
      </c>
      <c r="AZ45" s="172" t="e">
        <f>'Returns per Bu.'!#REF!</f>
        <v>#REF!</v>
      </c>
      <c r="BA45" s="15">
        <f t="shared" si="0"/>
        <v>1.9810526315789472</v>
      </c>
      <c r="BB45" s="93">
        <f>'Returns per Bu.'!AD52</f>
        <v>0.86549707602339176</v>
      </c>
      <c r="BC45" s="93">
        <f t="shared" si="2"/>
        <v>0.69510618651892875</v>
      </c>
      <c r="BD45" s="93"/>
    </row>
    <row r="46" spans="1:56" hidden="1" x14ac:dyDescent="0.2">
      <c r="A46" s="8">
        <v>39692</v>
      </c>
      <c r="B46" s="6"/>
      <c r="C46" s="50"/>
      <c r="D46" s="93">
        <v>2.15</v>
      </c>
      <c r="E46" s="95">
        <v>141.13095238095238</v>
      </c>
      <c r="F46" s="323"/>
      <c r="G46" s="93">
        <v>5.1102678571428575</v>
      </c>
      <c r="H46" s="96">
        <v>9.3000000000000007</v>
      </c>
      <c r="I46" s="16">
        <f>'Returns per Gal.'!H53</f>
        <v>0</v>
      </c>
      <c r="J46" s="84"/>
      <c r="K46" s="93">
        <f>'Returns per Gal.'!J53</f>
        <v>2.15</v>
      </c>
      <c r="L46" s="93">
        <f>'Returns per Gal.'!K53</f>
        <v>0.4184408939014202</v>
      </c>
      <c r="M46" s="93"/>
      <c r="N46" s="93">
        <f>'Returns per Gal.'!M53</f>
        <v>2.5684408939014203</v>
      </c>
      <c r="O46" s="108">
        <f>'Returns per Gal.'!N53</f>
        <v>0</v>
      </c>
      <c r="P46" s="109">
        <f>'Returns per Gal.'!O53</f>
        <v>0</v>
      </c>
      <c r="Q46" s="93">
        <f>'Returns per Gal.'!P53</f>
        <v>1.7930764411027569</v>
      </c>
      <c r="R46" s="93">
        <f>'Returns per Gal.'!Q53</f>
        <v>0.27900000000000003</v>
      </c>
      <c r="S46" s="93">
        <f>'Returns per Gal.'!R53</f>
        <v>0.21939999999999998</v>
      </c>
      <c r="T46" s="93">
        <f>'Returns per Gal.'!S53</f>
        <v>2.2914764411027568</v>
      </c>
      <c r="U46" s="93">
        <f>'Returns per Gal.'!T53</f>
        <v>0.19624601212121212</v>
      </c>
      <c r="V46" s="93">
        <f>'Returns per Gal.'!U53</f>
        <v>2.4877224532239688</v>
      </c>
      <c r="W46" s="93">
        <f>'Returns per Gal.'!V53</f>
        <v>2.0692815593225484</v>
      </c>
      <c r="X46" s="105"/>
      <c r="Y46" s="93">
        <f>'Returns per Gal.'!V53</f>
        <v>2.0692815593225484</v>
      </c>
      <c r="Z46" s="93">
        <f>'Returns per Gal.'!Y53</f>
        <v>0.45786445279866339</v>
      </c>
      <c r="AA46" s="93">
        <f>'Returns per Gal.'!Z53</f>
        <v>0.27696445279866344</v>
      </c>
      <c r="AB46" s="93">
        <f>'Returns per Gal.'!AA53</f>
        <v>8.0718440677451486E-2</v>
      </c>
      <c r="AC46" s="80">
        <f>'Returns per Gal.'!AB53</f>
        <v>0</v>
      </c>
      <c r="AD46" s="15">
        <f>'Returns per Gal.'!AC53</f>
        <v>0</v>
      </c>
      <c r="AE46" s="81">
        <f>'Returns per Gal.'!AD53</f>
        <v>0</v>
      </c>
      <c r="AF46" s="93">
        <f>'Returns per Gal.'!AE53</f>
        <v>0.36113676002872674</v>
      </c>
      <c r="AG46" s="93">
        <f>'Returns per Gal.'!AF53</f>
        <v>0.82673643172258116</v>
      </c>
      <c r="AH46" s="93">
        <f>'Returns per Gal.'!AG53</f>
        <v>1.1878731917513079</v>
      </c>
      <c r="AI46" s="105">
        <f>'Returns per Gal.'!AH53</f>
        <v>0</v>
      </c>
      <c r="AJ46" s="104">
        <f>'Returns per Gal.'!AI53</f>
        <v>0</v>
      </c>
      <c r="AK46" s="93">
        <f>'Returns per Gal.'!AJ53</f>
        <v>1.6862731917513079</v>
      </c>
      <c r="AL46" s="93">
        <f>'Returns per Gal.'!AK53</f>
        <v>1.88251920387252</v>
      </c>
      <c r="AM46" s="105">
        <f>'Returns per Gal.'!AL53</f>
        <v>0</v>
      </c>
      <c r="AN46" s="104"/>
      <c r="AO46" s="93">
        <f>'Returns per Gal.'!AN53</f>
        <v>0.88216770215011242</v>
      </c>
      <c r="AP46" s="93">
        <f>'Returns per Gal.'!AO53</f>
        <v>0.68592169002890024</v>
      </c>
      <c r="AQ46" s="93">
        <f>'Returns per Gal.'!AP53</f>
        <v>8.0718440677451264E-2</v>
      </c>
      <c r="AR46" s="93">
        <f>'Returns per Gal.'!AQ53</f>
        <v>0.60520324935144898</v>
      </c>
      <c r="AS46" s="52"/>
      <c r="AU46" s="177">
        <f>'Returns per Bu.'!G53</f>
        <v>5.1102678571428575</v>
      </c>
      <c r="AV46" s="166">
        <f>'Returns per Bu.'!N53</f>
        <v>7.3200565476190471</v>
      </c>
      <c r="AW46" s="166">
        <f>'Returns per Bu.'!O53</f>
        <v>5.3403154130735926</v>
      </c>
      <c r="AX46" s="169">
        <f>'Returns per Bu.'!Z53</f>
        <v>7.0052501530748379E-2</v>
      </c>
      <c r="AY46" s="162">
        <f>'Returns per Bu.'!AF53</f>
        <v>3.3854385964912277</v>
      </c>
      <c r="AZ46" s="172" t="e">
        <f>'Returns per Bu.'!#REF!</f>
        <v>#REF!</v>
      </c>
      <c r="BA46" s="15">
        <f t="shared" si="0"/>
        <v>2.3561988304093564</v>
      </c>
      <c r="BB46" s="93">
        <f>'Returns per Bu.'!AD53</f>
        <v>1.0292397660818713</v>
      </c>
      <c r="BC46" s="93">
        <f t="shared" si="2"/>
        <v>0.82673643172258116</v>
      </c>
      <c r="BD46" s="93"/>
    </row>
    <row r="47" spans="1:56" hidden="1" x14ac:dyDescent="0.2">
      <c r="A47" s="8">
        <v>39722</v>
      </c>
      <c r="B47" s="6"/>
      <c r="C47" s="50"/>
      <c r="D47" s="93">
        <v>1.85</v>
      </c>
      <c r="E47" s="95">
        <v>129.5</v>
      </c>
      <c r="F47" s="323"/>
      <c r="G47" s="93">
        <v>3.9515652173913023</v>
      </c>
      <c r="H47" s="96">
        <v>7.3</v>
      </c>
      <c r="I47" s="16">
        <f>'Returns per Gal.'!H54</f>
        <v>0</v>
      </c>
      <c r="J47" s="84"/>
      <c r="K47" s="93">
        <f>'Returns per Gal.'!J54</f>
        <v>1.85</v>
      </c>
      <c r="L47" s="93">
        <f>'Returns per Gal.'!K54</f>
        <v>0.38395614035087716</v>
      </c>
      <c r="M47" s="93"/>
      <c r="N47" s="93">
        <f>'Returns per Gal.'!M54</f>
        <v>2.2339561403508772</v>
      </c>
      <c r="O47" s="108">
        <f>'Returns per Gal.'!N54</f>
        <v>0</v>
      </c>
      <c r="P47" s="109">
        <f>'Returns per Gal.'!O54</f>
        <v>0</v>
      </c>
      <c r="Q47" s="93">
        <f>'Returns per Gal.'!P54</f>
        <v>1.3865141113653692</v>
      </c>
      <c r="R47" s="93">
        <f>'Returns per Gal.'!Q54</f>
        <v>0.219</v>
      </c>
      <c r="S47" s="93">
        <f>'Returns per Gal.'!R54</f>
        <v>0.21939999999999998</v>
      </c>
      <c r="T47" s="93">
        <f>'Returns per Gal.'!S54</f>
        <v>1.8249141113653693</v>
      </c>
      <c r="U47" s="93">
        <f>'Returns per Gal.'!T54</f>
        <v>0.19624601212121212</v>
      </c>
      <c r="V47" s="93">
        <f>'Returns per Gal.'!U54</f>
        <v>2.0211601234865815</v>
      </c>
      <c r="W47" s="93">
        <f>'Returns per Gal.'!V54</f>
        <v>1.6372039831357044</v>
      </c>
      <c r="X47" s="105"/>
      <c r="Y47" s="93">
        <f>'Returns per Gal.'!V54</f>
        <v>1.6372039831357044</v>
      </c>
      <c r="Z47" s="93">
        <f>'Returns per Gal.'!Y54</f>
        <v>0.58994202898550807</v>
      </c>
      <c r="AA47" s="93">
        <f>'Returns per Gal.'!Z54</f>
        <v>0.4090420289855079</v>
      </c>
      <c r="AB47" s="93">
        <f>'Returns per Gal.'!AA54</f>
        <v>0.21279601686429572</v>
      </c>
      <c r="AC47" s="80">
        <f>'Returns per Gal.'!AB54</f>
        <v>0</v>
      </c>
      <c r="AD47" s="15">
        <f>'Returns per Gal.'!AC54</f>
        <v>0</v>
      </c>
      <c r="AE47" s="81">
        <f>'Returns per Gal.'!AD54</f>
        <v>0</v>
      </c>
      <c r="AF47" s="93">
        <f>'Returns per Gal.'!AE54</f>
        <v>0.36113676002872674</v>
      </c>
      <c r="AG47" s="93">
        <f>'Returns per Gal.'!AF54</f>
        <v>0.82673643172258116</v>
      </c>
      <c r="AH47" s="93">
        <f>'Returns per Gal.'!AG54</f>
        <v>1.1878731917513079</v>
      </c>
      <c r="AI47" s="105">
        <f>'Returns per Gal.'!AH54</f>
        <v>0</v>
      </c>
      <c r="AJ47" s="104">
        <f>'Returns per Gal.'!AI54</f>
        <v>0</v>
      </c>
      <c r="AK47" s="93">
        <f>'Returns per Gal.'!AJ54</f>
        <v>1.626273191751308</v>
      </c>
      <c r="AL47" s="93">
        <f>'Returns per Gal.'!AK54</f>
        <v>1.8225192038725202</v>
      </c>
      <c r="AM47" s="105">
        <f>'Returns per Gal.'!AL54</f>
        <v>0</v>
      </c>
      <c r="AN47" s="104"/>
      <c r="AO47" s="93">
        <f>'Returns per Gal.'!AN54</f>
        <v>0.60768294859956917</v>
      </c>
      <c r="AP47" s="93">
        <f>'Returns per Gal.'!AO54</f>
        <v>0.411436936478357</v>
      </c>
      <c r="AQ47" s="93">
        <f>'Returns per Gal.'!AP54</f>
        <v>0.21279601686429572</v>
      </c>
      <c r="AR47" s="93">
        <f>'Returns per Gal.'!AQ54</f>
        <v>0.19864091961406127</v>
      </c>
      <c r="AS47" s="52"/>
      <c r="AU47" s="177">
        <f>'Returns per Bu.'!G54</f>
        <v>3.9515652173913023</v>
      </c>
      <c r="AV47" s="166">
        <f>'Returns per Bu.'!N54</f>
        <v>6.3667750000000005</v>
      </c>
      <c r="AW47" s="166">
        <f>'Returns per Bu.'!O54</f>
        <v>4.5580338654545471</v>
      </c>
      <c r="AX47" s="169">
        <f>'Returns per Bu.'!Z54</f>
        <v>0.18467766686290293</v>
      </c>
      <c r="AY47" s="162">
        <f>'Returns per Bu.'!AF54</f>
        <v>3.3854385964912277</v>
      </c>
      <c r="AZ47" s="172" t="e">
        <f>'Returns per Bu.'!#REF!</f>
        <v>#REF!</v>
      </c>
      <c r="BA47" s="15">
        <f t="shared" si="0"/>
        <v>2.3561988304093564</v>
      </c>
      <c r="BB47" s="93">
        <f>'Returns per Bu.'!AD54</f>
        <v>1.0292397660818713</v>
      </c>
      <c r="BC47" s="93">
        <f t="shared" si="2"/>
        <v>0.82673643172258116</v>
      </c>
      <c r="BD47" s="93"/>
    </row>
    <row r="48" spans="1:56" hidden="1" x14ac:dyDescent="0.2">
      <c r="A48" s="8">
        <v>39753</v>
      </c>
      <c r="B48" s="6"/>
      <c r="C48" s="50"/>
      <c r="D48" s="93">
        <v>1.6465000000000001</v>
      </c>
      <c r="E48" s="95">
        <v>120.30263157894737</v>
      </c>
      <c r="F48" s="323"/>
      <c r="G48" s="93">
        <v>3.5661842105263171</v>
      </c>
      <c r="H48" s="96">
        <v>7.11</v>
      </c>
      <c r="I48" s="16">
        <f>'Returns per Gal.'!H55</f>
        <v>0</v>
      </c>
      <c r="J48" s="84"/>
      <c r="K48" s="93">
        <f>'Returns per Gal.'!J55</f>
        <v>1.6465000000000001</v>
      </c>
      <c r="L48" s="93">
        <f>'Returns per Gal.'!K55</f>
        <v>0.35668674976915971</v>
      </c>
      <c r="M48" s="93"/>
      <c r="N48" s="93">
        <f>'Returns per Gal.'!M55</f>
        <v>2.00318674976916</v>
      </c>
      <c r="O48" s="108">
        <f>'Returns per Gal.'!N55</f>
        <v>0</v>
      </c>
      <c r="P48" s="109">
        <f>'Returns per Gal.'!O55</f>
        <v>0</v>
      </c>
      <c r="Q48" s="93">
        <f>'Returns per Gal.'!P55</f>
        <v>1.2512927054478304</v>
      </c>
      <c r="R48" s="93">
        <f>'Returns per Gal.'!Q55</f>
        <v>0.21329999999999999</v>
      </c>
      <c r="S48" s="93">
        <f>'Returns per Gal.'!R55</f>
        <v>0.21939999999999998</v>
      </c>
      <c r="T48" s="93">
        <f>'Returns per Gal.'!S55</f>
        <v>1.6839927054478305</v>
      </c>
      <c r="U48" s="93">
        <f>'Returns per Gal.'!T55</f>
        <v>0.19624601212121212</v>
      </c>
      <c r="V48" s="93">
        <f>'Returns per Gal.'!U55</f>
        <v>1.8802387175690427</v>
      </c>
      <c r="W48" s="93">
        <f>'Returns per Gal.'!V55</f>
        <v>1.523551967799883</v>
      </c>
      <c r="X48" s="105"/>
      <c r="Y48" s="93">
        <f>'Returns per Gal.'!V55</f>
        <v>1.523551967799883</v>
      </c>
      <c r="Z48" s="93">
        <f>'Returns per Gal.'!Y55</f>
        <v>0.50009404432132953</v>
      </c>
      <c r="AA48" s="93">
        <f>'Returns per Gal.'!Z55</f>
        <v>0.31919404432132947</v>
      </c>
      <c r="AB48" s="93">
        <f>'Returns per Gal.'!AA55</f>
        <v>0.1229480322001173</v>
      </c>
      <c r="AC48" s="80">
        <f>'Returns per Gal.'!AB55</f>
        <v>0</v>
      </c>
      <c r="AD48" s="15">
        <f>'Returns per Gal.'!AC55</f>
        <v>0</v>
      </c>
      <c r="AE48" s="81">
        <f>'Returns per Gal.'!AD55</f>
        <v>0</v>
      </c>
      <c r="AF48" s="93">
        <f>'Returns per Gal.'!AE55</f>
        <v>0.36113676002872674</v>
      </c>
      <c r="AG48" s="93">
        <f>'Returns per Gal.'!AF55</f>
        <v>0.82673643172258116</v>
      </c>
      <c r="AH48" s="93">
        <f>'Returns per Gal.'!AG55</f>
        <v>1.1878731917513079</v>
      </c>
      <c r="AI48" s="105">
        <f>'Returns per Gal.'!AH55</f>
        <v>0</v>
      </c>
      <c r="AJ48" s="104">
        <f>'Returns per Gal.'!AI55</f>
        <v>0</v>
      </c>
      <c r="AK48" s="93">
        <f>'Returns per Gal.'!AJ55</f>
        <v>1.620573191751308</v>
      </c>
      <c r="AL48" s="93">
        <f>'Returns per Gal.'!AK55</f>
        <v>1.8168192038725202</v>
      </c>
      <c r="AM48" s="105">
        <f>'Returns per Gal.'!AL55</f>
        <v>0</v>
      </c>
      <c r="AN48" s="104"/>
      <c r="AO48" s="93">
        <f>'Returns per Gal.'!AN55</f>
        <v>0.38261355801785202</v>
      </c>
      <c r="AP48" s="93">
        <f>'Returns per Gal.'!AO55</f>
        <v>0.18636754589663984</v>
      </c>
      <c r="AQ48" s="93">
        <f>'Returns per Gal.'!AP55</f>
        <v>0.1229480322001173</v>
      </c>
      <c r="AR48" s="93">
        <f>'Returns per Gal.'!AQ55</f>
        <v>6.3419513696522545E-2</v>
      </c>
      <c r="AS48" s="52"/>
      <c r="AU48" s="177">
        <f>'Returns per Bu.'!G55</f>
        <v>3.5661842105263171</v>
      </c>
      <c r="AV48" s="166">
        <f>'Returns per Bu.'!N55</f>
        <v>5.7090822368421055</v>
      </c>
      <c r="AW48" s="166">
        <f>'Returns per Bu.'!O55</f>
        <v>3.9165861022966517</v>
      </c>
      <c r="AX48" s="169">
        <f>'Returns per Bu.'!Z55</f>
        <v>0.10670197716427465</v>
      </c>
      <c r="AY48" s="162">
        <f>'Returns per Bu.'!AF55</f>
        <v>3.3854385964912277</v>
      </c>
      <c r="AZ48" s="172" t="e">
        <f>'Returns per Bu.'!#REF!</f>
        <v>#REF!</v>
      </c>
      <c r="BA48" s="15">
        <f t="shared" si="0"/>
        <v>2.3561988304093564</v>
      </c>
      <c r="BB48" s="93">
        <f>'Returns per Bu.'!AD55</f>
        <v>1.0292397660818713</v>
      </c>
      <c r="BC48" s="93">
        <f t="shared" si="2"/>
        <v>0.82673643172258116</v>
      </c>
      <c r="BD48" s="93"/>
    </row>
    <row r="49" spans="1:56" hidden="1" x14ac:dyDescent="0.2">
      <c r="A49" s="68">
        <v>39783</v>
      </c>
      <c r="B49" s="70"/>
      <c r="C49" s="67"/>
      <c r="D49" s="97">
        <v>1.4927272727272725</v>
      </c>
      <c r="E49" s="99">
        <v>116.3452380952381</v>
      </c>
      <c r="F49" s="324"/>
      <c r="G49" s="97">
        <v>3.3650595238095233</v>
      </c>
      <c r="H49" s="100">
        <v>7.92</v>
      </c>
      <c r="I49" s="71">
        <f>'Returns per Gal.'!H56</f>
        <v>0</v>
      </c>
      <c r="J49" s="86"/>
      <c r="K49" s="97">
        <f>'Returns per Gal.'!J56</f>
        <v>1.4927272727272725</v>
      </c>
      <c r="L49" s="97">
        <f>'Returns per Gal.'!K56</f>
        <v>0.34495342522974098</v>
      </c>
      <c r="M49" s="97"/>
      <c r="N49" s="97">
        <f>'Returns per Gal.'!M56</f>
        <v>1.8376806979570135</v>
      </c>
      <c r="O49" s="111">
        <f>'Returns per Gal.'!N56</f>
        <v>0</v>
      </c>
      <c r="P49" s="112">
        <f>'Returns per Gal.'!O56</f>
        <v>0</v>
      </c>
      <c r="Q49" s="97">
        <f>'Returns per Gal.'!P56</f>
        <v>1.1807226399331661</v>
      </c>
      <c r="R49" s="97">
        <f>'Returns per Gal.'!Q56</f>
        <v>0.23760000000000001</v>
      </c>
      <c r="S49" s="97">
        <f>'Returns per Gal.'!R56</f>
        <v>0.21939999999999998</v>
      </c>
      <c r="T49" s="97">
        <f>'Returns per Gal.'!S56</f>
        <v>1.6377226399331661</v>
      </c>
      <c r="U49" s="97">
        <f>'Returns per Gal.'!T56</f>
        <v>0.19624601212121212</v>
      </c>
      <c r="V49" s="97">
        <f>'Returns per Gal.'!U56</f>
        <v>1.8339686520543783</v>
      </c>
      <c r="W49" s="97">
        <f>'Returns per Gal.'!V56</f>
        <v>1.4890152268246373</v>
      </c>
      <c r="X49" s="107"/>
      <c r="Y49" s="97">
        <f>'Returns per Gal.'!V56</f>
        <v>1.4890152268246373</v>
      </c>
      <c r="Z49" s="97">
        <f>'Returns per Gal.'!Y56</f>
        <v>0.38085805802384742</v>
      </c>
      <c r="AA49" s="97">
        <f>'Returns per Gal.'!Z56</f>
        <v>0.19995805802384736</v>
      </c>
      <c r="AB49" s="97">
        <f>'Returns per Gal.'!AA56</f>
        <v>3.712045902635186E-3</v>
      </c>
      <c r="AC49" s="82">
        <f>'Returns per Gal.'!AB56</f>
        <v>0</v>
      </c>
      <c r="AD49" s="15">
        <f>'Returns per Gal.'!AC56</f>
        <v>0</v>
      </c>
      <c r="AE49" s="83">
        <f>'Returns per Gal.'!AD56</f>
        <v>0</v>
      </c>
      <c r="AF49" s="97">
        <f>'Returns per Gal.'!AE56</f>
        <v>0.36113676002872674</v>
      </c>
      <c r="AG49" s="97">
        <f>'Returns per Gal.'!AF56</f>
        <v>0.82673643172258116</v>
      </c>
      <c r="AH49" s="97">
        <f>'Returns per Gal.'!AG56</f>
        <v>1.1878731917513079</v>
      </c>
      <c r="AI49" s="107">
        <f>'Returns per Gal.'!AH56</f>
        <v>0</v>
      </c>
      <c r="AJ49" s="106">
        <f>'Returns per Gal.'!AI56</f>
        <v>0</v>
      </c>
      <c r="AK49" s="97">
        <f>'Returns per Gal.'!AJ56</f>
        <v>1.644873191751308</v>
      </c>
      <c r="AL49" s="97">
        <f>'Returns per Gal.'!AK56</f>
        <v>1.8411192038725201</v>
      </c>
      <c r="AM49" s="107">
        <f>'Returns per Gal.'!AL56</f>
        <v>0</v>
      </c>
      <c r="AN49" s="106"/>
      <c r="AO49" s="97">
        <f>'Returns per Gal.'!AN56</f>
        <v>0.19280750620570553</v>
      </c>
      <c r="AP49" s="97">
        <f>'Returns per Gal.'!AO56</f>
        <v>-3.4385059155066511E-3</v>
      </c>
      <c r="AQ49" s="97">
        <f>'Returns per Gal.'!AP56</f>
        <v>3.712045902635186E-3</v>
      </c>
      <c r="AR49" s="97">
        <f>'Returns per Gal.'!AQ56</f>
        <v>-7.150551818141837E-3</v>
      </c>
      <c r="AS49" s="64"/>
      <c r="AU49" s="178">
        <f>'Returns per Bu.'!G56</f>
        <v>3.3650595238095233</v>
      </c>
      <c r="AV49" s="167">
        <f>'Returns per Bu.'!N56</f>
        <v>5.2373899891774887</v>
      </c>
      <c r="AW49" s="167">
        <f>'Returns per Bu.'!O56</f>
        <v>3.3756388546320348</v>
      </c>
      <c r="AX49" s="170">
        <f>'Returns per Bu.'!Z56</f>
        <v>3.2215451524354398E-3</v>
      </c>
      <c r="AY49" s="163">
        <f>'Returns per Bu.'!AF56</f>
        <v>3.3854385964912277</v>
      </c>
      <c r="AZ49" s="164" t="e">
        <f>'Returns per Bu.'!#REF!</f>
        <v>#REF!</v>
      </c>
      <c r="BA49" s="15">
        <f t="shared" si="0"/>
        <v>2.3561988304093564</v>
      </c>
      <c r="BB49" s="93">
        <f>'Returns per Bu.'!AD56</f>
        <v>1.0292397660818713</v>
      </c>
      <c r="BC49" s="93">
        <f t="shared" si="2"/>
        <v>0.82673643172258116</v>
      </c>
      <c r="BD49" s="93"/>
    </row>
    <row r="50" spans="1:56" hidden="1" x14ac:dyDescent="0.2">
      <c r="A50" s="21">
        <v>39814</v>
      </c>
      <c r="C50" s="53"/>
      <c r="D50" s="101">
        <v>1.5161363636363638</v>
      </c>
      <c r="E50" s="103">
        <v>125.22619047619048</v>
      </c>
      <c r="F50" s="325"/>
      <c r="G50" s="101">
        <v>3.6678988095238108</v>
      </c>
      <c r="H50" s="90">
        <v>8.2200000000000006</v>
      </c>
      <c r="I50" s="88">
        <f>'Returns per Gal.'!H57</f>
        <v>0</v>
      </c>
      <c r="J50" s="73"/>
      <c r="K50" s="101">
        <f>'Returns per Gal.'!J57</f>
        <v>1.5161363636363638</v>
      </c>
      <c r="L50" s="101">
        <f>'Returns per Gal.'!K57</f>
        <v>0.37128467000835425</v>
      </c>
      <c r="M50" s="101"/>
      <c r="N50" s="101">
        <f>'Returns per Gal.'!M57</f>
        <v>1.8874210336447181</v>
      </c>
      <c r="O50" s="115">
        <f>'Returns per Gal.'!N57</f>
        <v>0</v>
      </c>
      <c r="P50" s="114">
        <f>'Returns per Gal.'!O57</f>
        <v>0</v>
      </c>
      <c r="Q50" s="101">
        <f>'Returns per Gal.'!P57</f>
        <v>1.2869820384294073</v>
      </c>
      <c r="R50" s="101">
        <f>'Returns per Gal.'!Q57</f>
        <v>0.24659999999999999</v>
      </c>
      <c r="S50" s="101">
        <f>'Returns per Gal.'!R57</f>
        <v>0.21939999999999998</v>
      </c>
      <c r="T50" s="101">
        <f>'Returns per Gal.'!S57</f>
        <v>1.7529820384294073</v>
      </c>
      <c r="U50" s="101">
        <f>'Returns per Gal.'!T57</f>
        <v>0.19624601212121212</v>
      </c>
      <c r="V50" s="101">
        <f>'Returns per Gal.'!U57</f>
        <v>1.9492280505506194</v>
      </c>
      <c r="W50" s="101">
        <f>'Returns per Gal.'!V57</f>
        <v>1.5779433805422651</v>
      </c>
      <c r="X50" s="116"/>
      <c r="Y50" s="101">
        <f>'Returns per Gal.'!V57</f>
        <v>1.5779433805422651</v>
      </c>
      <c r="Z50" s="101">
        <f>'Returns per Gal.'!Y57</f>
        <v>0.31533899521531089</v>
      </c>
      <c r="AA50" s="101">
        <f>'Returns per Gal.'!Z57</f>
        <v>0.13443899521531089</v>
      </c>
      <c r="AB50" s="101">
        <f>'Returns per Gal.'!AA57</f>
        <v>-6.1807016905901291E-2</v>
      </c>
      <c r="AC50" s="80">
        <f>'Returns per Gal.'!AB57</f>
        <v>0</v>
      </c>
      <c r="AD50" s="15">
        <f>'Returns per Gal.'!AC57</f>
        <v>0</v>
      </c>
      <c r="AE50" s="81">
        <f>'Returns per Gal.'!AD57</f>
        <v>0</v>
      </c>
      <c r="AF50" s="93">
        <f>'Returns per Gal.'!AE57</f>
        <v>0.36113676002872674</v>
      </c>
      <c r="AG50" s="93">
        <f>'Returns per Gal.'!AF57</f>
        <v>0.82673643172258116</v>
      </c>
      <c r="AH50" s="93">
        <f>'Returns per Gal.'!AG57</f>
        <v>1.1878731917513079</v>
      </c>
      <c r="AI50" s="105">
        <f>'Returns per Gal.'!AH57</f>
        <v>0</v>
      </c>
      <c r="AJ50" s="104">
        <f>'Returns per Gal.'!AI57</f>
        <v>0</v>
      </c>
      <c r="AK50" s="101">
        <f>'Returns per Gal.'!AJ57</f>
        <v>1.6538731917513079</v>
      </c>
      <c r="AL50" s="101">
        <f>'Returns per Gal.'!AK57</f>
        <v>1.85011920387252</v>
      </c>
      <c r="AM50" s="116">
        <f>'Returns per Gal.'!AL57</f>
        <v>0</v>
      </c>
      <c r="AN50" s="117"/>
      <c r="AO50" s="101">
        <f>'Returns per Gal.'!AN57</f>
        <v>0.23354784189341027</v>
      </c>
      <c r="AP50" s="101">
        <f>'Returns per Gal.'!AO57</f>
        <v>3.7301829772198092E-2</v>
      </c>
      <c r="AQ50" s="101">
        <f>'Returns per Gal.'!AP57</f>
        <v>-6.1807016905901291E-2</v>
      </c>
      <c r="AR50" s="101">
        <f>'Returns per Gal.'!AQ57</f>
        <v>9.9108846678099383E-2</v>
      </c>
      <c r="AS50" s="52"/>
      <c r="AU50" s="179">
        <f>'Returns per Bu.'!G57</f>
        <v>3.6678988095238108</v>
      </c>
      <c r="AV50" s="168">
        <f>'Returns per Bu.'!N57</f>
        <v>5.3791499458874465</v>
      </c>
      <c r="AW50" s="168">
        <f>'Returns per Bu.'!O57</f>
        <v>3.4917488113419921</v>
      </c>
      <c r="AX50" s="171">
        <f>'Returns per Bu.'!Z57</f>
        <v>-5.363998746845431E-2</v>
      </c>
      <c r="AY50" s="162">
        <f>'Returns per Bu.'!AF57</f>
        <v>3.3854385964912277</v>
      </c>
      <c r="AZ50" s="165" t="e">
        <f>'Returns per Bu.'!#REF!</f>
        <v>#REF!</v>
      </c>
      <c r="BA50" s="15">
        <f t="shared" si="0"/>
        <v>2.3561988304093564</v>
      </c>
      <c r="BB50" s="93">
        <f>'Returns per Bu.'!AD57</f>
        <v>1.0292397660818713</v>
      </c>
      <c r="BC50" s="93">
        <f t="shared" si="2"/>
        <v>0.82673643172258116</v>
      </c>
      <c r="BD50" s="93"/>
    </row>
    <row r="51" spans="1:56" hidden="1" x14ac:dyDescent="0.2">
      <c r="A51" s="8">
        <v>39845</v>
      </c>
      <c r="C51" s="53"/>
      <c r="D51" s="93">
        <v>1.4890000000000005</v>
      </c>
      <c r="E51" s="95">
        <v>124.5125</v>
      </c>
      <c r="F51" s="323"/>
      <c r="G51" s="93">
        <v>3.4548749999999986</v>
      </c>
      <c r="H51" s="96">
        <v>7.84</v>
      </c>
      <c r="I51" s="85">
        <f>'Returns per Gal.'!H58</f>
        <v>0</v>
      </c>
      <c r="J51" s="16"/>
      <c r="K51" s="93">
        <f>'Returns per Gal.'!J58</f>
        <v>1.4890000000000005</v>
      </c>
      <c r="L51" s="93">
        <f>'Returns per Gal.'!K58</f>
        <v>0.36916864035087715</v>
      </c>
      <c r="M51" s="93"/>
      <c r="N51" s="93">
        <f>'Returns per Gal.'!M58</f>
        <v>1.8581686403508777</v>
      </c>
      <c r="O51" s="110">
        <f>'Returns per Gal.'!N58</f>
        <v>0</v>
      </c>
      <c r="P51" s="108">
        <f>'Returns per Gal.'!O58</f>
        <v>0</v>
      </c>
      <c r="Q51" s="93">
        <f>'Returns per Gal.'!P58</f>
        <v>1.2122368421052627</v>
      </c>
      <c r="R51" s="93">
        <f>'Returns per Gal.'!Q58</f>
        <v>0.23519999999999999</v>
      </c>
      <c r="S51" s="93">
        <f>'Returns per Gal.'!R58</f>
        <v>0.21939999999999998</v>
      </c>
      <c r="T51" s="93">
        <f>'Returns per Gal.'!S58</f>
        <v>1.6668368421052628</v>
      </c>
      <c r="U51" s="93">
        <f>'Returns per Gal.'!T58</f>
        <v>0.19624601212121212</v>
      </c>
      <c r="V51" s="93">
        <f>'Returns per Gal.'!U58</f>
        <v>1.863082854226475</v>
      </c>
      <c r="W51" s="93">
        <f>'Returns per Gal.'!V58</f>
        <v>1.4939142138755979</v>
      </c>
      <c r="X51" s="105"/>
      <c r="Y51" s="93">
        <f>'Returns per Gal.'!V58</f>
        <v>1.4939142138755979</v>
      </c>
      <c r="Z51" s="93">
        <f>'Returns per Gal.'!Y58</f>
        <v>0.37223179824561503</v>
      </c>
      <c r="AA51" s="93">
        <f>'Returns per Gal.'!Z58</f>
        <v>0.19133179824561486</v>
      </c>
      <c r="AB51" s="93">
        <f>'Returns per Gal.'!AA58</f>
        <v>-4.9142138755973175E-3</v>
      </c>
      <c r="AC51" s="80">
        <f>'Returns per Gal.'!AB58</f>
        <v>0</v>
      </c>
      <c r="AD51" s="15">
        <f>'Returns per Gal.'!AC58</f>
        <v>0</v>
      </c>
      <c r="AE51" s="81">
        <f>'Returns per Gal.'!AD58</f>
        <v>0</v>
      </c>
      <c r="AF51" s="93">
        <f>'Returns per Gal.'!AE58</f>
        <v>0.36113676002872674</v>
      </c>
      <c r="AG51" s="93">
        <f>'Returns per Gal.'!AF58</f>
        <v>0.82673643172258116</v>
      </c>
      <c r="AH51" s="93">
        <f>'Returns per Gal.'!AG58</f>
        <v>1.1878731917513079</v>
      </c>
      <c r="AI51" s="105">
        <f>'Returns per Gal.'!AH58</f>
        <v>0</v>
      </c>
      <c r="AJ51" s="104">
        <f>'Returns per Gal.'!AI58</f>
        <v>0</v>
      </c>
      <c r="AK51" s="93">
        <f>'Returns per Gal.'!AJ58</f>
        <v>1.642473191751308</v>
      </c>
      <c r="AL51" s="93">
        <f>'Returns per Gal.'!AK58</f>
        <v>1.8387192038725202</v>
      </c>
      <c r="AM51" s="105">
        <f>'Returns per Gal.'!AL58</f>
        <v>0</v>
      </c>
      <c r="AN51" s="104"/>
      <c r="AO51" s="93">
        <f>'Returns per Gal.'!AN58</f>
        <v>0.21569544859956968</v>
      </c>
      <c r="AP51" s="93">
        <f>'Returns per Gal.'!AO58</f>
        <v>1.9449436478357507E-2</v>
      </c>
      <c r="AQ51" s="93">
        <f>'Returns per Gal.'!AP58</f>
        <v>-4.9142138755973175E-3</v>
      </c>
      <c r="AR51" s="93">
        <f>'Returns per Gal.'!AQ58</f>
        <v>2.4363650353954824E-2</v>
      </c>
      <c r="AS51" s="52"/>
      <c r="AU51" s="177">
        <f>'Returns per Bu.'!G58</f>
        <v>3.4548749999999986</v>
      </c>
      <c r="AV51" s="166">
        <f>'Returns per Bu.'!N58</f>
        <v>5.2957806250000017</v>
      </c>
      <c r="AW51" s="166">
        <f>'Returns per Bu.'!O58</f>
        <v>3.4408694904545474</v>
      </c>
      <c r="AX51" s="169">
        <f>'Returns per Bu.'!Z58</f>
        <v>-4.2648615626546243E-3</v>
      </c>
      <c r="AY51" s="162">
        <f>'Returns per Bu.'!AF58</f>
        <v>3.3854385964912277</v>
      </c>
      <c r="AZ51" s="165" t="e">
        <f>'Returns per Bu.'!#REF!</f>
        <v>#REF!</v>
      </c>
      <c r="BA51" s="15">
        <f t="shared" si="0"/>
        <v>2.3561988304093564</v>
      </c>
      <c r="BB51" s="93">
        <f>'Returns per Bu.'!AD58</f>
        <v>1.0292397660818713</v>
      </c>
      <c r="BC51" s="93">
        <f t="shared" si="2"/>
        <v>0.82673643172258116</v>
      </c>
      <c r="BD51" s="93"/>
    </row>
    <row r="52" spans="1:56" hidden="1" x14ac:dyDescent="0.2">
      <c r="A52" s="8">
        <v>39873</v>
      </c>
      <c r="C52" s="53"/>
      <c r="D52" s="93">
        <v>1.4606818181818175</v>
      </c>
      <c r="E52" s="95">
        <v>121.06818181818181</v>
      </c>
      <c r="F52" s="323"/>
      <c r="G52" s="93">
        <v>3.6221590909090908</v>
      </c>
      <c r="H52" s="96">
        <v>7.28</v>
      </c>
      <c r="I52" s="85">
        <f>'Returns per Gal.'!H59</f>
        <v>0</v>
      </c>
      <c r="J52" s="16"/>
      <c r="K52" s="93">
        <f>'Returns per Gal.'!J59</f>
        <v>1.4606818181818175</v>
      </c>
      <c r="L52" s="93">
        <f>'Returns per Gal.'!K59</f>
        <v>0.35895653907496006</v>
      </c>
      <c r="M52" s="93"/>
      <c r="N52" s="93">
        <f>'Returns per Gal.'!M59</f>
        <v>1.8196383572567776</v>
      </c>
      <c r="O52" s="110">
        <f>'Returns per Gal.'!N59</f>
        <v>0</v>
      </c>
      <c r="P52" s="108">
        <f>'Returns per Gal.'!O59</f>
        <v>0</v>
      </c>
      <c r="Q52" s="93">
        <f>'Returns per Gal.'!P59</f>
        <v>1.2709330143540669</v>
      </c>
      <c r="R52" s="93">
        <f>'Returns per Gal.'!Q59</f>
        <v>0.21840000000000001</v>
      </c>
      <c r="S52" s="93">
        <f>'Returns per Gal.'!R59</f>
        <v>0.21939999999999998</v>
      </c>
      <c r="T52" s="93">
        <f>'Returns per Gal.'!S59</f>
        <v>1.7087330143540669</v>
      </c>
      <c r="U52" s="93">
        <f>'Returns per Gal.'!T59</f>
        <v>0.19624601212121212</v>
      </c>
      <c r="V52" s="93">
        <f>'Returns per Gal.'!U59</f>
        <v>1.9049790264752791</v>
      </c>
      <c r="W52" s="93">
        <f>'Returns per Gal.'!V59</f>
        <v>1.546022487400319</v>
      </c>
      <c r="X52" s="105"/>
      <c r="Y52" s="93">
        <f>'Returns per Gal.'!V59</f>
        <v>1.546022487400319</v>
      </c>
      <c r="Z52" s="93">
        <f>'Returns per Gal.'!Y59</f>
        <v>0.29180534290271065</v>
      </c>
      <c r="AA52" s="93">
        <f>'Returns per Gal.'!Z59</f>
        <v>0.1109053429027107</v>
      </c>
      <c r="AB52" s="93">
        <f>'Returns per Gal.'!AA59</f>
        <v>-8.5340669218501475E-2</v>
      </c>
      <c r="AC52" s="80">
        <f>'Returns per Gal.'!AB59</f>
        <v>0</v>
      </c>
      <c r="AD52" s="15">
        <f>'Returns per Gal.'!AC59</f>
        <v>0</v>
      </c>
      <c r="AE52" s="81">
        <f>'Returns per Gal.'!AD59</f>
        <v>0</v>
      </c>
      <c r="AF52" s="93">
        <f>'Returns per Gal.'!AE59</f>
        <v>0.36113676002872674</v>
      </c>
      <c r="AG52" s="93">
        <f>'Returns per Gal.'!AF59</f>
        <v>0.82673643172258116</v>
      </c>
      <c r="AH52" s="93">
        <f>'Returns per Gal.'!AG59</f>
        <v>1.1878731917513079</v>
      </c>
      <c r="AI52" s="105">
        <f>'Returns per Gal.'!AH59</f>
        <v>0</v>
      </c>
      <c r="AJ52" s="104">
        <f>'Returns per Gal.'!AI59</f>
        <v>0</v>
      </c>
      <c r="AK52" s="93">
        <f>'Returns per Gal.'!AJ59</f>
        <v>1.6256731917513079</v>
      </c>
      <c r="AL52" s="93">
        <f>'Returns per Gal.'!AK59</f>
        <v>1.82191920387252</v>
      </c>
      <c r="AM52" s="105">
        <f>'Returns per Gal.'!AL59</f>
        <v>0</v>
      </c>
      <c r="AN52" s="104"/>
      <c r="AO52" s="93">
        <f>'Returns per Gal.'!AN59</f>
        <v>0.19396516550546972</v>
      </c>
      <c r="AP52" s="93">
        <f>'Returns per Gal.'!AO59</f>
        <v>-2.2808466157424601E-3</v>
      </c>
      <c r="AQ52" s="93">
        <f>'Returns per Gal.'!AP59</f>
        <v>-8.5340669218501475E-2</v>
      </c>
      <c r="AR52" s="93">
        <f>'Returns per Gal.'!AQ59</f>
        <v>8.3059822602759015E-2</v>
      </c>
      <c r="AS52" s="52"/>
      <c r="AU52" s="177">
        <f>'Returns per Bu.'!G59</f>
        <v>3.6221590909090908</v>
      </c>
      <c r="AV52" s="166">
        <f>'Returns per Bu.'!N59</f>
        <v>5.1859693181818169</v>
      </c>
      <c r="AW52" s="166">
        <f>'Returns per Bu.'!O59</f>
        <v>3.3789381836363628</v>
      </c>
      <c r="AX52" s="169">
        <f>'Returns per Bu.'!Z59</f>
        <v>-7.4063959993397294E-2</v>
      </c>
      <c r="AY52" s="162">
        <f>'Returns per Bu.'!AF59</f>
        <v>3.3854385964912277</v>
      </c>
      <c r="AZ52" s="165" t="e">
        <f>'Returns per Bu.'!#REF!</f>
        <v>#REF!</v>
      </c>
      <c r="BA52" s="15">
        <f t="shared" si="0"/>
        <v>2.3561988304093564</v>
      </c>
      <c r="BB52" s="93">
        <f>'Returns per Bu.'!AD59</f>
        <v>1.0292397660818713</v>
      </c>
      <c r="BC52" s="93">
        <f t="shared" si="2"/>
        <v>0.82673643172258116</v>
      </c>
      <c r="BD52" s="93"/>
    </row>
    <row r="53" spans="1:56" hidden="1" x14ac:dyDescent="0.2">
      <c r="A53" s="8">
        <v>39904</v>
      </c>
      <c r="C53" s="53"/>
      <c r="D53" s="93">
        <v>1.4981818181818185</v>
      </c>
      <c r="E53" s="95">
        <v>119.94318181818181</v>
      </c>
      <c r="F53" s="323"/>
      <c r="G53" s="93">
        <v>3.7570454545454526</v>
      </c>
      <c r="H53" s="96">
        <v>5.6</v>
      </c>
      <c r="I53" s="85">
        <f>'Returns per Gal.'!H60</f>
        <v>0</v>
      </c>
      <c r="J53" s="16"/>
      <c r="K53" s="93">
        <f>'Returns per Gal.'!J60</f>
        <v>1.4981818181818185</v>
      </c>
      <c r="L53" s="93">
        <f>'Returns per Gal.'!K60</f>
        <v>0.35562101275917057</v>
      </c>
      <c r="M53" s="93"/>
      <c r="N53" s="93">
        <f>'Returns per Gal.'!M60</f>
        <v>1.8538028309409891</v>
      </c>
      <c r="O53" s="85">
        <f>'Returns per Gal.'!N60</f>
        <v>0</v>
      </c>
      <c r="P53" s="16">
        <f>'Returns per Gal.'!O60</f>
        <v>0</v>
      </c>
      <c r="Q53" s="93">
        <f>'Returns per Gal.'!P60</f>
        <v>1.3182615629984045</v>
      </c>
      <c r="R53" s="93">
        <f>'Returns per Gal.'!Q60</f>
        <v>0.16800000000000001</v>
      </c>
      <c r="S53" s="93">
        <f>'Returns per Gal.'!R60</f>
        <v>0.21939999999999998</v>
      </c>
      <c r="T53" s="93">
        <f>'Returns per Gal.'!S60</f>
        <v>1.7056615629984044</v>
      </c>
      <c r="U53" s="93">
        <f>'Returns per Gal.'!T60</f>
        <v>0.19624601212121212</v>
      </c>
      <c r="V53" s="93">
        <f>'Returns per Gal.'!U60</f>
        <v>1.9019075751196166</v>
      </c>
      <c r="W53" s="93">
        <f>'Returns per Gal.'!V60</f>
        <v>1.546286562360446</v>
      </c>
      <c r="X53" s="105"/>
      <c r="Y53" s="93">
        <f>'Returns per Gal.'!V60</f>
        <v>1.546286562360446</v>
      </c>
      <c r="Z53" s="93">
        <f>'Returns per Gal.'!Y60</f>
        <v>0.32904126794258459</v>
      </c>
      <c r="AA53" s="93">
        <f>'Returns per Gal.'!Z60</f>
        <v>0.14814126794258464</v>
      </c>
      <c r="AB53" s="93">
        <f>'Returns per Gal.'!AA60</f>
        <v>-4.8104744178627534E-2</v>
      </c>
      <c r="AC53" s="80">
        <f>'Returns per Gal.'!AB60</f>
        <v>0</v>
      </c>
      <c r="AD53" s="15">
        <f>'Returns per Gal.'!AC60</f>
        <v>0</v>
      </c>
      <c r="AE53" s="81">
        <f>'Returns per Gal.'!AD60</f>
        <v>0</v>
      </c>
      <c r="AF53" s="93">
        <f>'Returns per Gal.'!AE60</f>
        <v>0.36113676002872674</v>
      </c>
      <c r="AG53" s="93">
        <f>'Returns per Gal.'!AF60</f>
        <v>0.82673643172258116</v>
      </c>
      <c r="AH53" s="93">
        <f>'Returns per Gal.'!AG60</f>
        <v>1.1878731917513079</v>
      </c>
      <c r="AI53" s="105">
        <f>'Returns per Gal.'!AH60</f>
        <v>0</v>
      </c>
      <c r="AJ53" s="104">
        <f>'Returns per Gal.'!AI60</f>
        <v>0</v>
      </c>
      <c r="AK53" s="93">
        <f>'Returns per Gal.'!AJ60</f>
        <v>1.5752731917513079</v>
      </c>
      <c r="AL53" s="93">
        <f>'Returns per Gal.'!AK60</f>
        <v>1.77151920387252</v>
      </c>
      <c r="AM53" s="105">
        <f>'Returns per Gal.'!AL60</f>
        <v>0</v>
      </c>
      <c r="AN53" s="104"/>
      <c r="AO53" s="93">
        <f>'Returns per Gal.'!AN60</f>
        <v>0.27852963918968121</v>
      </c>
      <c r="AP53" s="93">
        <f>'Returns per Gal.'!AO60</f>
        <v>8.2283627068469034E-2</v>
      </c>
      <c r="AQ53" s="93">
        <f>'Returns per Gal.'!AP60</f>
        <v>-4.8104744178627534E-2</v>
      </c>
      <c r="AR53" s="93">
        <f>'Returns per Gal.'!AQ60</f>
        <v>0.13038837124709657</v>
      </c>
      <c r="AS53" s="52"/>
      <c r="AU53" s="177">
        <f>'Returns per Bu.'!G60</f>
        <v>3.7570454545454526</v>
      </c>
      <c r="AV53" s="166">
        <f>'Returns per Bu.'!N60</f>
        <v>5.2833380681818189</v>
      </c>
      <c r="AW53" s="166">
        <f>'Returns per Bu.'!O60</f>
        <v>3.6199469336363652</v>
      </c>
      <c r="AX53" s="169">
        <f>'Returns per Bu.'!Z60</f>
        <v>-4.174829985474339E-2</v>
      </c>
      <c r="AY53" s="162">
        <f>'Returns per Bu.'!AF60</f>
        <v>3.3854385964912277</v>
      </c>
      <c r="AZ53" s="165" t="e">
        <f>'Returns per Bu.'!#REF!</f>
        <v>#REF!</v>
      </c>
      <c r="BA53" s="15">
        <f t="shared" si="0"/>
        <v>2.3561988304093564</v>
      </c>
      <c r="BB53" s="93">
        <f>'Returns per Bu.'!AD60</f>
        <v>1.0292397660818713</v>
      </c>
      <c r="BC53" s="93">
        <f t="shared" si="2"/>
        <v>0.82673643172258116</v>
      </c>
      <c r="BD53" s="93"/>
    </row>
    <row r="54" spans="1:56" hidden="1" x14ac:dyDescent="0.2">
      <c r="A54" s="8">
        <v>39934</v>
      </c>
      <c r="C54" s="53"/>
      <c r="D54" s="93">
        <v>1.56</v>
      </c>
      <c r="E54" s="95">
        <v>128.71250000000001</v>
      </c>
      <c r="F54" s="323"/>
      <c r="G54" s="93">
        <v>3.9796249999999995</v>
      </c>
      <c r="H54" s="96">
        <v>4.84</v>
      </c>
      <c r="I54" s="85">
        <f>'Returns per Gal.'!H61</f>
        <v>0</v>
      </c>
      <c r="J54" s="16"/>
      <c r="K54" s="93">
        <f>'Returns per Gal.'!J61</f>
        <v>1.56</v>
      </c>
      <c r="L54" s="93">
        <f>'Returns per Gal.'!K61</f>
        <v>0.38162127192982453</v>
      </c>
      <c r="M54" s="93"/>
      <c r="N54" s="93">
        <f>'Returns per Gal.'!M61</f>
        <v>1.9416212719298245</v>
      </c>
      <c r="O54" s="85">
        <f>'Returns per Gal.'!N61</f>
        <v>0</v>
      </c>
      <c r="P54" s="16">
        <f>'Returns per Gal.'!O61</f>
        <v>0</v>
      </c>
      <c r="Q54" s="93">
        <f>'Returns per Gal.'!P61</f>
        <v>1.3963596491228067</v>
      </c>
      <c r="R54" s="93">
        <f>'Returns per Gal.'!Q61</f>
        <v>0.1452</v>
      </c>
      <c r="S54" s="93">
        <f>'Returns per Gal.'!R61</f>
        <v>0.21939999999999998</v>
      </c>
      <c r="T54" s="93">
        <f>'Returns per Gal.'!S61</f>
        <v>1.7609596491228068</v>
      </c>
      <c r="U54" s="93">
        <f>'Returns per Gal.'!T61</f>
        <v>0.19624601212121212</v>
      </c>
      <c r="V54" s="93">
        <f>'Returns per Gal.'!U61</f>
        <v>1.957205661244019</v>
      </c>
      <c r="W54" s="93">
        <f>'Returns per Gal.'!V61</f>
        <v>1.5755843893141943</v>
      </c>
      <c r="X54" s="105"/>
      <c r="Y54" s="93">
        <f>'Returns per Gal.'!V61</f>
        <v>1.5755843893141943</v>
      </c>
      <c r="Z54" s="93">
        <f>'Returns per Gal.'!Y61</f>
        <v>0.36156162280701776</v>
      </c>
      <c r="AA54" s="93">
        <f>'Returns per Gal.'!Z61</f>
        <v>0.1806616228070177</v>
      </c>
      <c r="AB54" s="93">
        <f>'Returns per Gal.'!AA61</f>
        <v>-1.558438931419448E-2</v>
      </c>
      <c r="AC54" s="80">
        <f>'Returns per Gal.'!AB61</f>
        <v>0</v>
      </c>
      <c r="AD54" s="15">
        <f>'Returns per Gal.'!AC61</f>
        <v>0</v>
      </c>
      <c r="AE54" s="81">
        <f>'Returns per Gal.'!AD61</f>
        <v>0</v>
      </c>
      <c r="AF54" s="93">
        <f>'Returns per Gal.'!AE61</f>
        <v>0.36113676002872674</v>
      </c>
      <c r="AG54" s="93">
        <f>'Returns per Gal.'!AF61</f>
        <v>0.82673643172258116</v>
      </c>
      <c r="AH54" s="93">
        <f>'Returns per Gal.'!AG61</f>
        <v>1.1878731917513079</v>
      </c>
      <c r="AI54" s="105">
        <f>'Returns per Gal.'!AH61</f>
        <v>0</v>
      </c>
      <c r="AJ54" s="104">
        <f>'Returns per Gal.'!AI61</f>
        <v>0</v>
      </c>
      <c r="AK54" s="93">
        <f>'Returns per Gal.'!AJ61</f>
        <v>1.5524731917513079</v>
      </c>
      <c r="AL54" s="93">
        <f>'Returns per Gal.'!AK61</f>
        <v>1.7487192038725201</v>
      </c>
      <c r="AM54" s="105">
        <f>'Returns per Gal.'!AL61</f>
        <v>0</v>
      </c>
      <c r="AN54" s="104"/>
      <c r="AO54" s="93">
        <f>'Returns per Gal.'!AN61</f>
        <v>0.38914808017851654</v>
      </c>
      <c r="AP54" s="93">
        <f>'Returns per Gal.'!AO61</f>
        <v>0.19290206805730437</v>
      </c>
      <c r="AQ54" s="93">
        <f>'Returns per Gal.'!AP61</f>
        <v>-1.558438931419448E-2</v>
      </c>
      <c r="AR54" s="93">
        <f>'Returns per Gal.'!AQ61</f>
        <v>0.20848645737149885</v>
      </c>
      <c r="AS54" s="52"/>
      <c r="AU54" s="177">
        <f>'Returns per Bu.'!G61</f>
        <v>3.9796249999999995</v>
      </c>
      <c r="AV54" s="166">
        <f>'Returns per Bu.'!N61</f>
        <v>5.5336206250000011</v>
      </c>
      <c r="AW54" s="166">
        <f>'Returns per Bu.'!O61</f>
        <v>3.9352094904545467</v>
      </c>
      <c r="AX54" s="169">
        <f>'Returns per Bu.'!Z61</f>
        <v>-1.3525105875754739E-2</v>
      </c>
      <c r="AY54" s="162">
        <f>'Returns per Bu.'!AF61</f>
        <v>3.3854385964912277</v>
      </c>
      <c r="AZ54" s="165" t="e">
        <f>'Returns per Bu.'!#REF!</f>
        <v>#REF!</v>
      </c>
      <c r="BA54" s="15">
        <f t="shared" si="0"/>
        <v>2.3561988304093564</v>
      </c>
      <c r="BB54" s="93">
        <f>'Returns per Bu.'!AD61</f>
        <v>1.0292397660818713</v>
      </c>
      <c r="BC54" s="93">
        <f t="shared" si="2"/>
        <v>0.82673643172258116</v>
      </c>
      <c r="BD54" s="93"/>
    </row>
    <row r="55" spans="1:56" hidden="1" x14ac:dyDescent="0.2">
      <c r="A55" s="8">
        <v>39965</v>
      </c>
      <c r="C55" s="53"/>
      <c r="D55" s="93">
        <v>1.6725000000000001</v>
      </c>
      <c r="E55" s="95">
        <v>137.32954545454547</v>
      </c>
      <c r="F55" s="323"/>
      <c r="G55" s="93">
        <v>3.9137499999999998</v>
      </c>
      <c r="H55" s="96">
        <v>4.57</v>
      </c>
      <c r="I55" s="85">
        <f>'Returns per Gal.'!H62</f>
        <v>0</v>
      </c>
      <c r="J55" s="16"/>
      <c r="K55" s="93">
        <f>'Returns per Gal.'!J62</f>
        <v>1.6725000000000001</v>
      </c>
      <c r="L55" s="93">
        <f>'Returns per Gal.'!K62</f>
        <v>0.40717005582137156</v>
      </c>
      <c r="M55" s="93"/>
      <c r="N55" s="93">
        <f>'Returns per Gal.'!M62</f>
        <v>2.0796700558213717</v>
      </c>
      <c r="O55" s="85">
        <f>'Returns per Gal.'!N62</f>
        <v>0</v>
      </c>
      <c r="P55" s="16">
        <f>'Returns per Gal.'!O62</f>
        <v>0</v>
      </c>
      <c r="Q55" s="93">
        <f>'Returns per Gal.'!P62</f>
        <v>1.3732456140350877</v>
      </c>
      <c r="R55" s="93">
        <f>'Returns per Gal.'!Q62</f>
        <v>0.1371</v>
      </c>
      <c r="S55" s="93">
        <f>'Returns per Gal.'!R62</f>
        <v>0.21939999999999998</v>
      </c>
      <c r="T55" s="93">
        <f>'Returns per Gal.'!S62</f>
        <v>1.7297456140350878</v>
      </c>
      <c r="U55" s="93">
        <f>'Returns per Gal.'!T62</f>
        <v>0.19624601212121212</v>
      </c>
      <c r="V55" s="93">
        <f>'Returns per Gal.'!U62</f>
        <v>1.9259916261562999</v>
      </c>
      <c r="W55" s="93">
        <f>'Returns per Gal.'!V62</f>
        <v>1.5188215703349284</v>
      </c>
      <c r="X55" s="105"/>
      <c r="Y55" s="93">
        <f>'Returns per Gal.'!V62</f>
        <v>1.5188215703349284</v>
      </c>
      <c r="Z55" s="93">
        <f>'Returns per Gal.'!Y62</f>
        <v>0.53082444178628396</v>
      </c>
      <c r="AA55" s="93">
        <f>'Returns per Gal.'!Z62</f>
        <v>0.3499244417862839</v>
      </c>
      <c r="AB55" s="93">
        <f>'Returns per Gal.'!AA62</f>
        <v>0.15367842966507173</v>
      </c>
      <c r="AC55" s="80">
        <f>'Returns per Gal.'!AB62</f>
        <v>0</v>
      </c>
      <c r="AD55" s="15">
        <f>'Returns per Gal.'!AC62</f>
        <v>0</v>
      </c>
      <c r="AE55" s="81">
        <f>'Returns per Gal.'!AD62</f>
        <v>0</v>
      </c>
      <c r="AF55" s="93">
        <f>'Returns per Gal.'!AE62</f>
        <v>0.36113676002872674</v>
      </c>
      <c r="AG55" s="93">
        <f>'Returns per Gal.'!AF62</f>
        <v>0.82673643172258116</v>
      </c>
      <c r="AH55" s="93">
        <f>'Returns per Gal.'!AG62</f>
        <v>1.1878731917513079</v>
      </c>
      <c r="AI55" s="105">
        <f>'Returns per Gal.'!AH62</f>
        <v>0</v>
      </c>
      <c r="AJ55" s="104">
        <f>'Returns per Gal.'!AI62</f>
        <v>0</v>
      </c>
      <c r="AK55" s="93">
        <f>'Returns per Gal.'!AJ62</f>
        <v>1.5443731917513079</v>
      </c>
      <c r="AL55" s="93">
        <f>'Returns per Gal.'!AK62</f>
        <v>1.7406192038725201</v>
      </c>
      <c r="AM55" s="105">
        <f>'Returns per Gal.'!AL62</f>
        <v>0</v>
      </c>
      <c r="AN55" s="104"/>
      <c r="AO55" s="93">
        <f>'Returns per Gal.'!AN62</f>
        <v>0.53529686407006372</v>
      </c>
      <c r="AP55" s="93">
        <f>'Returns per Gal.'!AO62</f>
        <v>0.33905085194885154</v>
      </c>
      <c r="AQ55" s="93">
        <f>'Returns per Gal.'!AP62</f>
        <v>0.15367842966507173</v>
      </c>
      <c r="AR55" s="93">
        <f>'Returns per Gal.'!AQ62</f>
        <v>0.18537242228377981</v>
      </c>
      <c r="AS55" s="52"/>
      <c r="AU55" s="177">
        <f>'Returns per Bu.'!G62</f>
        <v>3.9137499999999998</v>
      </c>
      <c r="AV55" s="166">
        <f>'Returns per Bu.'!N62</f>
        <v>5.9270596590909097</v>
      </c>
      <c r="AW55" s="166">
        <f>'Returns per Bu.'!O62</f>
        <v>4.3517335245454554</v>
      </c>
      <c r="AX55" s="169">
        <f>'Returns per Bu.'!Z62</f>
        <v>0.13337173437696118</v>
      </c>
      <c r="AY55" s="162">
        <f>'Returns per Bu.'!AF62</f>
        <v>3.3854385964912277</v>
      </c>
      <c r="AZ55" s="165" t="e">
        <f>'Returns per Bu.'!#REF!</f>
        <v>#REF!</v>
      </c>
      <c r="BA55" s="15">
        <f t="shared" si="0"/>
        <v>2.3561988304093564</v>
      </c>
      <c r="BB55" s="93">
        <f>'Returns per Bu.'!AD62</f>
        <v>1.0292397660818713</v>
      </c>
      <c r="BC55" s="93">
        <f t="shared" si="2"/>
        <v>0.82673643172258116</v>
      </c>
      <c r="BD55" s="93"/>
    </row>
    <row r="56" spans="1:56" hidden="1" x14ac:dyDescent="0.2">
      <c r="A56" s="8">
        <v>39995</v>
      </c>
      <c r="C56" s="53"/>
      <c r="D56" s="93">
        <v>1.5884782608695653</v>
      </c>
      <c r="E56" s="95">
        <v>90.806818181818187</v>
      </c>
      <c r="F56" s="323"/>
      <c r="G56" s="93">
        <v>3.0752272727272749</v>
      </c>
      <c r="H56" s="96">
        <v>4.55</v>
      </c>
      <c r="I56" s="85">
        <f>'Returns per Gal.'!H63</f>
        <v>0</v>
      </c>
      <c r="J56" s="16"/>
      <c r="K56" s="93">
        <f>'Returns per Gal.'!J63</f>
        <v>1.5884782608695653</v>
      </c>
      <c r="L56" s="93">
        <f>'Returns per Gal.'!K63</f>
        <v>0.26923425039872406</v>
      </c>
      <c r="M56" s="93"/>
      <c r="N56" s="93">
        <f>'Returns per Gal.'!M63</f>
        <v>1.8577125112682893</v>
      </c>
      <c r="O56" s="85">
        <f>'Returns per Gal.'!N63</f>
        <v>0</v>
      </c>
      <c r="P56" s="16">
        <f>'Returns per Gal.'!O63</f>
        <v>0</v>
      </c>
      <c r="Q56" s="93">
        <f>'Returns per Gal.'!P63</f>
        <v>1.0790271132376403</v>
      </c>
      <c r="R56" s="93">
        <f>'Returns per Gal.'!Q63</f>
        <v>0.13650000000000001</v>
      </c>
      <c r="S56" s="93">
        <f>'Returns per Gal.'!R63</f>
        <v>0.21939999999999998</v>
      </c>
      <c r="T56" s="93">
        <f>'Returns per Gal.'!S63</f>
        <v>1.4349271132376404</v>
      </c>
      <c r="U56" s="93">
        <f>'Returns per Gal.'!T63</f>
        <v>0.19624601212121212</v>
      </c>
      <c r="V56" s="93">
        <f>'Returns per Gal.'!U63</f>
        <v>1.6311731253588526</v>
      </c>
      <c r="W56" s="93">
        <f>'Returns per Gal.'!V63</f>
        <v>1.3619388749601287</v>
      </c>
      <c r="X56" s="105"/>
      <c r="Y56" s="93">
        <f>'Returns per Gal.'!V63</f>
        <v>1.3619388749601287</v>
      </c>
      <c r="Z56" s="93">
        <f>'Returns per Gal.'!Y63</f>
        <v>0.60368539803064891</v>
      </c>
      <c r="AA56" s="93">
        <f>'Returns per Gal.'!Z63</f>
        <v>0.42278539803064885</v>
      </c>
      <c r="AB56" s="93">
        <f>'Returns per Gal.'!AA63</f>
        <v>0.22653938590943667</v>
      </c>
      <c r="AC56" s="80">
        <f>'Returns per Gal.'!AB63</f>
        <v>0</v>
      </c>
      <c r="AD56" s="15">
        <f>'Returns per Gal.'!AC63</f>
        <v>0</v>
      </c>
      <c r="AE56" s="81">
        <f>'Returns per Gal.'!AD63</f>
        <v>0</v>
      </c>
      <c r="AF56" s="93">
        <f>'Returns per Gal.'!AE63</f>
        <v>0.36113676002872674</v>
      </c>
      <c r="AG56" s="93">
        <f>'Returns per Gal.'!AF63</f>
        <v>0.82673643172258116</v>
      </c>
      <c r="AH56" s="93">
        <f>'Returns per Gal.'!AG63</f>
        <v>1.1878731917513079</v>
      </c>
      <c r="AI56" s="105">
        <f>'Returns per Gal.'!AH63</f>
        <v>0</v>
      </c>
      <c r="AJ56" s="104">
        <f>'Returns per Gal.'!AI63</f>
        <v>0</v>
      </c>
      <c r="AK56" s="93">
        <f>'Returns per Gal.'!AJ63</f>
        <v>1.543773191751308</v>
      </c>
      <c r="AL56" s="93">
        <f>'Returns per Gal.'!AK63</f>
        <v>1.7400192038725202</v>
      </c>
      <c r="AM56" s="105">
        <f>'Returns per Gal.'!AL63</f>
        <v>0</v>
      </c>
      <c r="AN56" s="104"/>
      <c r="AO56" s="93">
        <f>'Returns per Gal.'!AN63</f>
        <v>0.31393931951698129</v>
      </c>
      <c r="AP56" s="93">
        <f>'Returns per Gal.'!AO63</f>
        <v>0.11769330739576911</v>
      </c>
      <c r="AQ56" s="93">
        <f>'Returns per Gal.'!AP63</f>
        <v>0.22653938590943667</v>
      </c>
      <c r="AR56" s="93">
        <f>'Returns per Gal.'!AQ63</f>
        <v>-0.10884607851366757</v>
      </c>
      <c r="AS56" s="52"/>
      <c r="AU56" s="177">
        <f>'Returns per Bu.'!G63</f>
        <v>3.0752272727272749</v>
      </c>
      <c r="AV56" s="166">
        <f>'Returns per Bu.'!N63</f>
        <v>5.294480657114625</v>
      </c>
      <c r="AW56" s="166">
        <f>'Returns per Bu.'!O63</f>
        <v>3.7208645225691712</v>
      </c>
      <c r="AX56" s="169">
        <f>'Returns per Bu.'!Z63</f>
        <v>0.1966050204266262</v>
      </c>
      <c r="AY56" s="162">
        <f>'Returns per Bu.'!AF63</f>
        <v>3.3854385964912277</v>
      </c>
      <c r="AZ56" s="165" t="e">
        <f>'Returns per Bu.'!#REF!</f>
        <v>#REF!</v>
      </c>
      <c r="BA56" s="15">
        <f t="shared" si="0"/>
        <v>2.3561988304093564</v>
      </c>
      <c r="BB56" s="93">
        <f>'Returns per Bu.'!AD63</f>
        <v>1.0292397660818713</v>
      </c>
      <c r="BC56" s="93">
        <f t="shared" si="2"/>
        <v>0.82673643172258116</v>
      </c>
      <c r="BD56" s="93"/>
    </row>
    <row r="57" spans="1:56" hidden="1" x14ac:dyDescent="0.2">
      <c r="A57" s="8">
        <v>40026</v>
      </c>
      <c r="C57" s="53"/>
      <c r="D57" s="93">
        <v>1.5345238095238098</v>
      </c>
      <c r="E57" s="95">
        <v>78.75</v>
      </c>
      <c r="F57" s="323"/>
      <c r="G57" s="93">
        <v>3.1445238095238102</v>
      </c>
      <c r="H57" s="96">
        <v>4.7300000000000004</v>
      </c>
      <c r="I57" s="85">
        <f>'Returns per Gal.'!H64</f>
        <v>0</v>
      </c>
      <c r="J57" s="16"/>
      <c r="K57" s="93">
        <f>'Returns per Gal.'!J64</f>
        <v>1.5345238095238098</v>
      </c>
      <c r="L57" s="93">
        <f>'Returns per Gal.'!K64</f>
        <v>0.2334868421052631</v>
      </c>
      <c r="M57" s="93"/>
      <c r="N57" s="93">
        <f>'Returns per Gal.'!M64</f>
        <v>1.768010651629073</v>
      </c>
      <c r="O57" s="85">
        <f>'Returns per Gal.'!N64</f>
        <v>0</v>
      </c>
      <c r="P57" s="16">
        <f>'Returns per Gal.'!O64</f>
        <v>0</v>
      </c>
      <c r="Q57" s="93">
        <f>'Returns per Gal.'!P64</f>
        <v>1.103341687552214</v>
      </c>
      <c r="R57" s="93">
        <f>'Returns per Gal.'!Q64</f>
        <v>0.14190000000000003</v>
      </c>
      <c r="S57" s="93">
        <f>'Returns per Gal.'!R64</f>
        <v>0.21939999999999998</v>
      </c>
      <c r="T57" s="93">
        <f>'Returns per Gal.'!S64</f>
        <v>1.4646416875522139</v>
      </c>
      <c r="U57" s="93">
        <f>'Returns per Gal.'!T64</f>
        <v>0.19624601212121212</v>
      </c>
      <c r="V57" s="93">
        <f>'Returns per Gal.'!U64</f>
        <v>1.6608876996734261</v>
      </c>
      <c r="W57" s="93">
        <f>'Returns per Gal.'!V64</f>
        <v>1.4274008575681629</v>
      </c>
      <c r="X57" s="105"/>
      <c r="Y57" s="93">
        <f>'Returns per Gal.'!V64</f>
        <v>1.4274008575681629</v>
      </c>
      <c r="Z57" s="93">
        <f>'Returns per Gal.'!Y64</f>
        <v>0.48426896407685904</v>
      </c>
      <c r="AA57" s="93">
        <f>'Returns per Gal.'!Z64</f>
        <v>0.30336896407685909</v>
      </c>
      <c r="AB57" s="93">
        <f>'Returns per Gal.'!AA64</f>
        <v>0.10712295195564692</v>
      </c>
      <c r="AC57" s="80">
        <f>'Returns per Gal.'!AB64</f>
        <v>0</v>
      </c>
      <c r="AD57" s="15">
        <f>'Returns per Gal.'!AC64</f>
        <v>0</v>
      </c>
      <c r="AE57" s="81">
        <f>'Returns per Gal.'!AD64</f>
        <v>0</v>
      </c>
      <c r="AF57" s="93">
        <f>'Returns per Gal.'!AE64</f>
        <v>0.36113676002872674</v>
      </c>
      <c r="AG57" s="93">
        <f>'Returns per Gal.'!AF64</f>
        <v>0.82673643172258116</v>
      </c>
      <c r="AH57" s="93">
        <f>'Returns per Gal.'!AG64</f>
        <v>1.1878731917513079</v>
      </c>
      <c r="AI57" s="105">
        <f>'Returns per Gal.'!AH64</f>
        <v>0</v>
      </c>
      <c r="AJ57" s="104">
        <f>'Returns per Gal.'!AI64</f>
        <v>0</v>
      </c>
      <c r="AK57" s="93">
        <f>'Returns per Gal.'!AJ64</f>
        <v>1.5491731917513081</v>
      </c>
      <c r="AL57" s="93">
        <f>'Returns per Gal.'!AK64</f>
        <v>1.7454192038725203</v>
      </c>
      <c r="AM57" s="105">
        <f>'Returns per Gal.'!AL64</f>
        <v>0</v>
      </c>
      <c r="AN57" s="104"/>
      <c r="AO57" s="93">
        <f>'Returns per Gal.'!AN64</f>
        <v>0.21883745987776493</v>
      </c>
      <c r="AP57" s="93">
        <f>'Returns per Gal.'!AO64</f>
        <v>2.2591447756552752E-2</v>
      </c>
      <c r="AQ57" s="93">
        <f>'Returns per Gal.'!AP64</f>
        <v>0.10712295195564669</v>
      </c>
      <c r="AR57" s="93">
        <f>'Returns per Gal.'!AQ64</f>
        <v>-8.4531504199093943E-2</v>
      </c>
      <c r="AS57" s="52"/>
      <c r="AU57" s="177">
        <f>'Returns per Bu.'!G64</f>
        <v>3.1445238095238102</v>
      </c>
      <c r="AV57" s="166">
        <f>'Returns per Bu.'!N64</f>
        <v>5.0388303571428583</v>
      </c>
      <c r="AW57" s="166">
        <f>'Returns per Bu.'!O64</f>
        <v>3.4498242225974041</v>
      </c>
      <c r="AX57" s="169">
        <f>'Returns per Bu.'!Z64</f>
        <v>9.296798467450558E-2</v>
      </c>
      <c r="AY57" s="162">
        <f>'Returns per Bu.'!AF64</f>
        <v>3.3854385964912277</v>
      </c>
      <c r="AZ57" s="165" t="e">
        <f>'Returns per Bu.'!#REF!</f>
        <v>#REF!</v>
      </c>
      <c r="BA57" s="15">
        <f t="shared" si="0"/>
        <v>2.3561988304093564</v>
      </c>
      <c r="BB57" s="93">
        <f>'Returns per Bu.'!AD64</f>
        <v>1.0292397660818713</v>
      </c>
      <c r="BC57" s="93">
        <f t="shared" si="2"/>
        <v>0.82673643172258116</v>
      </c>
      <c r="BD57" s="93"/>
    </row>
    <row r="58" spans="1:56" hidden="1" x14ac:dyDescent="0.2">
      <c r="A58" s="8">
        <v>40057</v>
      </c>
      <c r="C58" s="53"/>
      <c r="D58" s="93">
        <v>1.5390909090909093</v>
      </c>
      <c r="E58" s="95">
        <v>80.892857142857139</v>
      </c>
      <c r="F58" s="323"/>
      <c r="G58" s="93">
        <v>3.1452380952380952</v>
      </c>
      <c r="H58" s="96">
        <v>4.68</v>
      </c>
      <c r="I58" s="85">
        <f>'Returns per Gal.'!H65</f>
        <v>0</v>
      </c>
      <c r="J58" s="16"/>
      <c r="K58" s="93">
        <f>'Returns per Gal.'!J65</f>
        <v>1.5390909090909093</v>
      </c>
      <c r="L58" s="93">
        <f>'Returns per Gal.'!K65</f>
        <v>0.23984022556390974</v>
      </c>
      <c r="M58" s="93"/>
      <c r="N58" s="93">
        <f>'Returns per Gal.'!M65</f>
        <v>1.7789311346548191</v>
      </c>
      <c r="O58" s="85">
        <f>'Returns per Gal.'!N65</f>
        <v>0</v>
      </c>
      <c r="P58" s="16">
        <f>'Returns per Gal.'!O65</f>
        <v>0</v>
      </c>
      <c r="Q58" s="93">
        <f>'Returns per Gal.'!P65</f>
        <v>1.1035923141186299</v>
      </c>
      <c r="R58" s="93">
        <f>'Returns per Gal.'!Q65</f>
        <v>0.1404</v>
      </c>
      <c r="S58" s="93">
        <f>'Returns per Gal.'!R65</f>
        <v>0.21939999999999998</v>
      </c>
      <c r="T58" s="93">
        <f>'Returns per Gal.'!S65</f>
        <v>1.46339231411863</v>
      </c>
      <c r="U58" s="93">
        <f>'Returns per Gal.'!T65</f>
        <v>0.19624601212121212</v>
      </c>
      <c r="V58" s="93">
        <f>'Returns per Gal.'!U65</f>
        <v>1.6596383262398422</v>
      </c>
      <c r="W58" s="93">
        <f>'Returns per Gal.'!V65</f>
        <v>1.4197981006759324</v>
      </c>
      <c r="X58" s="105"/>
      <c r="Y58" s="93">
        <f>'Returns per Gal.'!V65</f>
        <v>1.4197981006759324</v>
      </c>
      <c r="Z58" s="93">
        <f>'Returns per Gal.'!Y65</f>
        <v>0.49643882053618926</v>
      </c>
      <c r="AA58" s="93">
        <f>'Returns per Gal.'!Z65</f>
        <v>0.31553882053618909</v>
      </c>
      <c r="AB58" s="93">
        <f>'Returns per Gal.'!AA65</f>
        <v>0.11929280841497691</v>
      </c>
      <c r="AC58" s="80">
        <f>'Returns per Gal.'!AB65</f>
        <v>0</v>
      </c>
      <c r="AD58" s="15">
        <f>'Returns per Gal.'!AC65</f>
        <v>0</v>
      </c>
      <c r="AE58" s="81">
        <f>'Returns per Gal.'!AD65</f>
        <v>0</v>
      </c>
      <c r="AF58" s="93">
        <f>'Returns per Gal.'!AE65</f>
        <v>0.35280508964719487</v>
      </c>
      <c r="AG58" s="93">
        <f>'Returns per Gal.'!AF65</f>
        <v>1.04112685560054</v>
      </c>
      <c r="AH58" s="93">
        <f>'Returns per Gal.'!AG65</f>
        <v>1.3939319452477348</v>
      </c>
      <c r="AI58" s="105">
        <f>'Returns per Gal.'!AH65</f>
        <v>0</v>
      </c>
      <c r="AJ58" s="104">
        <f>'Returns per Gal.'!AI65</f>
        <v>0</v>
      </c>
      <c r="AK58" s="93">
        <f>'Returns per Gal.'!AJ65</f>
        <v>1.7537319452477349</v>
      </c>
      <c r="AL58" s="93">
        <f>'Returns per Gal.'!AK65</f>
        <v>1.9499779573689471</v>
      </c>
      <c r="AM58" s="105">
        <f>'Returns per Gal.'!AL65</f>
        <v>0</v>
      </c>
      <c r="AN58" s="104"/>
      <c r="AO58" s="93">
        <f>'Returns per Gal.'!AN65</f>
        <v>2.519918940708421E-2</v>
      </c>
      <c r="AP58" s="93">
        <f>'Returns per Gal.'!AO65</f>
        <v>-0.17104682271412797</v>
      </c>
      <c r="AQ58" s="93">
        <f>'Returns per Gal.'!AP65</f>
        <v>0.11929280841497691</v>
      </c>
      <c r="AR58" s="93">
        <f>'Returns per Gal.'!AQ65</f>
        <v>-0.29033963112910488</v>
      </c>
      <c r="AS58" s="52"/>
      <c r="AU58" s="177">
        <f>'Returns per Bu.'!G65</f>
        <v>3.1452380952380952</v>
      </c>
      <c r="AV58" s="166">
        <f>'Returns per Bu.'!N65</f>
        <v>5.0699537337662344</v>
      </c>
      <c r="AW58" s="166">
        <f>'Returns per Bu.'!O65</f>
        <v>3.4852225992207804</v>
      </c>
      <c r="AX58" s="169">
        <f>'Returns per Bu.'!Z65</f>
        <v>0.10352974579242545</v>
      </c>
      <c r="AY58" s="162">
        <f>'Returns per Bu.'!AF65</f>
        <v>3.9727060439560442</v>
      </c>
      <c r="AZ58" s="165" t="e">
        <f>'Returns per Bu.'!#REF!</f>
        <v>#REF!</v>
      </c>
      <c r="BA58" s="15">
        <f t="shared" si="0"/>
        <v>2.9672115384615387</v>
      </c>
      <c r="BB58" s="93">
        <f>'Returns per Bu.'!AD65</f>
        <v>1.0054945054945055</v>
      </c>
      <c r="BC58" s="93">
        <f t="shared" si="2"/>
        <v>1.04112685560054</v>
      </c>
      <c r="BD58" s="93"/>
    </row>
    <row r="59" spans="1:56" hidden="1" x14ac:dyDescent="0.2">
      <c r="A59" s="8">
        <v>40087</v>
      </c>
      <c r="C59" s="53"/>
      <c r="D59" s="93">
        <v>1.7979545454545454</v>
      </c>
      <c r="E59" s="95">
        <v>104.98863636363636</v>
      </c>
      <c r="F59" s="323"/>
      <c r="G59" s="93">
        <v>3.6098863636363645</v>
      </c>
      <c r="H59" s="96">
        <v>4.84</v>
      </c>
      <c r="I59" s="85">
        <f>'Returns per Gal.'!H66</f>
        <v>0</v>
      </c>
      <c r="J59" s="16"/>
      <c r="K59" s="93">
        <f>'Returns per Gal.'!J66</f>
        <v>1.7979545454545454</v>
      </c>
      <c r="L59" s="93">
        <f>'Returns per Gal.'!K66</f>
        <v>0.31128209728867617</v>
      </c>
      <c r="M59" s="93"/>
      <c r="N59" s="93">
        <f>'Returns per Gal.'!M66</f>
        <v>2.1092366427432214</v>
      </c>
      <c r="O59" s="85">
        <f>'Returns per Gal.'!N66</f>
        <v>0</v>
      </c>
      <c r="P59" s="16">
        <f>'Returns per Gal.'!O66</f>
        <v>0</v>
      </c>
      <c r="Q59" s="93">
        <f>'Returns per Gal.'!P66</f>
        <v>1.2666267942583735</v>
      </c>
      <c r="R59" s="93">
        <f>'Returns per Gal.'!Q66</f>
        <v>0.1452</v>
      </c>
      <c r="S59" s="93">
        <f>'Returns per Gal.'!R66</f>
        <v>0.21939999999999998</v>
      </c>
      <c r="T59" s="93">
        <f>'Returns per Gal.'!S66</f>
        <v>1.6312267942583736</v>
      </c>
      <c r="U59" s="93">
        <f>'Returns per Gal.'!T66</f>
        <v>0.19624601212121212</v>
      </c>
      <c r="V59" s="93">
        <f>'Returns per Gal.'!U66</f>
        <v>1.8274728063795858</v>
      </c>
      <c r="W59" s="93">
        <f>'Returns per Gal.'!V66</f>
        <v>1.5161907090909095</v>
      </c>
      <c r="X59" s="105"/>
      <c r="Y59" s="93">
        <f>'Returns per Gal.'!V66</f>
        <v>1.5161907090909095</v>
      </c>
      <c r="Z59" s="93">
        <f>'Returns per Gal.'!Y66</f>
        <v>0.6589098484848479</v>
      </c>
      <c r="AA59" s="93">
        <f>'Returns per Gal.'!Z66</f>
        <v>0.47800984848484784</v>
      </c>
      <c r="AB59" s="93">
        <f>'Returns per Gal.'!AA66</f>
        <v>0.28176383636363567</v>
      </c>
      <c r="AC59" s="80">
        <f>'Returns per Gal.'!AB66</f>
        <v>0</v>
      </c>
      <c r="AD59" s="15">
        <f>'Returns per Gal.'!AC66</f>
        <v>0</v>
      </c>
      <c r="AE59" s="81">
        <f>'Returns per Gal.'!AD66</f>
        <v>0</v>
      </c>
      <c r="AF59" s="93">
        <f>'Returns per Gal.'!AE66</f>
        <v>0.35280508964719487</v>
      </c>
      <c r="AG59" s="93">
        <f>'Returns per Gal.'!AF66</f>
        <v>1.04112685560054</v>
      </c>
      <c r="AH59" s="93">
        <f>'Returns per Gal.'!AG66</f>
        <v>1.3939319452477348</v>
      </c>
      <c r="AI59" s="105">
        <f>'Returns per Gal.'!AH66</f>
        <v>0</v>
      </c>
      <c r="AJ59" s="104">
        <f>'Returns per Gal.'!AI66</f>
        <v>0</v>
      </c>
      <c r="AK59" s="93">
        <f>'Returns per Gal.'!AJ66</f>
        <v>1.7585319452477348</v>
      </c>
      <c r="AL59" s="93">
        <f>'Returns per Gal.'!AK66</f>
        <v>1.954777957368947</v>
      </c>
      <c r="AM59" s="105">
        <f>'Returns per Gal.'!AL66</f>
        <v>0</v>
      </c>
      <c r="AN59" s="104"/>
      <c r="AO59" s="93">
        <f>'Returns per Gal.'!AN66</f>
        <v>0.35070469749548661</v>
      </c>
      <c r="AP59" s="93">
        <f>'Returns per Gal.'!AO66</f>
        <v>0.15445868537427443</v>
      </c>
      <c r="AQ59" s="93">
        <f>'Returns per Gal.'!AP66</f>
        <v>0.28176383636363567</v>
      </c>
      <c r="AR59" s="93">
        <f>'Returns per Gal.'!AQ66</f>
        <v>-0.12730515098936124</v>
      </c>
      <c r="AS59" s="52"/>
      <c r="AU59" s="177">
        <f>'Returns per Bu.'!G66</f>
        <v>3.6098863636363645</v>
      </c>
      <c r="AV59" s="166">
        <f>'Returns per Bu.'!N66</f>
        <v>6.0113244318181813</v>
      </c>
      <c r="AW59" s="166">
        <f>'Returns per Bu.'!O66</f>
        <v>4.412913297272727</v>
      </c>
      <c r="AX59" s="169">
        <f>'Returns per Bu.'!Z66</f>
        <v>0.24453224582282015</v>
      </c>
      <c r="AY59" s="162">
        <f>'Returns per Bu.'!AF66</f>
        <v>3.9727060439560442</v>
      </c>
      <c r="AZ59" s="165" t="e">
        <f>'Returns per Bu.'!#REF!</f>
        <v>#REF!</v>
      </c>
      <c r="BA59" s="15">
        <f t="shared" si="0"/>
        <v>2.9672115384615387</v>
      </c>
      <c r="BB59" s="93">
        <f>'Returns per Bu.'!AD66</f>
        <v>1.0054945054945055</v>
      </c>
      <c r="BC59" s="93">
        <f t="shared" si="2"/>
        <v>1.04112685560054</v>
      </c>
      <c r="BD59" s="93"/>
    </row>
    <row r="60" spans="1:56" hidden="1" x14ac:dyDescent="0.2">
      <c r="A60" s="8">
        <v>40118</v>
      </c>
      <c r="C60" s="53"/>
      <c r="D60" s="93">
        <v>1.9832500000000011</v>
      </c>
      <c r="E60" s="95">
        <v>117.15</v>
      </c>
      <c r="F60" s="323"/>
      <c r="G60" s="93">
        <v>3.6488749999999994</v>
      </c>
      <c r="H60" s="96">
        <v>6.16</v>
      </c>
      <c r="I60" s="85">
        <f>'Returns per Gal.'!H67</f>
        <v>0</v>
      </c>
      <c r="J60" s="16"/>
      <c r="K60" s="93">
        <f>'Returns per Gal.'!J67</f>
        <v>1.9832500000000011</v>
      </c>
      <c r="L60" s="93">
        <f>'Returns per Gal.'!K67</f>
        <v>0.34733947368421053</v>
      </c>
      <c r="M60" s="93"/>
      <c r="N60" s="93">
        <f>'Returns per Gal.'!M67</f>
        <v>2.3305894736842117</v>
      </c>
      <c r="O60" s="85">
        <f>'Returns per Gal.'!N67</f>
        <v>0</v>
      </c>
      <c r="P60" s="16">
        <f>'Returns per Gal.'!O67</f>
        <v>0</v>
      </c>
      <c r="Q60" s="93">
        <f>'Returns per Gal.'!P67</f>
        <v>1.2803070175438593</v>
      </c>
      <c r="R60" s="93">
        <f>'Returns per Gal.'!Q67</f>
        <v>0.18480000000000002</v>
      </c>
      <c r="S60" s="93">
        <f>'Returns per Gal.'!R67</f>
        <v>0.21939999999999998</v>
      </c>
      <c r="T60" s="93">
        <f>'Returns per Gal.'!S67</f>
        <v>1.6845070175438595</v>
      </c>
      <c r="U60" s="93">
        <f>'Returns per Gal.'!T67</f>
        <v>0.19624601212121212</v>
      </c>
      <c r="V60" s="93">
        <f>'Returns per Gal.'!U67</f>
        <v>1.8807530296650716</v>
      </c>
      <c r="W60" s="93">
        <f>'Returns per Gal.'!V67</f>
        <v>1.533413555980861</v>
      </c>
      <c r="X60" s="105"/>
      <c r="Y60" s="93">
        <f>'Returns per Gal.'!V67</f>
        <v>1.533413555980861</v>
      </c>
      <c r="Z60" s="93">
        <f>'Returns per Gal.'!Y67</f>
        <v>0.82698245614035226</v>
      </c>
      <c r="AA60" s="93">
        <f>'Returns per Gal.'!Z67</f>
        <v>0.6460824561403522</v>
      </c>
      <c r="AB60" s="93">
        <f>'Returns per Gal.'!AA67</f>
        <v>0.44983644401914002</v>
      </c>
      <c r="AC60" s="80">
        <f>'Returns per Gal.'!AB67</f>
        <v>0</v>
      </c>
      <c r="AD60" s="17">
        <f>'Returns per Gal.'!AC67</f>
        <v>0</v>
      </c>
      <c r="AE60" s="81">
        <f>'Returns per Gal.'!AD67</f>
        <v>0</v>
      </c>
      <c r="AF60" s="93">
        <f>'Returns per Gal.'!AE67</f>
        <v>0.35280508964719487</v>
      </c>
      <c r="AG60" s="93">
        <f>'Returns per Gal.'!AF67</f>
        <v>1.04112685560054</v>
      </c>
      <c r="AH60" s="93">
        <f>'Returns per Gal.'!AG67</f>
        <v>1.3939319452477348</v>
      </c>
      <c r="AI60" s="105">
        <f>'Returns per Gal.'!AH67</f>
        <v>0</v>
      </c>
      <c r="AJ60" s="104">
        <f>'Returns per Gal.'!AI67</f>
        <v>0</v>
      </c>
      <c r="AK60" s="93">
        <f>'Returns per Gal.'!AJ67</f>
        <v>1.7981319452477349</v>
      </c>
      <c r="AL60" s="93">
        <f>'Returns per Gal.'!AK67</f>
        <v>1.9943779573689471</v>
      </c>
      <c r="AM60" s="105">
        <f>'Returns per Gal.'!AL67</f>
        <v>0</v>
      </c>
      <c r="AN60" s="104"/>
      <c r="AO60" s="93">
        <f>'Returns per Gal.'!AN67</f>
        <v>0.53245752843647676</v>
      </c>
      <c r="AP60" s="93">
        <f>'Returns per Gal.'!AO67</f>
        <v>0.33621151631526458</v>
      </c>
      <c r="AQ60" s="93">
        <f>'Returns per Gal.'!AP67</f>
        <v>0.44983644401914002</v>
      </c>
      <c r="AR60" s="93">
        <f>'Returns per Gal.'!AQ67</f>
        <v>-0.11362492770387544</v>
      </c>
      <c r="AS60" s="52"/>
      <c r="AU60" s="177">
        <f>'Returns per Bu.'!G67</f>
        <v>3.6488749999999994</v>
      </c>
      <c r="AV60" s="166">
        <f>'Returns per Bu.'!N67</f>
        <v>6.6421800000000033</v>
      </c>
      <c r="AW60" s="166">
        <f>'Returns per Bu.'!O67</f>
        <v>4.9309088654545494</v>
      </c>
      <c r="AX60" s="169">
        <f>'Returns per Bu.'!Z67</f>
        <v>0.39039614639186543</v>
      </c>
      <c r="AY60" s="162">
        <f>'Returns per Bu.'!AF67</f>
        <v>3.9727060439560442</v>
      </c>
      <c r="AZ60" s="165" t="e">
        <f>'Returns per Bu.'!#REF!</f>
        <v>#REF!</v>
      </c>
      <c r="BA60" s="15">
        <f t="shared" si="0"/>
        <v>2.9672115384615387</v>
      </c>
      <c r="BB60" s="93">
        <f>'Returns per Bu.'!AD67</f>
        <v>1.0054945054945055</v>
      </c>
      <c r="BC60" s="93">
        <f t="shared" si="2"/>
        <v>1.04112685560054</v>
      </c>
      <c r="BD60" s="93"/>
    </row>
    <row r="61" spans="1:56" hidden="1" x14ac:dyDescent="0.2">
      <c r="A61" s="68">
        <v>40148</v>
      </c>
      <c r="B61" s="70"/>
      <c r="C61" s="67"/>
      <c r="D61" s="97">
        <v>1.9576086956521745</v>
      </c>
      <c r="E61" s="99">
        <v>111.77272727272727</v>
      </c>
      <c r="F61" s="324"/>
      <c r="G61" s="97">
        <v>3.6548863636363644</v>
      </c>
      <c r="H61" s="100">
        <v>6.79</v>
      </c>
      <c r="I61" s="71"/>
      <c r="J61" s="86"/>
      <c r="K61" s="97">
        <f>'Returns per Gal.'!J68</f>
        <v>1.9576086956521745</v>
      </c>
      <c r="L61" s="97">
        <f>'Returns per Gal.'!K68</f>
        <v>0.33139633173843691</v>
      </c>
      <c r="M61" s="97"/>
      <c r="N61" s="97">
        <f>'Returns per Gal.'!M68</f>
        <v>2.2890050273906115</v>
      </c>
      <c r="O61" s="87">
        <f>'Returns per Gal.'!N68</f>
        <v>0</v>
      </c>
      <c r="P61" s="71">
        <f>'Returns per Gal.'!O68</f>
        <v>0</v>
      </c>
      <c r="Q61" s="97">
        <f>'Returns per Gal.'!P68</f>
        <v>1.2824162679425839</v>
      </c>
      <c r="R61" s="97">
        <f>'Returns per Gal.'!Q68</f>
        <v>0.20369999999999999</v>
      </c>
      <c r="S61" s="97">
        <f>'Returns per Gal.'!R68</f>
        <v>0.21939999999999998</v>
      </c>
      <c r="T61" s="97">
        <f>'Returns per Gal.'!S68</f>
        <v>1.7055162679425839</v>
      </c>
      <c r="U61" s="97">
        <f>'Returns per Gal.'!T68</f>
        <v>0.19624601212121212</v>
      </c>
      <c r="V61" s="97">
        <f>'Returns per Gal.'!U68</f>
        <v>1.9017622800637961</v>
      </c>
      <c r="W61" s="97">
        <f>'Returns per Gal.'!V68</f>
        <v>1.5703659483253591</v>
      </c>
      <c r="X61" s="107"/>
      <c r="Y61" s="97">
        <f>'Returns per Gal.'!V68</f>
        <v>1.5703659483253591</v>
      </c>
      <c r="Z61" s="97">
        <f>'Returns per Gal.'!Y68</f>
        <v>0.76438875944802764</v>
      </c>
      <c r="AA61" s="97">
        <f>'Returns per Gal.'!Z68</f>
        <v>0.58348875944802758</v>
      </c>
      <c r="AB61" s="97">
        <f>'Returns per Gal.'!AA68</f>
        <v>0.38724274732681541</v>
      </c>
      <c r="AC61" s="82">
        <f>'Returns per Gal.'!AB68</f>
        <v>0</v>
      </c>
      <c r="AD61" s="65">
        <f>'Returns per Gal.'!AC68</f>
        <v>0</v>
      </c>
      <c r="AE61" s="83">
        <f>'Returns per Gal.'!AD68</f>
        <v>0</v>
      </c>
      <c r="AF61" s="97">
        <f>'Returns per Gal.'!AE68</f>
        <v>0.35280508964719487</v>
      </c>
      <c r="AG61" s="97">
        <f>'Returns per Gal.'!AF68</f>
        <v>1.04112685560054</v>
      </c>
      <c r="AH61" s="97">
        <f>'Returns per Gal.'!AG68</f>
        <v>1.3939319452477348</v>
      </c>
      <c r="AI61" s="107">
        <f>'Returns per Gal.'!AH68</f>
        <v>0</v>
      </c>
      <c r="AJ61" s="106">
        <f>'Returns per Gal.'!AI68</f>
        <v>0</v>
      </c>
      <c r="AK61" s="97">
        <f>'Returns per Gal.'!AJ68</f>
        <v>1.8170319452477348</v>
      </c>
      <c r="AL61" s="97">
        <f>'Returns per Gal.'!AK68</f>
        <v>2.0132779573689468</v>
      </c>
      <c r="AM61" s="107">
        <f>'Returns per Gal.'!AL68</f>
        <v>0</v>
      </c>
      <c r="AN61" s="106"/>
      <c r="AO61" s="97">
        <f>'Returns per Gal.'!AN68</f>
        <v>0.4719730821428767</v>
      </c>
      <c r="AP61" s="97">
        <f>'Returns per Gal.'!AO68</f>
        <v>0.27572707002166474</v>
      </c>
      <c r="AQ61" s="97">
        <f>'Returns per Gal.'!AP68</f>
        <v>0.38724274732681563</v>
      </c>
      <c r="AR61" s="97">
        <f>'Returns per Gal.'!AQ68</f>
        <v>-0.11151567730515088</v>
      </c>
      <c r="AS61" s="64"/>
      <c r="AU61" s="178">
        <f>'Returns per Bu.'!G68</f>
        <v>3.6548863636363644</v>
      </c>
      <c r="AV61" s="167">
        <f>'Returns per Bu.'!N68</f>
        <v>6.5236643280632425</v>
      </c>
      <c r="AW61" s="167">
        <f>'Returns per Bu.'!O68</f>
        <v>4.7585281935177886</v>
      </c>
      <c r="AX61" s="170">
        <f>'Returns per Bu.'!Z68</f>
        <v>0.33607342909760995</v>
      </c>
      <c r="AY61" s="163">
        <f>'Returns per Bu.'!AF68</f>
        <v>3.9727060439560442</v>
      </c>
      <c r="AZ61" s="164" t="e">
        <f>'Returns per Bu.'!#REF!</f>
        <v>#REF!</v>
      </c>
      <c r="BA61" s="15">
        <f t="shared" si="0"/>
        <v>2.9672115384615387</v>
      </c>
      <c r="BB61" s="93">
        <f>'Returns per Bu.'!AD68</f>
        <v>1.0054945054945055</v>
      </c>
      <c r="BC61" s="93">
        <f t="shared" si="2"/>
        <v>1.04112685560054</v>
      </c>
      <c r="BD61" s="93"/>
    </row>
    <row r="62" spans="1:56" hidden="1" x14ac:dyDescent="0.2">
      <c r="A62" s="21">
        <v>40179</v>
      </c>
      <c r="C62" s="53"/>
      <c r="D62" s="101">
        <v>1.8157500000000006</v>
      </c>
      <c r="E62" s="103">
        <v>101.8125</v>
      </c>
      <c r="F62" s="325"/>
      <c r="G62" s="101">
        <v>3.6025</v>
      </c>
      <c r="H62" s="90">
        <v>6.61</v>
      </c>
      <c r="I62" s="88"/>
      <c r="J62" s="73"/>
      <c r="K62" s="101">
        <f>'Returns per Gal.'!J69</f>
        <v>1.8157500000000006</v>
      </c>
      <c r="L62" s="101">
        <f>'Returns per Gal.'!K69</f>
        <v>0.30186513157894734</v>
      </c>
      <c r="M62" s="101"/>
      <c r="N62" s="101">
        <f>'Returns per Gal.'!M69</f>
        <v>2.117615131578948</v>
      </c>
      <c r="O62" s="115">
        <f>'Returns per Gal.'!N69</f>
        <v>0</v>
      </c>
      <c r="P62" s="114">
        <f>'Returns per Gal.'!O69</f>
        <v>0</v>
      </c>
      <c r="Q62" s="101">
        <f>'Returns per Gal.'!P69</f>
        <v>1.2640350877192983</v>
      </c>
      <c r="R62" s="101">
        <f>'Returns per Gal.'!Q69</f>
        <v>0.1983</v>
      </c>
      <c r="S62" s="101">
        <f>'Returns per Gal.'!R69</f>
        <v>0.21939999999999998</v>
      </c>
      <c r="T62" s="101">
        <f>'Returns per Gal.'!S69</f>
        <v>1.6817350877192982</v>
      </c>
      <c r="U62" s="101">
        <f>'Returns per Gal.'!T69</f>
        <v>0.19624601212121212</v>
      </c>
      <c r="V62" s="101">
        <f>'Returns per Gal.'!U69</f>
        <v>1.8779810998405104</v>
      </c>
      <c r="W62" s="101">
        <f>'Returns per Gal.'!V69</f>
        <v>1.5761159682615631</v>
      </c>
      <c r="X62" s="116"/>
      <c r="Y62" s="101">
        <f>'Returns per Gal.'!V69</f>
        <v>1.5761159682615631</v>
      </c>
      <c r="Z62" s="101">
        <f>'Returns per Gal.'!Y69</f>
        <v>0.61678004385964968</v>
      </c>
      <c r="AA62" s="101">
        <f>'Returns per Gal.'!Z69</f>
        <v>0.43588004385964974</v>
      </c>
      <c r="AB62" s="101">
        <f>'Returns per Gal.'!AA69</f>
        <v>0.23963403173843756</v>
      </c>
      <c r="AC62" s="80">
        <f>'Returns per Gal.'!AB69</f>
        <v>0</v>
      </c>
      <c r="AD62" s="15">
        <f>'Returns per Gal.'!AC69</f>
        <v>0</v>
      </c>
      <c r="AE62" s="81">
        <f>'Returns per Gal.'!AD69</f>
        <v>0</v>
      </c>
      <c r="AF62" s="93">
        <f>'Returns per Gal.'!AE69</f>
        <v>0.35280508964719487</v>
      </c>
      <c r="AG62" s="93">
        <f>'Returns per Gal.'!AF69</f>
        <v>1.04112685560054</v>
      </c>
      <c r="AH62" s="93">
        <f>'Returns per Gal.'!AG69</f>
        <v>1.3939319452477348</v>
      </c>
      <c r="AI62" s="105">
        <f>'Returns per Gal.'!AH69</f>
        <v>0</v>
      </c>
      <c r="AJ62" s="104">
        <f>'Returns per Gal.'!AI69</f>
        <v>0</v>
      </c>
      <c r="AK62" s="101">
        <f>'Returns per Gal.'!AJ69</f>
        <v>1.8116319452477347</v>
      </c>
      <c r="AL62" s="101">
        <f>'Returns per Gal.'!AK69</f>
        <v>2.0078779573689469</v>
      </c>
      <c r="AM62" s="116">
        <f>'Returns per Gal.'!AL69</f>
        <v>0</v>
      </c>
      <c r="AN62" s="117"/>
      <c r="AO62" s="101">
        <f>'Returns per Gal.'!AN69</f>
        <v>0.30598318633121324</v>
      </c>
      <c r="AP62" s="101">
        <f>'Returns per Gal.'!AO69</f>
        <v>0.10973717421000106</v>
      </c>
      <c r="AQ62" s="101">
        <f>'Returns per Gal.'!AP69</f>
        <v>0.23963403173843756</v>
      </c>
      <c r="AR62" s="101">
        <f>'Returns per Gal.'!AQ69</f>
        <v>-0.12989685752843649</v>
      </c>
      <c r="AS62" s="52"/>
      <c r="AU62" s="179">
        <f>'Returns per Bu.'!G69</f>
        <v>3.6025</v>
      </c>
      <c r="AV62" s="168">
        <f>'Returns per Bu.'!N69</f>
        <v>6.0352031250000024</v>
      </c>
      <c r="AW62" s="168">
        <f>'Returns per Bu.'!O69</f>
        <v>4.2854569904545485</v>
      </c>
      <c r="AX62" s="171">
        <f>'Returns per Bu.'!Z69</f>
        <v>0.20796937148794373</v>
      </c>
      <c r="AY62" s="162">
        <f>'Returns per Bu.'!AF69</f>
        <v>3.9727060439560442</v>
      </c>
      <c r="AZ62" s="165" t="e">
        <f>'Returns per Bu.'!#REF!</f>
        <v>#REF!</v>
      </c>
      <c r="BA62" s="15">
        <f t="shared" si="0"/>
        <v>2.9672115384615387</v>
      </c>
      <c r="BB62" s="93">
        <f>'Returns per Bu.'!AD69</f>
        <v>1.0054945054945055</v>
      </c>
      <c r="BC62" s="93">
        <f t="shared" si="2"/>
        <v>1.04112685560054</v>
      </c>
      <c r="BD62" s="93"/>
    </row>
    <row r="63" spans="1:56" hidden="1" x14ac:dyDescent="0.2">
      <c r="A63" s="8">
        <v>40210</v>
      </c>
      <c r="C63" s="53"/>
      <c r="D63" s="93">
        <v>1.68625</v>
      </c>
      <c r="E63" s="95">
        <v>102.7</v>
      </c>
      <c r="F63" s="323"/>
      <c r="G63" s="93">
        <v>3.4537499999999999</v>
      </c>
      <c r="H63" s="96">
        <v>7.08</v>
      </c>
      <c r="I63" s="16"/>
      <c r="J63" s="14"/>
      <c r="K63" s="93">
        <f>'Returns per Gal.'!J70</f>
        <v>1.68625</v>
      </c>
      <c r="L63" s="93">
        <f>'Returns per Gal.'!K70</f>
        <v>0.30449649122807015</v>
      </c>
      <c r="M63" s="93"/>
      <c r="N63" s="93">
        <f>'Returns per Gal.'!M70</f>
        <v>1.9907464912280701</v>
      </c>
      <c r="O63" s="110">
        <f>'Returns per Gal.'!N70</f>
        <v>0</v>
      </c>
      <c r="P63" s="108">
        <f>'Returns per Gal.'!O70</f>
        <v>0</v>
      </c>
      <c r="Q63" s="93">
        <f>'Returns per Gal.'!P70</f>
        <v>1.2118421052631578</v>
      </c>
      <c r="R63" s="93">
        <f>'Returns per Gal.'!Q70</f>
        <v>0.21240000000000001</v>
      </c>
      <c r="S63" s="93">
        <f>'Returns per Gal.'!R70</f>
        <v>0.21939999999999998</v>
      </c>
      <c r="T63" s="93">
        <f>'Returns per Gal.'!S70</f>
        <v>1.6436421052631578</v>
      </c>
      <c r="U63" s="93">
        <f>'Returns per Gal.'!T70</f>
        <v>0.19624601212121212</v>
      </c>
      <c r="V63" s="93">
        <f>'Returns per Gal.'!U70</f>
        <v>1.83988811738437</v>
      </c>
      <c r="W63" s="93">
        <f>'Returns per Gal.'!V70</f>
        <v>1.5353916261562999</v>
      </c>
      <c r="X63" s="105"/>
      <c r="Y63" s="93">
        <f>'Returns per Gal.'!V70</f>
        <v>1.5353916261562999</v>
      </c>
      <c r="Z63" s="93">
        <f>'Returns per Gal.'!Y70</f>
        <v>0.52800438596491228</v>
      </c>
      <c r="AA63" s="93">
        <f>'Returns per Gal.'!Z70</f>
        <v>0.34710438596491233</v>
      </c>
      <c r="AB63" s="93">
        <f>'Returns per Gal.'!AA70</f>
        <v>0.15085837384370016</v>
      </c>
      <c r="AC63" s="80">
        <f>'Returns per Gal.'!AB70</f>
        <v>0</v>
      </c>
      <c r="AD63" s="15">
        <f>'Returns per Gal.'!AC70</f>
        <v>0</v>
      </c>
      <c r="AE63" s="81">
        <f>'Returns per Gal.'!AD70</f>
        <v>0</v>
      </c>
      <c r="AF63" s="93">
        <f>'Returns per Gal.'!AE70</f>
        <v>0.35280508964719487</v>
      </c>
      <c r="AG63" s="93">
        <f>'Returns per Gal.'!AF70</f>
        <v>1.04112685560054</v>
      </c>
      <c r="AH63" s="93">
        <f>'Returns per Gal.'!AG70</f>
        <v>1.3939319452477348</v>
      </c>
      <c r="AI63" s="105">
        <f>'Returns per Gal.'!AH70</f>
        <v>0</v>
      </c>
      <c r="AJ63" s="104">
        <f>'Returns per Gal.'!AI70</f>
        <v>0</v>
      </c>
      <c r="AK63" s="93">
        <f>'Returns per Gal.'!AJ70</f>
        <v>1.8257319452477347</v>
      </c>
      <c r="AL63" s="93">
        <f>'Returns per Gal.'!AK70</f>
        <v>2.0219779573689469</v>
      </c>
      <c r="AM63" s="105">
        <f>'Returns per Gal.'!AL70</f>
        <v>0</v>
      </c>
      <c r="AN63" s="104"/>
      <c r="AO63" s="93">
        <f>'Returns per Gal.'!AN70</f>
        <v>0.16501454598033538</v>
      </c>
      <c r="AP63" s="93">
        <f>'Returns per Gal.'!AO70</f>
        <v>-3.1231466140876796E-2</v>
      </c>
      <c r="AQ63" s="93">
        <f>'Returns per Gal.'!AP70</f>
        <v>0.15085837384370016</v>
      </c>
      <c r="AR63" s="93">
        <f>'Returns per Gal.'!AQ70</f>
        <v>-0.18208983998457695</v>
      </c>
      <c r="AS63" s="52"/>
      <c r="AU63" s="177">
        <f>'Returns per Bu.'!G70</f>
        <v>3.4537499999999999</v>
      </c>
      <c r="AV63" s="166">
        <f>'Returns per Bu.'!N70</f>
        <v>5.6736275000000003</v>
      </c>
      <c r="AW63" s="166">
        <f>'Returns per Bu.'!O70</f>
        <v>3.8836963654545467</v>
      </c>
      <c r="AX63" s="169">
        <f>'Returns per Bu.'!Z70</f>
        <v>0.13092431389800463</v>
      </c>
      <c r="AY63" s="162">
        <f>'Returns per Bu.'!AF70</f>
        <v>3.9727060439560442</v>
      </c>
      <c r="AZ63" s="165" t="e">
        <f>'Returns per Bu.'!#REF!</f>
        <v>#REF!</v>
      </c>
      <c r="BA63" s="15">
        <f t="shared" si="0"/>
        <v>2.9672115384615387</v>
      </c>
      <c r="BB63" s="93">
        <f>'Returns per Bu.'!AD70</f>
        <v>1.0054945054945055</v>
      </c>
      <c r="BC63" s="93">
        <f t="shared" si="2"/>
        <v>1.04112685560054</v>
      </c>
      <c r="BD63" s="93"/>
    </row>
    <row r="64" spans="1:56" hidden="1" x14ac:dyDescent="0.2">
      <c r="A64" s="8">
        <v>40238</v>
      </c>
      <c r="C64" s="53"/>
      <c r="D64" s="93">
        <v>1.5149999999999999</v>
      </c>
      <c r="E64" s="95">
        <v>94.054347826086953</v>
      </c>
      <c r="F64" s="323"/>
      <c r="G64" s="93">
        <v>3.4829076086956521</v>
      </c>
      <c r="H64" s="96">
        <v>7.06</v>
      </c>
      <c r="I64" s="16"/>
      <c r="J64" s="14"/>
      <c r="K64" s="93">
        <f>'Returns per Gal.'!J71</f>
        <v>1.5149999999999999</v>
      </c>
      <c r="L64" s="93">
        <f>'Returns per Gal.'!K71</f>
        <v>0.27886289092295957</v>
      </c>
      <c r="M64" s="93"/>
      <c r="N64" s="93">
        <f>'Returns per Gal.'!M71</f>
        <v>1.7938628909229595</v>
      </c>
      <c r="O64" s="110">
        <f>'Returns per Gal.'!N71</f>
        <v>0</v>
      </c>
      <c r="P64" s="108">
        <f>'Returns per Gal.'!O71</f>
        <v>0</v>
      </c>
      <c r="Q64" s="93">
        <f>'Returns per Gal.'!P71</f>
        <v>1.2220728451563692</v>
      </c>
      <c r="R64" s="93">
        <f>'Returns per Gal.'!Q71</f>
        <v>0.21179999999999999</v>
      </c>
      <c r="S64" s="93">
        <f>'Returns per Gal.'!R71</f>
        <v>0.21939999999999998</v>
      </c>
      <c r="T64" s="93">
        <f>'Returns per Gal.'!S71</f>
        <v>1.6532728451563692</v>
      </c>
      <c r="U64" s="93">
        <f>'Returns per Gal.'!T71</f>
        <v>0.19624601212121212</v>
      </c>
      <c r="V64" s="93">
        <f>'Returns per Gal.'!U71</f>
        <v>1.8495188572775814</v>
      </c>
      <c r="W64" s="93">
        <f>'Returns per Gal.'!V71</f>
        <v>1.5706559663546218</v>
      </c>
      <c r="X64" s="105"/>
      <c r="Y64" s="93">
        <f>'Returns per Gal.'!V71</f>
        <v>1.5706559663546218</v>
      </c>
      <c r="Z64" s="93">
        <f>'Returns per Gal.'!Y71</f>
        <v>0.32149004576659035</v>
      </c>
      <c r="AA64" s="93">
        <f>'Returns per Gal.'!Z71</f>
        <v>0.14059004576659029</v>
      </c>
      <c r="AB64" s="93">
        <f>'Returns per Gal.'!AA71</f>
        <v>-5.5655966354621889E-2</v>
      </c>
      <c r="AC64" s="80">
        <f>'Returns per Gal.'!AB71</f>
        <v>0</v>
      </c>
      <c r="AD64" s="15">
        <f>'Returns per Gal.'!AC71</f>
        <v>0</v>
      </c>
      <c r="AE64" s="81">
        <f>'Returns per Gal.'!AD71</f>
        <v>0</v>
      </c>
      <c r="AF64" s="93">
        <f>'Returns per Gal.'!AE71</f>
        <v>0.35280508964719487</v>
      </c>
      <c r="AG64" s="93">
        <f>'Returns per Gal.'!AF71</f>
        <v>1.04112685560054</v>
      </c>
      <c r="AH64" s="93">
        <f>'Returns per Gal.'!AG71</f>
        <v>1.3939319452477348</v>
      </c>
      <c r="AI64" s="105">
        <f>'Returns per Gal.'!AH71</f>
        <v>0</v>
      </c>
      <c r="AJ64" s="104">
        <f>'Returns per Gal.'!AI71</f>
        <v>0</v>
      </c>
      <c r="AK64" s="93">
        <f>'Returns per Gal.'!AJ71</f>
        <v>1.8251319452477348</v>
      </c>
      <c r="AL64" s="93">
        <f>'Returns per Gal.'!AK71</f>
        <v>2.021377957368947</v>
      </c>
      <c r="AM64" s="105">
        <f>'Returns per Gal.'!AL71</f>
        <v>0</v>
      </c>
      <c r="AN64" s="104"/>
      <c r="AO64" s="93">
        <f>'Returns per Gal.'!AN71</f>
        <v>-3.1269054324775336E-2</v>
      </c>
      <c r="AP64" s="93">
        <f>'Returns per Gal.'!AO71</f>
        <v>-0.22751506644598751</v>
      </c>
      <c r="AQ64" s="93">
        <f>'Returns per Gal.'!AP71</f>
        <v>-5.5655966354621889E-2</v>
      </c>
      <c r="AR64" s="93">
        <f>'Returns per Gal.'!AQ71</f>
        <v>-0.17185910009136562</v>
      </c>
      <c r="AS64" s="52"/>
      <c r="AU64" s="177">
        <f>'Returns per Bu.'!G71</f>
        <v>3.4829076086956521</v>
      </c>
      <c r="AV64" s="166">
        <f>'Returns per Bu.'!N71</f>
        <v>5.1125092391304348</v>
      </c>
      <c r="AW64" s="166">
        <f>'Returns per Bu.'!O71</f>
        <v>3.3242881045849808</v>
      </c>
      <c r="AX64" s="169">
        <f>'Returns per Bu.'!Z71</f>
        <v>-4.8301721831224151E-2</v>
      </c>
      <c r="AY64" s="162">
        <f>'Returns per Bu.'!AF71</f>
        <v>3.9727060439560442</v>
      </c>
      <c r="AZ64" s="165" t="e">
        <f>'Returns per Bu.'!#REF!</f>
        <v>#REF!</v>
      </c>
      <c r="BA64" s="15">
        <f t="shared" si="0"/>
        <v>2.9672115384615387</v>
      </c>
      <c r="BB64" s="93">
        <f>'Returns per Bu.'!AD71</f>
        <v>1.0054945054945055</v>
      </c>
      <c r="BC64" s="93">
        <f t="shared" si="2"/>
        <v>1.04112685560054</v>
      </c>
      <c r="BD64" s="93"/>
    </row>
    <row r="65" spans="1:56" hidden="1" x14ac:dyDescent="0.2">
      <c r="A65" s="8">
        <v>40269</v>
      </c>
      <c r="C65" s="53"/>
      <c r="D65" s="93">
        <v>1.44</v>
      </c>
      <c r="E65" s="95">
        <v>102.57954545454545</v>
      </c>
      <c r="F65" s="323"/>
      <c r="G65" s="93">
        <v>3.3707670454545462</v>
      </c>
      <c r="H65" s="96">
        <v>6.21</v>
      </c>
      <c r="I65" s="16"/>
      <c r="J65" s="84"/>
      <c r="K65" s="93">
        <f>'Returns per Gal.'!J72</f>
        <v>1.44</v>
      </c>
      <c r="L65" s="93">
        <f>'Returns per Gal.'!K72</f>
        <v>0.30413935406698561</v>
      </c>
      <c r="M65" s="93"/>
      <c r="N65" s="93">
        <f>'Returns per Gal.'!M72</f>
        <v>1.7441393540669856</v>
      </c>
      <c r="O65" s="110">
        <f>'Returns per Gal.'!N72</f>
        <v>0</v>
      </c>
      <c r="P65" s="108">
        <f>'Returns per Gal.'!O72</f>
        <v>0</v>
      </c>
      <c r="Q65" s="93">
        <f>'Returns per Gal.'!P72</f>
        <v>1.1827252791068583</v>
      </c>
      <c r="R65" s="93">
        <f>'Returns per Gal.'!Q72</f>
        <v>0.18630000000000002</v>
      </c>
      <c r="S65" s="93">
        <f>'Returns per Gal.'!R72</f>
        <v>0.21939999999999998</v>
      </c>
      <c r="T65" s="93">
        <f>'Returns per Gal.'!S72</f>
        <v>1.5884252791068583</v>
      </c>
      <c r="U65" s="93">
        <f>'Returns per Gal.'!T72</f>
        <v>0.19624601212121212</v>
      </c>
      <c r="V65" s="93">
        <f>'Returns per Gal.'!U72</f>
        <v>1.7846712912280704</v>
      </c>
      <c r="W65" s="93">
        <f>'Returns per Gal.'!V72</f>
        <v>1.4805319371610848</v>
      </c>
      <c r="X65" s="105"/>
      <c r="Y65" s="93"/>
      <c r="Z65" s="93">
        <f>'Returns per Gal.'!Y72</f>
        <v>0.3366140749601273</v>
      </c>
      <c r="AA65" s="93">
        <f>'Returns per Gal.'!Z72</f>
        <v>0.15571407496012735</v>
      </c>
      <c r="AB65" s="93">
        <f>'Returns per Gal.'!AA72</f>
        <v>-4.053193716108483E-2</v>
      </c>
      <c r="AC65" s="80">
        <f>'Returns per Gal.'!AB72</f>
        <v>0</v>
      </c>
      <c r="AD65" s="15">
        <f>'Returns per Gal.'!AC72</f>
        <v>0</v>
      </c>
      <c r="AE65" s="81">
        <f>'Returns per Gal.'!AD72</f>
        <v>0</v>
      </c>
      <c r="AF65" s="93">
        <f>'Returns per Gal.'!AE72</f>
        <v>0.35280508964719487</v>
      </c>
      <c r="AG65" s="93">
        <f>'Returns per Gal.'!AF72</f>
        <v>1.04112685560054</v>
      </c>
      <c r="AH65" s="93">
        <f>'Returns per Gal.'!AG72</f>
        <v>1.3939319452477348</v>
      </c>
      <c r="AI65" s="105">
        <f>'Returns per Gal.'!AH72</f>
        <v>0</v>
      </c>
      <c r="AJ65" s="104">
        <f>'Returns per Gal.'!AI72</f>
        <v>0</v>
      </c>
      <c r="AK65" s="93">
        <f>'Returns per Gal.'!AJ72</f>
        <v>1.7996319452477347</v>
      </c>
      <c r="AL65" s="93">
        <f>'Returns per Gal.'!AK72</f>
        <v>1.9958779573689469</v>
      </c>
      <c r="AM65" s="105">
        <f>'Returns per Gal.'!AL72</f>
        <v>0</v>
      </c>
      <c r="AN65" s="104"/>
      <c r="AO65" s="93">
        <f>'Returns per Gal.'!AN72</f>
        <v>-5.5492591180749118E-2</v>
      </c>
      <c r="AP65" s="93">
        <f>'Returns per Gal.'!AO72</f>
        <v>-0.25173860330196129</v>
      </c>
      <c r="AQ65" s="93">
        <f>'Returns per Gal.'!AP72</f>
        <v>-4.053193716108483E-2</v>
      </c>
      <c r="AR65" s="93">
        <f>'Returns per Gal.'!AQ72</f>
        <v>-0.21120666614087646</v>
      </c>
      <c r="AS65" s="52"/>
      <c r="AU65" s="177">
        <f>'Returns per Bu.'!G72</f>
        <v>3.3707670454545462</v>
      </c>
      <c r="AV65" s="166">
        <f>'Returns per Bu.'!N72</f>
        <v>4.9707971590909095</v>
      </c>
      <c r="AW65" s="166">
        <f>'Returns per Bu.'!O72</f>
        <v>3.2552510245454553</v>
      </c>
      <c r="AX65" s="169">
        <f>'Returns per Bu.'!Z72</f>
        <v>-3.5176145205370143E-2</v>
      </c>
      <c r="AY65" s="162">
        <f>'Returns per Bu.'!AF72</f>
        <v>3.9727060439560442</v>
      </c>
      <c r="AZ65" s="165" t="e">
        <f>'Returns per Bu.'!#REF!</f>
        <v>#REF!</v>
      </c>
      <c r="BA65" s="15">
        <f t="shared" si="0"/>
        <v>2.9672115384615387</v>
      </c>
      <c r="BB65" s="93">
        <f>'Returns per Bu.'!AD72</f>
        <v>1.0054945054945055</v>
      </c>
      <c r="BC65" s="93">
        <f t="shared" si="2"/>
        <v>1.04112685560054</v>
      </c>
      <c r="BD65" s="93"/>
    </row>
    <row r="66" spans="1:56" hidden="1" x14ac:dyDescent="0.2">
      <c r="A66" s="8">
        <v>40299</v>
      </c>
      <c r="C66" s="53"/>
      <c r="D66" s="93">
        <v>1.5079999999999993</v>
      </c>
      <c r="E66" s="95">
        <v>113.9</v>
      </c>
      <c r="F66" s="323"/>
      <c r="G66" s="93">
        <v>3.4638750000000007</v>
      </c>
      <c r="H66" s="96">
        <v>5.45</v>
      </c>
      <c r="I66" s="16"/>
      <c r="J66" s="14"/>
      <c r="K66" s="93">
        <f>'Returns per Gal.'!J73</f>
        <v>1.5079999999999993</v>
      </c>
      <c r="L66" s="93">
        <f>'Returns per Gal.'!K73</f>
        <v>0.33770350877192978</v>
      </c>
      <c r="M66" s="93"/>
      <c r="N66" s="93">
        <f>'Returns per Gal.'!M73</f>
        <v>1.8457035087719291</v>
      </c>
      <c r="O66" s="85"/>
      <c r="P66" s="16"/>
      <c r="Q66" s="93">
        <f>'Returns per Gal.'!P73</f>
        <v>1.2153947368421054</v>
      </c>
      <c r="R66" s="93">
        <f>'Returns per Gal.'!Q73</f>
        <v>0.16350000000000001</v>
      </c>
      <c r="S66" s="93">
        <f>'Returns per Gal.'!R73</f>
        <v>0.21939999999999998</v>
      </c>
      <c r="T66" s="93">
        <f>'Returns per Gal.'!S73</f>
        <v>1.5982947368421054</v>
      </c>
      <c r="U66" s="93">
        <f>'Returns per Gal.'!T73</f>
        <v>0.19624601212121212</v>
      </c>
      <c r="V66" s="93">
        <f>'Returns per Gal.'!U73</f>
        <v>1.7945407489633176</v>
      </c>
      <c r="W66" s="93">
        <f>'Returns per Gal.'!V73</f>
        <v>1.4568372401913878</v>
      </c>
      <c r="X66" s="105"/>
      <c r="Y66" s="93"/>
      <c r="Z66" s="93">
        <f>'Returns per Gal.'!Y73</f>
        <v>0.42830877192982375</v>
      </c>
      <c r="AA66" s="93">
        <f>'Returns per Gal.'!Z73</f>
        <v>0.24740877192982369</v>
      </c>
      <c r="AB66" s="93">
        <f>'Returns per Gal.'!AA73</f>
        <v>5.1162759808611513E-2</v>
      </c>
      <c r="AC66" s="80">
        <f>'Returns per Gal.'!AB73</f>
        <v>0</v>
      </c>
      <c r="AD66" s="15">
        <f>'Returns per Gal.'!AC73</f>
        <v>0</v>
      </c>
      <c r="AE66" s="81">
        <f>'Returns per Gal.'!AD73</f>
        <v>0</v>
      </c>
      <c r="AF66" s="93">
        <f>'Returns per Gal.'!AE73</f>
        <v>0.35280508964719487</v>
      </c>
      <c r="AG66" s="93">
        <f>'Returns per Gal.'!AF73</f>
        <v>1.04112685560054</v>
      </c>
      <c r="AH66" s="93">
        <f>'Returns per Gal.'!AG73</f>
        <v>1.3939319452477348</v>
      </c>
      <c r="AI66" s="105">
        <f>'Returns per Gal.'!AH73</f>
        <v>0</v>
      </c>
      <c r="AJ66" s="104">
        <f>'Returns per Gal.'!AI73</f>
        <v>0</v>
      </c>
      <c r="AK66" s="93">
        <f>'Returns per Gal.'!AJ73</f>
        <v>1.7768319452477348</v>
      </c>
      <c r="AL66" s="93">
        <f>'Returns per Gal.'!AK73</f>
        <v>1.973077957368947</v>
      </c>
      <c r="AM66" s="105">
        <f>'Returns per Gal.'!AL73</f>
        <v>0</v>
      </c>
      <c r="AN66" s="104"/>
      <c r="AO66" s="93">
        <f>'Returns per Gal.'!AN73</f>
        <v>6.8871563524194324E-2</v>
      </c>
      <c r="AP66" s="93">
        <f>'Returns per Gal.'!AO73</f>
        <v>-0.12737444859701785</v>
      </c>
      <c r="AQ66" s="93">
        <f>'Returns per Gal.'!AP73</f>
        <v>5.1162759808611513E-2</v>
      </c>
      <c r="AR66" s="93">
        <f>'Returns per Gal.'!AQ73</f>
        <v>-0.17853720840562937</v>
      </c>
      <c r="AS66" s="52"/>
      <c r="AU66" s="177">
        <f>'Returns per Bu.'!G73</f>
        <v>3.4638750000000007</v>
      </c>
      <c r="AV66" s="166">
        <f>'Returns per Bu.'!N73</f>
        <v>5.2602549999999981</v>
      </c>
      <c r="AW66" s="166">
        <f>'Returns per Bu.'!O73</f>
        <v>3.6096888654545438</v>
      </c>
      <c r="AX66" s="169">
        <f>'Returns per Bu.'!Z73</f>
        <v>4.4402236709848962E-2</v>
      </c>
      <c r="AY66" s="162">
        <f>'Returns per Bu.'!AF73</f>
        <v>3.9727060439560442</v>
      </c>
      <c r="AZ66" s="165" t="e">
        <f>'Returns per Bu.'!#REF!</f>
        <v>#REF!</v>
      </c>
      <c r="BA66" s="15">
        <f t="shared" si="0"/>
        <v>2.9672115384615387</v>
      </c>
      <c r="BB66" s="93">
        <f>'Returns per Bu.'!AD73</f>
        <v>1.0054945054945055</v>
      </c>
      <c r="BC66" s="93">
        <f t="shared" si="2"/>
        <v>1.04112685560054</v>
      </c>
      <c r="BD66" s="93"/>
    </row>
    <row r="67" spans="1:56" hidden="1" x14ac:dyDescent="0.2">
      <c r="A67" s="8">
        <v>40330</v>
      </c>
      <c r="C67" s="53"/>
      <c r="D67" s="93">
        <v>1.5227272727272732</v>
      </c>
      <c r="E67" s="95">
        <v>101.85227272727273</v>
      </c>
      <c r="F67" s="323"/>
      <c r="G67" s="93">
        <v>3.2432670454545445</v>
      </c>
      <c r="H67" s="96">
        <v>5.61</v>
      </c>
      <c r="I67" s="16"/>
      <c r="J67" s="14"/>
      <c r="K67" s="93">
        <f>'Returns per Gal.'!J74</f>
        <v>1.5227272727272732</v>
      </c>
      <c r="L67" s="93">
        <f>'Returns per Gal.'!K74</f>
        <v>0.30198305422647531</v>
      </c>
      <c r="M67" s="93"/>
      <c r="N67" s="93">
        <f>'Returns per Gal.'!M74</f>
        <v>1.8247103269537486</v>
      </c>
      <c r="O67" s="85"/>
      <c r="P67" s="16"/>
      <c r="Q67" s="93">
        <f>'Returns per Gal.'!P74</f>
        <v>1.1379884370015945</v>
      </c>
      <c r="R67" s="93">
        <f>'Returns per Gal.'!Q74</f>
        <v>0.16830000000000001</v>
      </c>
      <c r="S67" s="93">
        <f>'Returns per Gal.'!R74</f>
        <v>0.21939999999999998</v>
      </c>
      <c r="T67" s="93">
        <f>'Returns per Gal.'!S74</f>
        <v>1.5256884370015944</v>
      </c>
      <c r="U67" s="93">
        <f>'Returns per Gal.'!T74</f>
        <v>0.19624601212121212</v>
      </c>
      <c r="V67" s="93">
        <f>'Returns per Gal.'!U74</f>
        <v>1.7219344491228066</v>
      </c>
      <c r="W67" s="93">
        <f>'Returns per Gal.'!V74</f>
        <v>1.4199513948963314</v>
      </c>
      <c r="X67" s="105"/>
      <c r="Y67" s="93"/>
      <c r="Z67" s="93">
        <f>'Returns per Gal.'!Y74</f>
        <v>0.47992188995215412</v>
      </c>
      <c r="AA67" s="93">
        <f>'Returns per Gal.'!Z74</f>
        <v>0.29902188995215417</v>
      </c>
      <c r="AB67" s="93">
        <f>'Returns per Gal.'!AA74</f>
        <v>0.102775877830942</v>
      </c>
      <c r="AC67" s="80">
        <f>'Returns per Gal.'!AB74</f>
        <v>0</v>
      </c>
      <c r="AD67" s="15">
        <f>'Returns per Gal.'!AC74</f>
        <v>0</v>
      </c>
      <c r="AE67" s="81">
        <f>'Returns per Gal.'!AD74</f>
        <v>0</v>
      </c>
      <c r="AF67" s="93">
        <f>'Returns per Gal.'!AE74</f>
        <v>0.35280508964719487</v>
      </c>
      <c r="AG67" s="93">
        <f>'Returns per Gal.'!AF74</f>
        <v>1.04112685560054</v>
      </c>
      <c r="AH67" s="93">
        <f>'Returns per Gal.'!AG74</f>
        <v>1.3939319452477348</v>
      </c>
      <c r="AI67" s="105">
        <f>'Returns per Gal.'!AH74</f>
        <v>0</v>
      </c>
      <c r="AJ67" s="104">
        <f>'Returns per Gal.'!AI74</f>
        <v>0</v>
      </c>
      <c r="AK67" s="93">
        <f>'Returns per Gal.'!AJ74</f>
        <v>1.7816319452477349</v>
      </c>
      <c r="AL67" s="93">
        <f>'Returns per Gal.'!AK74</f>
        <v>1.9778779573689471</v>
      </c>
      <c r="AM67" s="105">
        <f>'Returns per Gal.'!AL74</f>
        <v>0</v>
      </c>
      <c r="AN67" s="104"/>
      <c r="AO67" s="93">
        <f>'Returns per Gal.'!AN74</f>
        <v>4.3078381706013635E-2</v>
      </c>
      <c r="AP67" s="93">
        <f>'Returns per Gal.'!AO74</f>
        <v>-0.15316763041519854</v>
      </c>
      <c r="AQ67" s="93">
        <f>'Returns per Gal.'!AP74</f>
        <v>0.10277587783094178</v>
      </c>
      <c r="AR67" s="93">
        <f>'Returns per Gal.'!AQ74</f>
        <v>-0.25594350824614032</v>
      </c>
      <c r="AS67" s="52"/>
      <c r="AU67" s="177">
        <f>'Returns per Bu.'!G74</f>
        <v>3.2432670454545445</v>
      </c>
      <c r="AV67" s="166">
        <f>'Returns per Bu.'!N74</f>
        <v>5.2004244318181829</v>
      </c>
      <c r="AW67" s="166">
        <f>'Returns per Bu.'!O74</f>
        <v>3.5361782972727287</v>
      </c>
      <c r="AX67" s="169">
        <f>'Returns per Bu.'!Z74</f>
        <v>8.9195322390405563E-2</v>
      </c>
      <c r="AY67" s="162">
        <f>'Returns per Bu.'!AF74</f>
        <v>3.9727060439560442</v>
      </c>
      <c r="AZ67" s="165" t="e">
        <f>'Returns per Bu.'!#REF!</f>
        <v>#REF!</v>
      </c>
      <c r="BA67" s="15">
        <f t="shared" ref="BA67:BA116" si="3">AY67-BB67</f>
        <v>2.9672115384615387</v>
      </c>
      <c r="BB67" s="93">
        <f>'Returns per Bu.'!AD74</f>
        <v>1.0054945054945055</v>
      </c>
      <c r="BC67" s="93">
        <f t="shared" ref="BC67:BC98" si="4">AG67</f>
        <v>1.04112685560054</v>
      </c>
      <c r="BD67" s="93"/>
    </row>
    <row r="68" spans="1:56" hidden="1" x14ac:dyDescent="0.2">
      <c r="A68" s="8">
        <v>40360</v>
      </c>
      <c r="C68" s="53"/>
      <c r="D68" s="93">
        <v>1.5079545454545453</v>
      </c>
      <c r="E68" s="95">
        <v>102.19047619047619</v>
      </c>
      <c r="F68" s="323"/>
      <c r="G68" s="93">
        <v>3.4111011904761894</v>
      </c>
      <c r="H68" s="96">
        <v>5.69</v>
      </c>
      <c r="I68" s="16"/>
      <c r="J68" s="84"/>
      <c r="K68" s="93">
        <f>'Returns per Gal.'!J75</f>
        <v>1.5079545454545453</v>
      </c>
      <c r="L68" s="93">
        <f>'Returns per Gal.'!K75</f>
        <v>0.30298579782790303</v>
      </c>
      <c r="M68" s="93"/>
      <c r="N68" s="93">
        <f>'Returns per Gal.'!M75</f>
        <v>1.8109403432824482</v>
      </c>
      <c r="O68" s="85"/>
      <c r="P68" s="16"/>
      <c r="Q68" s="93">
        <f>'Returns per Gal.'!P75</f>
        <v>1.1968776106933998</v>
      </c>
      <c r="R68" s="93">
        <f>'Returns per Gal.'!Q75</f>
        <v>0.17070000000000002</v>
      </c>
      <c r="S68" s="93">
        <f>'Returns per Gal.'!R75</f>
        <v>0.21939999999999998</v>
      </c>
      <c r="T68" s="93">
        <f>'Returns per Gal.'!S75</f>
        <v>1.5869776106933999</v>
      </c>
      <c r="U68" s="93">
        <f>'Returns per Gal.'!T75</f>
        <v>0.19624601212121212</v>
      </c>
      <c r="V68" s="93">
        <f>'Returns per Gal.'!U75</f>
        <v>1.7832236228146121</v>
      </c>
      <c r="W68" s="93">
        <f>'Returns per Gal.'!V75</f>
        <v>1.480237824986709</v>
      </c>
      <c r="X68" s="105"/>
      <c r="Y68" s="93"/>
      <c r="Z68" s="93">
        <f>'Returns per Gal.'!Y75</f>
        <v>0.40486273258904842</v>
      </c>
      <c r="AA68" s="93">
        <f>'Returns per Gal.'!Z75</f>
        <v>0.22396273258904831</v>
      </c>
      <c r="AB68" s="93">
        <f>'Returns per Gal.'!AA75</f>
        <v>2.7716720467836131E-2</v>
      </c>
      <c r="AC68" s="80">
        <f>'Returns per Gal.'!AB75</f>
        <v>0</v>
      </c>
      <c r="AD68" s="15">
        <f>'Returns per Gal.'!AC75</f>
        <v>0</v>
      </c>
      <c r="AE68" s="81">
        <f>'Returns per Gal.'!AD75</f>
        <v>0</v>
      </c>
      <c r="AF68" s="93">
        <f>'Returns per Gal.'!AE75</f>
        <v>0.35280508964719487</v>
      </c>
      <c r="AG68" s="93">
        <f>'Returns per Gal.'!AF75</f>
        <v>1.04112685560054</v>
      </c>
      <c r="AH68" s="93">
        <f>'Returns per Gal.'!AG75</f>
        <v>1.3939319452477348</v>
      </c>
      <c r="AI68" s="105">
        <f>'Returns per Gal.'!AH75</f>
        <v>0</v>
      </c>
      <c r="AJ68" s="104">
        <f>'Returns per Gal.'!AI75</f>
        <v>0</v>
      </c>
      <c r="AK68" s="93">
        <f>'Returns per Gal.'!AJ75</f>
        <v>1.7840319452477349</v>
      </c>
      <c r="AL68" s="93">
        <f>'Returns per Gal.'!AK75</f>
        <v>1.9802779573689471</v>
      </c>
      <c r="AM68" s="105">
        <f>'Returns per Gal.'!AL75</f>
        <v>0</v>
      </c>
      <c r="AN68" s="104"/>
      <c r="AO68" s="93">
        <f>'Returns per Gal.'!AN75</f>
        <v>2.6908398034713343E-2</v>
      </c>
      <c r="AP68" s="93">
        <f>'Returns per Gal.'!AO75</f>
        <v>-0.16933761408649883</v>
      </c>
      <c r="AQ68" s="93">
        <f>'Returns per Gal.'!AP75</f>
        <v>2.7716720467836131E-2</v>
      </c>
      <c r="AR68" s="93">
        <f>'Returns per Gal.'!AQ75</f>
        <v>-0.19705433455433496</v>
      </c>
      <c r="AS68" s="52"/>
      <c r="AU68" s="177">
        <f>'Returns per Bu.'!G75</f>
        <v>3.4111011904761894</v>
      </c>
      <c r="AV68" s="166">
        <f>'Returns per Bu.'!N75</f>
        <v>5.1611799783549781</v>
      </c>
      <c r="AW68" s="166">
        <f>'Returns per Bu.'!O75</f>
        <v>3.4900938438095239</v>
      </c>
      <c r="AX68" s="169">
        <f>'Returns per Bu.'!Z75</f>
        <v>2.4054300190945774E-2</v>
      </c>
      <c r="AY68" s="162">
        <f>'Returns per Bu.'!AF75</f>
        <v>3.9727060439560442</v>
      </c>
      <c r="AZ68" s="165" t="e">
        <f>'Returns per Bu.'!#REF!</f>
        <v>#REF!</v>
      </c>
      <c r="BA68" s="15">
        <f t="shared" si="3"/>
        <v>2.9672115384615387</v>
      </c>
      <c r="BB68" s="93">
        <f>'Returns per Bu.'!AD75</f>
        <v>1.0054945054945055</v>
      </c>
      <c r="BC68" s="93">
        <f t="shared" si="4"/>
        <v>1.04112685560054</v>
      </c>
      <c r="BD68" s="93"/>
    </row>
    <row r="69" spans="1:56" hidden="1" x14ac:dyDescent="0.2">
      <c r="A69" s="8">
        <v>40391</v>
      </c>
      <c r="C69" s="53"/>
      <c r="D69" s="93">
        <v>1.6931818181818188</v>
      </c>
      <c r="E69" s="95">
        <v>105.75</v>
      </c>
      <c r="F69" s="323"/>
      <c r="G69" s="93">
        <v>3.6240909090909099</v>
      </c>
      <c r="H69" s="96">
        <v>5.76</v>
      </c>
      <c r="I69" s="16"/>
      <c r="J69" s="84"/>
      <c r="K69" s="93">
        <f>'Returns per Gal.'!J76</f>
        <v>1.6931818181818188</v>
      </c>
      <c r="L69" s="93">
        <f>'Returns per Gal.'!K76</f>
        <v>0.31353947368421048</v>
      </c>
      <c r="M69" s="93"/>
      <c r="N69" s="93">
        <f>'Returns per Gal.'!M76</f>
        <v>2.0067212918660293</v>
      </c>
      <c r="O69" s="85"/>
      <c r="P69" s="16"/>
      <c r="Q69" s="93">
        <f>'Returns per Gal.'!P76</f>
        <v>1.2716108452950561</v>
      </c>
      <c r="R69" s="93">
        <f>'Returns per Gal.'!Q76</f>
        <v>0.17279999999999998</v>
      </c>
      <c r="S69" s="93">
        <f>'Returns per Gal.'!R76</f>
        <v>0.21939999999999998</v>
      </c>
      <c r="T69" s="93">
        <f>'Returns per Gal.'!S76</f>
        <v>1.6638108452950562</v>
      </c>
      <c r="U69" s="93">
        <f>'Returns per Gal.'!T76</f>
        <v>0.19624601212121212</v>
      </c>
      <c r="V69" s="93">
        <f>'Returns per Gal.'!U76</f>
        <v>1.8600568574162684</v>
      </c>
      <c r="W69" s="93">
        <f>'Returns per Gal.'!V76</f>
        <v>1.5465173837320578</v>
      </c>
      <c r="X69" s="105"/>
      <c r="Y69" s="93"/>
      <c r="Z69" s="93">
        <f>'Returns per Gal.'!Y76</f>
        <v>0.52381044657097331</v>
      </c>
      <c r="AA69" s="93">
        <f>'Returns per Gal.'!Z76</f>
        <v>0.34291044657097314</v>
      </c>
      <c r="AB69" s="93">
        <f>'Returns per Gal.'!AA76</f>
        <v>0.14666443444976096</v>
      </c>
      <c r="AC69" s="80">
        <f>'Returns per Gal.'!AB76</f>
        <v>0</v>
      </c>
      <c r="AD69" s="17">
        <f>'Returns per Gal.'!AC76</f>
        <v>0</v>
      </c>
      <c r="AE69" s="81">
        <f>'Returns per Gal.'!AD76</f>
        <v>0</v>
      </c>
      <c r="AF69" s="93">
        <f>'Returns per Gal.'!AE76</f>
        <v>0.35280508964719487</v>
      </c>
      <c r="AG69" s="93">
        <f>'Returns per Gal.'!AF76</f>
        <v>1.04112685560054</v>
      </c>
      <c r="AH69" s="93">
        <f>'Returns per Gal.'!AG76</f>
        <v>1.3939319452477348</v>
      </c>
      <c r="AI69" s="105">
        <f>'Returns per Gal.'!AH76</f>
        <v>0</v>
      </c>
      <c r="AJ69" s="104">
        <f>'Returns per Gal.'!AI76</f>
        <v>0</v>
      </c>
      <c r="AK69" s="93">
        <f>'Returns per Gal.'!AJ76</f>
        <v>1.7861319452477349</v>
      </c>
      <c r="AL69" s="93">
        <f>'Returns per Gal.'!AK76</f>
        <v>1.9823779573689471</v>
      </c>
      <c r="AM69" s="105">
        <f>'Returns per Gal.'!AL76</f>
        <v>0</v>
      </c>
      <c r="AN69" s="104"/>
      <c r="AO69" s="93">
        <f>'Returns per Gal.'!AN76</f>
        <v>0.22058934661829444</v>
      </c>
      <c r="AP69" s="93">
        <f>'Returns per Gal.'!AO76</f>
        <v>2.4343334497082258E-2</v>
      </c>
      <c r="AQ69" s="93">
        <f>'Returns per Gal.'!AP76</f>
        <v>0.14666443444976096</v>
      </c>
      <c r="AR69" s="93">
        <f>'Returns per Gal.'!AQ76</f>
        <v>-0.1223210999526787</v>
      </c>
      <c r="AS69" s="52"/>
      <c r="AU69" s="177">
        <f>'Returns per Bu.'!G76</f>
        <v>3.6240909090909099</v>
      </c>
      <c r="AV69" s="166">
        <f>'Returns per Bu.'!N76</f>
        <v>5.719155681818183</v>
      </c>
      <c r="AW69" s="166">
        <f>'Returns per Bu.'!O76</f>
        <v>4.0420845472727285</v>
      </c>
      <c r="AX69" s="169">
        <f>'Returns per Bu.'!Z76</f>
        <v>0.12728455149243698</v>
      </c>
      <c r="AY69" s="162">
        <f>'Returns per Bu.'!AF76</f>
        <v>3.9727060439560442</v>
      </c>
      <c r="AZ69" s="165" t="e">
        <f>'Returns per Bu.'!#REF!</f>
        <v>#REF!</v>
      </c>
      <c r="BA69" s="15">
        <f t="shared" si="3"/>
        <v>2.9672115384615387</v>
      </c>
      <c r="BB69" s="93">
        <f>'Returns per Bu.'!AD76</f>
        <v>1.0054945054945055</v>
      </c>
      <c r="BC69" s="93">
        <f t="shared" si="4"/>
        <v>1.04112685560054</v>
      </c>
      <c r="BD69" s="93"/>
    </row>
    <row r="70" spans="1:56" hidden="1" x14ac:dyDescent="0.2">
      <c r="A70" s="8">
        <v>40422</v>
      </c>
      <c r="C70" s="53"/>
      <c r="D70" s="93">
        <v>2.0068181818181809</v>
      </c>
      <c r="E70" s="95">
        <v>123.21428571428571</v>
      </c>
      <c r="F70" s="323"/>
      <c r="G70" s="93">
        <v>4.3160089285714278</v>
      </c>
      <c r="H70" s="96">
        <v>5.59</v>
      </c>
      <c r="I70" s="85">
        <f>'Returns per Gal.'!H77</f>
        <v>0</v>
      </c>
      <c r="J70" s="16"/>
      <c r="K70" s="93">
        <f>'Returns per Gal.'!J77</f>
        <v>2.0068181818181809</v>
      </c>
      <c r="L70" s="93">
        <f>'Returns per Gal.'!K77</f>
        <v>0.36531954887218043</v>
      </c>
      <c r="M70" s="93"/>
      <c r="N70" s="93">
        <f>'Returns per Gal.'!M77</f>
        <v>2.3721377306903615</v>
      </c>
      <c r="O70" s="85"/>
      <c r="P70" s="16"/>
      <c r="Q70" s="93">
        <f>'Returns per Gal.'!P77</f>
        <v>1.5143890977443606</v>
      </c>
      <c r="R70" s="93">
        <f>'Returns per Gal.'!Q77</f>
        <v>0.16769999999999999</v>
      </c>
      <c r="S70" s="93">
        <f>'Returns per Gal.'!R77</f>
        <v>0.21939999999999998</v>
      </c>
      <c r="T70" s="93">
        <f>'Returns per Gal.'!S77</f>
        <v>1.9014890977443606</v>
      </c>
      <c r="U70" s="93">
        <f>'Returns per Gal.'!T77</f>
        <v>0.19624601212121212</v>
      </c>
      <c r="V70" s="93">
        <f>'Returns per Gal.'!U77</f>
        <v>2.0977351098655728</v>
      </c>
      <c r="W70" s="93">
        <f>'Returns per Gal.'!V77</f>
        <v>1.7324155609933922</v>
      </c>
      <c r="X70" s="105"/>
      <c r="Y70" s="93"/>
      <c r="Z70" s="93">
        <f>'Returns per Gal.'!Y77</f>
        <v>0.65154863294600096</v>
      </c>
      <c r="AA70" s="93">
        <f>'Returns per Gal.'!Z77</f>
        <v>0.4706486329460009</v>
      </c>
      <c r="AB70" s="93">
        <f>'Returns per Gal.'!AA77</f>
        <v>0.27440262082478872</v>
      </c>
      <c r="AC70" s="80">
        <f>'Returns per Gal.'!AB77</f>
        <v>0</v>
      </c>
      <c r="AD70" s="17">
        <f>'Returns per Gal.'!AC77</f>
        <v>0</v>
      </c>
      <c r="AE70" s="81">
        <f>'Returns per Gal.'!AD77</f>
        <v>0</v>
      </c>
      <c r="AF70" s="93">
        <f>'Returns per Gal.'!AE77</f>
        <v>0.39128123338649656</v>
      </c>
      <c r="AG70" s="93">
        <f>'Returns per Gal.'!AF77</f>
        <v>0.88281765018607117</v>
      </c>
      <c r="AH70" s="93">
        <f>'Returns per Gal.'!AG77</f>
        <v>1.2740988835725677</v>
      </c>
      <c r="AI70" s="105">
        <f>'Returns per Gal.'!AH77</f>
        <v>0</v>
      </c>
      <c r="AJ70" s="104">
        <f>'Returns per Gal.'!AI77</f>
        <v>0</v>
      </c>
      <c r="AK70" s="93">
        <f>'Returns per Gal.'!AJ77</f>
        <v>1.6611988835725677</v>
      </c>
      <c r="AL70" s="93">
        <f>'Returns per Gal.'!AK77</f>
        <v>1.8574448956937799</v>
      </c>
      <c r="AM70" s="105">
        <f>'Returns per Gal.'!AL77</f>
        <v>0</v>
      </c>
      <c r="AN70" s="104"/>
      <c r="AO70" s="93">
        <f>'Returns per Gal.'!AN77</f>
        <v>0.71093884711779376</v>
      </c>
      <c r="AP70" s="93">
        <f>'Returns per Gal.'!AO77</f>
        <v>0.51469283499658158</v>
      </c>
      <c r="AQ70" s="93">
        <f>'Returns per Gal.'!AP77</f>
        <v>0.27440262082478872</v>
      </c>
      <c r="AR70" s="93">
        <f>'Returns per Gal.'!AQ77</f>
        <v>0.24029021417179286</v>
      </c>
      <c r="AS70" s="52"/>
      <c r="AU70" s="177">
        <f>'Returns per Bu.'!G77</f>
        <v>4.3160089285714278</v>
      </c>
      <c r="AV70" s="166">
        <f>'Returns per Bu.'!N77</f>
        <v>6.7605925324675304</v>
      </c>
      <c r="AW70" s="166">
        <f>'Returns per Bu.'!O77</f>
        <v>5.0980563979220763</v>
      </c>
      <c r="AX70" s="169">
        <f>'Returns per Bu.'!Z77</f>
        <v>0.23814372346689566</v>
      </c>
      <c r="AY70" s="162">
        <f>'Returns per Bu.'!AF77</f>
        <v>3.6311818181818181</v>
      </c>
      <c r="AZ70" s="165" t="e">
        <f>'Returns per Bu.'!#REF!</f>
        <v>#REF!</v>
      </c>
      <c r="BA70" s="15">
        <f t="shared" si="3"/>
        <v>2.5160303030303028</v>
      </c>
      <c r="BB70" s="93">
        <f>'Returns per Bu.'!AD77</f>
        <v>1.1151515151515152</v>
      </c>
      <c r="BC70" s="93">
        <f t="shared" si="4"/>
        <v>0.88281765018607117</v>
      </c>
      <c r="BD70" s="93"/>
    </row>
    <row r="71" spans="1:56" hidden="1" x14ac:dyDescent="0.2">
      <c r="A71" s="8">
        <v>40452</v>
      </c>
      <c r="C71" s="53"/>
      <c r="D71" s="93">
        <v>2.1119047619047624</v>
      </c>
      <c r="E71" s="95">
        <v>141.92261904761904</v>
      </c>
      <c r="F71" s="323"/>
      <c r="G71" s="93">
        <v>4.9546041666666651</v>
      </c>
      <c r="H71" s="96">
        <v>4.8499999999999996</v>
      </c>
      <c r="I71" s="85">
        <f>'Returns per Gal.'!H79</f>
        <v>0</v>
      </c>
      <c r="J71" s="16"/>
      <c r="K71" s="93">
        <f>'Returns per Gal.'!J78</f>
        <v>2.1119047619047624</v>
      </c>
      <c r="L71" s="93">
        <f>'Returns per Gal.'!K78</f>
        <v>0.42078811612364236</v>
      </c>
      <c r="M71" s="93"/>
      <c r="N71" s="93">
        <f>'Returns per Gal.'!M78</f>
        <v>2.5326928780284046</v>
      </c>
      <c r="O71" s="85"/>
      <c r="P71" s="16"/>
      <c r="Q71" s="93">
        <f>'Returns per Gal.'!P78</f>
        <v>1.7384576023391807</v>
      </c>
      <c r="R71" s="93">
        <f>'Returns per Gal.'!Q78</f>
        <v>0.14549999999999999</v>
      </c>
      <c r="S71" s="93">
        <f>'Returns per Gal.'!R78</f>
        <v>0.21939999999999998</v>
      </c>
      <c r="T71" s="93">
        <f>'Returns per Gal.'!S78</f>
        <v>2.1033576023391807</v>
      </c>
      <c r="U71" s="93">
        <f>'Returns per Gal.'!T78</f>
        <v>0.19624601212121212</v>
      </c>
      <c r="V71" s="93">
        <f>'Returns per Gal.'!U78</f>
        <v>2.2996036144603926</v>
      </c>
      <c r="W71" s="93">
        <f>'Returns per Gal.'!V78</f>
        <v>1.8788154983367502</v>
      </c>
      <c r="X71" s="105"/>
      <c r="Y71" s="93"/>
      <c r="Z71" s="93">
        <f>'Returns per Gal.'!Y78</f>
        <v>0.61023527568922398</v>
      </c>
      <c r="AA71" s="93">
        <f>'Returns per Gal.'!Z78</f>
        <v>0.42933527568922392</v>
      </c>
      <c r="AB71" s="93">
        <f>'Returns per Gal.'!AA78</f>
        <v>0.23308926356801196</v>
      </c>
      <c r="AC71" s="80">
        <f>'Returns per Gal.'!AB78</f>
        <v>0</v>
      </c>
      <c r="AD71" s="17">
        <f>'Returns per Gal.'!AC78</f>
        <v>0</v>
      </c>
      <c r="AE71" s="81">
        <f>'Returns per Gal.'!AD78</f>
        <v>0</v>
      </c>
      <c r="AF71" s="93">
        <f>'Returns per Gal.'!AE78</f>
        <v>0.39128123338649656</v>
      </c>
      <c r="AG71" s="93">
        <f>'Returns per Gal.'!AF78</f>
        <v>0.88281765018607117</v>
      </c>
      <c r="AH71" s="93">
        <f>'Returns per Gal.'!AG78</f>
        <v>1.2740988835725677</v>
      </c>
      <c r="AI71" s="105">
        <f>'Returns per Gal.'!AH78</f>
        <v>0</v>
      </c>
      <c r="AJ71" s="104">
        <f>'Returns per Gal.'!AI78</f>
        <v>0</v>
      </c>
      <c r="AK71" s="93">
        <f>'Returns per Gal.'!AJ78</f>
        <v>1.6389988835725677</v>
      </c>
      <c r="AL71" s="93">
        <f>'Returns per Gal.'!AK78</f>
        <v>1.8352448956937799</v>
      </c>
      <c r="AM71" s="105">
        <f>'Returns per Gal.'!AL78</f>
        <v>0</v>
      </c>
      <c r="AN71" s="104"/>
      <c r="AO71" s="93">
        <f>'Returns per Gal.'!AN78</f>
        <v>0.89369399445583686</v>
      </c>
      <c r="AP71" s="93">
        <f>'Returns per Gal.'!AO78</f>
        <v>0.69744798233462468</v>
      </c>
      <c r="AQ71" s="93">
        <f>'Returns per Gal.'!AP78</f>
        <v>0.23308926356801174</v>
      </c>
      <c r="AR71" s="93">
        <f>'Returns per Gal.'!AQ78</f>
        <v>0.46435871876661294</v>
      </c>
      <c r="AS71" s="52"/>
      <c r="AU71" s="177">
        <f>'Returns per Bu.'!G78</f>
        <v>4.9546041666666651</v>
      </c>
      <c r="AV71" s="166">
        <f>'Returns per Bu.'!N78</f>
        <v>7.2181747023809537</v>
      </c>
      <c r="AW71" s="166">
        <f>'Returns per Bu.'!O78</f>
        <v>5.6189085678354997</v>
      </c>
      <c r="AX71" s="169">
        <f>'Returns per Bu.'!Z78</f>
        <v>0.20228941312366833</v>
      </c>
      <c r="AY71" s="162">
        <f>'Returns per Bu.'!AF78</f>
        <v>3.6311818181818181</v>
      </c>
      <c r="AZ71" s="165" t="e">
        <f>'Returns per Bu.'!#REF!</f>
        <v>#REF!</v>
      </c>
      <c r="BA71" s="15">
        <f t="shared" si="3"/>
        <v>2.5160303030303028</v>
      </c>
      <c r="BB71" s="93">
        <f>'Returns per Bu.'!AD78</f>
        <v>1.1151515151515152</v>
      </c>
      <c r="BC71" s="93">
        <f t="shared" si="4"/>
        <v>0.88281765018607117</v>
      </c>
    </row>
    <row r="72" spans="1:56" hidden="1" x14ac:dyDescent="0.2">
      <c r="A72" s="8">
        <v>40483</v>
      </c>
      <c r="C72" s="53"/>
      <c r="D72" s="93">
        <v>2.33</v>
      </c>
      <c r="E72" s="95">
        <v>152.38095238095238</v>
      </c>
      <c r="F72" s="323"/>
      <c r="G72" s="93">
        <v>5.2398809523809557</v>
      </c>
      <c r="H72" s="96">
        <v>5.58</v>
      </c>
      <c r="I72" s="85">
        <f>'Returns per Gal.'!H80</f>
        <v>0</v>
      </c>
      <c r="J72" s="16"/>
      <c r="K72" s="93">
        <f>'Returns per Gal.'!J79</f>
        <v>2.33</v>
      </c>
      <c r="L72" s="93">
        <f>'Returns per Gal.'!K79</f>
        <v>0.45179615705931486</v>
      </c>
      <c r="M72" s="93"/>
      <c r="N72" s="93">
        <f>'Returns per Gal.'!M79</f>
        <v>2.7817961570593148</v>
      </c>
      <c r="O72" s="85"/>
      <c r="P72" s="16"/>
      <c r="Q72" s="93">
        <f>'Returns per Gal.'!P79</f>
        <v>1.8385547201336687</v>
      </c>
      <c r="R72" s="93">
        <f>'Returns per Gal.'!Q79</f>
        <v>0.16739999999999999</v>
      </c>
      <c r="S72" s="93">
        <f>'Returns per Gal.'!R79</f>
        <v>0.21939999999999998</v>
      </c>
      <c r="T72" s="93">
        <f>'Returns per Gal.'!S79</f>
        <v>2.2253547201336685</v>
      </c>
      <c r="U72" s="93">
        <f>'Returns per Gal.'!T79</f>
        <v>0.19624601212121212</v>
      </c>
      <c r="V72" s="93">
        <f>'Returns per Gal.'!U79</f>
        <v>2.4216007322548805</v>
      </c>
      <c r="W72" s="93">
        <f>'Returns per Gal.'!V79</f>
        <v>1.9698045751955657</v>
      </c>
      <c r="X72" s="105"/>
      <c r="Y72" s="93"/>
      <c r="Z72" s="93">
        <f>'Returns per Gal.'!Y79</f>
        <v>0.73734143692564613</v>
      </c>
      <c r="AA72" s="93">
        <f>'Returns per Gal.'!Z79</f>
        <v>0.55644143692564629</v>
      </c>
      <c r="AB72" s="93">
        <f>'Returns per Gal.'!AA79</f>
        <v>0.36019542480443434</v>
      </c>
      <c r="AC72" s="80">
        <f>'Returns per Gal.'!AB79</f>
        <v>0</v>
      </c>
      <c r="AD72" s="17">
        <f>'Returns per Gal.'!AC79</f>
        <v>0</v>
      </c>
      <c r="AE72" s="81">
        <f>'Returns per Gal.'!AD79</f>
        <v>0</v>
      </c>
      <c r="AF72" s="93">
        <f>'Returns per Gal.'!AE79</f>
        <v>0.39128123338649656</v>
      </c>
      <c r="AG72" s="93">
        <f>'Returns per Gal.'!AF79</f>
        <v>0.88281765018607117</v>
      </c>
      <c r="AH72" s="93">
        <f>'Returns per Gal.'!AG79</f>
        <v>1.2740988835725677</v>
      </c>
      <c r="AI72" s="105">
        <f>'Returns per Gal.'!AH79</f>
        <v>0</v>
      </c>
      <c r="AJ72" s="104">
        <f>'Returns per Gal.'!AI79</f>
        <v>0</v>
      </c>
      <c r="AK72" s="93">
        <f>'Returns per Gal.'!AJ79</f>
        <v>1.6608988835725678</v>
      </c>
      <c r="AL72" s="93">
        <f>'Returns per Gal.'!AK79</f>
        <v>1.8571448956937799</v>
      </c>
      <c r="AM72" s="105">
        <f>'Returns per Gal.'!AL79</f>
        <v>0</v>
      </c>
      <c r="AN72" s="104"/>
      <c r="AO72" s="93">
        <f>'Returns per Gal.'!AN79</f>
        <v>1.1208972734867471</v>
      </c>
      <c r="AP72" s="93">
        <f>'Returns per Gal.'!AO79</f>
        <v>0.92465126136553488</v>
      </c>
      <c r="AQ72" s="93">
        <f>'Returns per Gal.'!AP79</f>
        <v>0.36019542480443389</v>
      </c>
      <c r="AR72" s="93">
        <f>'Returns per Gal.'!AQ79</f>
        <v>0.56445583656110099</v>
      </c>
      <c r="AS72" s="52"/>
      <c r="AU72" s="177">
        <f>'Returns per Bu.'!G79</f>
        <v>5.2398809523809557</v>
      </c>
      <c r="AV72" s="166">
        <f>'Returns per Bu.'!N79</f>
        <v>7.928119047619048</v>
      </c>
      <c r="AW72" s="166">
        <f>'Returns per Bu.'!O79</f>
        <v>6.2664379130735934</v>
      </c>
      <c r="AX72" s="169">
        <f>'Returns per Bu.'!Z79</f>
        <v>0.3126000742297545</v>
      </c>
      <c r="AY72" s="162">
        <f>'Returns per Bu.'!AF79</f>
        <v>3.6311818181818181</v>
      </c>
      <c r="AZ72" s="165" t="e">
        <f>'Returns per Bu.'!#REF!</f>
        <v>#REF!</v>
      </c>
      <c r="BA72" s="15">
        <f t="shared" si="3"/>
        <v>2.5160303030303028</v>
      </c>
      <c r="BB72" s="93">
        <f>'Returns per Bu.'!AD79</f>
        <v>1.1151515151515152</v>
      </c>
      <c r="BC72" s="93">
        <f t="shared" si="4"/>
        <v>0.88281765018607117</v>
      </c>
    </row>
    <row r="73" spans="1:56" hidden="1" x14ac:dyDescent="0.2">
      <c r="A73" s="68">
        <v>40513</v>
      </c>
      <c r="B73" s="29"/>
      <c r="C73" s="56"/>
      <c r="D73" s="97">
        <v>2.1004761904761913</v>
      </c>
      <c r="E73" s="99">
        <v>161.1904761904762</v>
      </c>
      <c r="F73" s="324"/>
      <c r="G73" s="97">
        <v>5.5979761904761896</v>
      </c>
      <c r="H73" s="100">
        <v>6.07</v>
      </c>
      <c r="I73" s="87">
        <f>'Returns per Gal.'!H81</f>
        <v>0</v>
      </c>
      <c r="J73" s="86"/>
      <c r="K73" s="93">
        <f>'Returns per Gal.'!J80</f>
        <v>2.1004761904761913</v>
      </c>
      <c r="L73" s="93">
        <f>'Returns per Gal.'!K80</f>
        <v>0.47791562238930663</v>
      </c>
      <c r="M73" s="93"/>
      <c r="N73" s="93">
        <f>'Returns per Gal.'!M80</f>
        <v>2.5783918128654979</v>
      </c>
      <c r="O73" s="85"/>
      <c r="P73" s="16"/>
      <c r="Q73" s="93">
        <f>'Returns per Gal.'!P80</f>
        <v>1.9642021720969085</v>
      </c>
      <c r="R73" s="93">
        <f>'Returns per Gal.'!Q80</f>
        <v>0.18209999999999998</v>
      </c>
      <c r="S73" s="93">
        <f>'Returns per Gal.'!R80</f>
        <v>0.21939999999999998</v>
      </c>
      <c r="T73" s="93">
        <f>'Returns per Gal.'!S80</f>
        <v>2.3657021720969085</v>
      </c>
      <c r="U73" s="93">
        <f>'Returns per Gal.'!T80</f>
        <v>0.19624601212121212</v>
      </c>
      <c r="V73" s="93">
        <f>'Returns per Gal.'!U80</f>
        <v>2.5619481842181204</v>
      </c>
      <c r="W73" s="93">
        <f>'Returns per Gal.'!V80</f>
        <v>2.0840325618288138</v>
      </c>
      <c r="X73" s="105"/>
      <c r="Y73" s="93"/>
      <c r="Z73" s="93">
        <f>'Returns per Gal.'!Y80</f>
        <v>0.39358964076858943</v>
      </c>
      <c r="AA73" s="93">
        <f>'Returns per Gal.'!Z80</f>
        <v>0.21268964076858943</v>
      </c>
      <c r="AB73" s="93">
        <f>'Returns per Gal.'!AA80</f>
        <v>1.6443628647377473E-2</v>
      </c>
      <c r="AC73" s="82">
        <f>'Returns per Gal.'!AB80</f>
        <v>0</v>
      </c>
      <c r="AD73" s="17">
        <f>'Returns per Gal.'!AC80</f>
        <v>0</v>
      </c>
      <c r="AE73" s="83">
        <f>'Returns per Gal.'!AD80</f>
        <v>0</v>
      </c>
      <c r="AF73" s="97">
        <f>'Returns per Gal.'!AE80</f>
        <v>0.39128123338649656</v>
      </c>
      <c r="AG73" s="97">
        <f>'Returns per Gal.'!AF80</f>
        <v>0.88281765018607117</v>
      </c>
      <c r="AH73" s="97">
        <f>'Returns per Gal.'!AG80</f>
        <v>1.2740988835725677</v>
      </c>
      <c r="AI73" s="107">
        <f>'Returns per Gal.'!AH80</f>
        <v>0</v>
      </c>
      <c r="AJ73" s="106">
        <f>'Returns per Gal.'!AI80</f>
        <v>0</v>
      </c>
      <c r="AK73" s="97">
        <f>'Returns per Gal.'!AJ80</f>
        <v>1.6755988835725677</v>
      </c>
      <c r="AL73" s="93">
        <f>'Returns per Gal.'!AK80</f>
        <v>1.8718448956937799</v>
      </c>
      <c r="AM73" s="105">
        <f>'Returns per Gal.'!AL80</f>
        <v>0</v>
      </c>
      <c r="AN73" s="104"/>
      <c r="AO73" s="93">
        <f>'Returns per Gal.'!AN80</f>
        <v>0.9027929292929302</v>
      </c>
      <c r="AP73" s="93">
        <f>'Returns per Gal.'!AO80</f>
        <v>0.70654691717171803</v>
      </c>
      <c r="AQ73" s="93">
        <f>'Returns per Gal.'!AP80</f>
        <v>1.6443628647377251E-2</v>
      </c>
      <c r="AR73" s="93">
        <f>'Returns per Gal.'!AQ80</f>
        <v>0.69010328852434077</v>
      </c>
      <c r="AS73" s="64"/>
      <c r="AU73" s="177">
        <f>'Returns per Bu.'!G80</f>
        <v>5.5979761904761896</v>
      </c>
      <c r="AV73" s="166">
        <f>'Returns per Bu.'!N80</f>
        <v>7.3484166666666697</v>
      </c>
      <c r="AW73" s="166">
        <f>'Returns per Bu.'!O80</f>
        <v>5.6448405321212158</v>
      </c>
      <c r="AX73" s="169">
        <f>'Returns per Bu.'!Z80</f>
        <v>1.4270807405640009E-2</v>
      </c>
      <c r="AY73" s="163">
        <f>'Returns per Bu.'!AF80</f>
        <v>3.6311818181818181</v>
      </c>
      <c r="AZ73" s="164" t="e">
        <f>'Returns per Bu.'!#REF!</f>
        <v>#REF!</v>
      </c>
      <c r="BA73" s="15">
        <f t="shared" si="3"/>
        <v>2.5160303030303028</v>
      </c>
      <c r="BB73" s="93">
        <f>'Returns per Bu.'!AD80</f>
        <v>1.1151515151515152</v>
      </c>
      <c r="BC73" s="93">
        <f t="shared" si="4"/>
        <v>0.88281765018607117</v>
      </c>
    </row>
    <row r="74" spans="1:56" hidden="1" x14ac:dyDescent="0.2">
      <c r="A74" s="21">
        <v>40544</v>
      </c>
      <c r="C74" s="53"/>
      <c r="D74" s="101">
        <v>2.2695238095238093</v>
      </c>
      <c r="E74" s="103">
        <v>179.39285714285714</v>
      </c>
      <c r="F74" s="325"/>
      <c r="G74" s="101">
        <v>6.0441666666666682</v>
      </c>
      <c r="H74" s="90">
        <v>6.51</v>
      </c>
      <c r="I74" s="209"/>
      <c r="K74" s="101">
        <f>'Returns per Gal.'!J81</f>
        <v>2.2695238095238093</v>
      </c>
      <c r="L74" s="101">
        <f>'Returns per Gal.'!K81</f>
        <v>0.53188408521303243</v>
      </c>
      <c r="M74" s="101"/>
      <c r="N74" s="101">
        <f>'Returns per Gal.'!M81</f>
        <v>2.8014078947368417</v>
      </c>
      <c r="O74" s="115">
        <f>'Returns per Gal.'!N81</f>
        <v>0</v>
      </c>
      <c r="P74" s="114">
        <f>'Returns per Gal.'!O81</f>
        <v>0</v>
      </c>
      <c r="Q74" s="101">
        <f>'Returns per Gal.'!P81</f>
        <v>2.1207602339181291</v>
      </c>
      <c r="R74" s="101">
        <f>'Returns per Gal.'!Q81</f>
        <v>0.1953</v>
      </c>
      <c r="S74" s="101">
        <f>'Returns per Gal.'!R81</f>
        <v>0.21939999999999998</v>
      </c>
      <c r="T74" s="101">
        <f>'Returns per Gal.'!S81</f>
        <v>2.5354602339181289</v>
      </c>
      <c r="U74" s="101">
        <f>'Returns per Gal.'!T81</f>
        <v>0.19624601212121212</v>
      </c>
      <c r="V74" s="101">
        <f>'Returns per Gal.'!U81</f>
        <v>2.7317062460393409</v>
      </c>
      <c r="W74" s="101">
        <f>'Returns per Gal.'!V81</f>
        <v>2.1998221608263084</v>
      </c>
      <c r="X74" s="116"/>
      <c r="Y74" s="101">
        <f>'Returns per Gal.'!V81</f>
        <v>2.1998221608263084</v>
      </c>
      <c r="Z74" s="101">
        <f>'Returns per Gal.'!Y81</f>
        <v>0.44684766081871263</v>
      </c>
      <c r="AA74" s="101">
        <f>'Returns per Gal.'!Z81</f>
        <v>0.26594766081871279</v>
      </c>
      <c r="AB74" s="101">
        <f>'Returns per Gal.'!AA81</f>
        <v>6.970164869750084E-2</v>
      </c>
      <c r="AC74" s="80">
        <f>'Returns per Gal.'!AB81</f>
        <v>0</v>
      </c>
      <c r="AD74" s="15">
        <f>'Returns per Gal.'!AC81</f>
        <v>0</v>
      </c>
      <c r="AE74" s="81">
        <f>'Returns per Gal.'!AD81</f>
        <v>0</v>
      </c>
      <c r="AF74" s="93">
        <f>'Returns per Gal.'!AE81</f>
        <v>0.39128123338649656</v>
      </c>
      <c r="AG74" s="93">
        <f>'Returns per Gal.'!AF81</f>
        <v>0.88281765018607117</v>
      </c>
      <c r="AH74" s="93">
        <f>'Returns per Gal.'!AG81</f>
        <v>1.2740988835725677</v>
      </c>
      <c r="AI74" s="105">
        <f>'Returns per Gal.'!AH81</f>
        <v>0</v>
      </c>
      <c r="AJ74" s="104">
        <f>'Returns per Gal.'!AI81</f>
        <v>0</v>
      </c>
      <c r="AK74" s="93">
        <f>'Returns per Gal.'!AJ81</f>
        <v>1.6887988835725678</v>
      </c>
      <c r="AL74" s="101">
        <f>'Returns per Gal.'!AK81</f>
        <v>1.88504489569378</v>
      </c>
      <c r="AM74" s="116">
        <f>'Returns per Gal.'!AL81</f>
        <v>0</v>
      </c>
      <c r="AN74" s="117"/>
      <c r="AO74" s="101">
        <f>'Returns per Gal.'!AN81</f>
        <v>1.1126090111642739</v>
      </c>
      <c r="AP74" s="101">
        <f>'Returns per Gal.'!AO81</f>
        <v>0.91636299904306173</v>
      </c>
      <c r="AQ74" s="101">
        <f>'Returns per Gal.'!AP81</f>
        <v>6.9701648697500396E-2</v>
      </c>
      <c r="AR74" s="101">
        <f>'Returns per Gal.'!AQ81</f>
        <v>0.84666135034556134</v>
      </c>
      <c r="AS74" s="52"/>
      <c r="AU74" s="179">
        <f>'Returns per Bu.'!G81</f>
        <v>6.0441666666666682</v>
      </c>
      <c r="AV74" s="168">
        <f>'Returns per Bu.'!N81</f>
        <v>7.9840124999999986</v>
      </c>
      <c r="AW74" s="168">
        <f>'Returns per Bu.'!O81</f>
        <v>6.2428163654545443</v>
      </c>
      <c r="AX74" s="171">
        <f>'Returns per Bu.'!Z81</f>
        <v>6.0491441746115857E-2</v>
      </c>
      <c r="AY74" s="162">
        <f>'Returns per Bu.'!AF81</f>
        <v>3.6311818181818181</v>
      </c>
      <c r="AZ74" s="165" t="e">
        <f>'Returns per Bu.'!#REF!</f>
        <v>#REF!</v>
      </c>
      <c r="BA74" s="15">
        <f t="shared" si="3"/>
        <v>2.5160303030303028</v>
      </c>
      <c r="BB74" s="93">
        <f>'Returns per Bu.'!AD81</f>
        <v>1.1151515151515152</v>
      </c>
      <c r="BC74" s="93">
        <f t="shared" si="4"/>
        <v>0.88281765018607117</v>
      </c>
    </row>
    <row r="75" spans="1:56" hidden="1" x14ac:dyDescent="0.2">
      <c r="A75" s="8">
        <v>40575</v>
      </c>
      <c r="C75" s="53"/>
      <c r="D75" s="93">
        <v>2.2922500000000001</v>
      </c>
      <c r="E75" s="95">
        <v>190.81578947368422</v>
      </c>
      <c r="F75" s="323"/>
      <c r="G75" s="93">
        <v>6.5826315789473684</v>
      </c>
      <c r="H75" s="96">
        <v>6.39</v>
      </c>
      <c r="I75" s="85"/>
      <c r="K75" s="93">
        <f>'Returns per Gal.'!J82</f>
        <v>2.2922500000000001</v>
      </c>
      <c r="L75" s="93">
        <f>'Returns per Gal.'!K82</f>
        <v>0.56575207756232682</v>
      </c>
      <c r="M75" s="93"/>
      <c r="N75" s="93">
        <f>'Returns per Gal.'!M82</f>
        <v>2.8580020775623272</v>
      </c>
      <c r="O75" s="110">
        <f>'Returns per Gal.'!N82</f>
        <v>0</v>
      </c>
      <c r="P75" s="108">
        <f>'Returns per Gal.'!O82</f>
        <v>0</v>
      </c>
      <c r="Q75" s="93">
        <f>'Returns per Gal.'!P82</f>
        <v>2.3096952908587256</v>
      </c>
      <c r="R75" s="93">
        <f>'Returns per Gal.'!Q82</f>
        <v>0.19169999999999998</v>
      </c>
      <c r="S75" s="93">
        <f>'Returns per Gal.'!R82</f>
        <v>0.21939999999999998</v>
      </c>
      <c r="T75" s="93">
        <f>'Returns per Gal.'!S82</f>
        <v>2.7207952908587254</v>
      </c>
      <c r="U75" s="93">
        <f>'Returns per Gal.'!T82</f>
        <v>0.19624601212121212</v>
      </c>
      <c r="V75" s="93">
        <f>'Returns per Gal.'!U82</f>
        <v>2.9170413029799374</v>
      </c>
      <c r="W75" s="93">
        <f>'Returns per Gal.'!V82</f>
        <v>2.3512892254176103</v>
      </c>
      <c r="X75" s="105"/>
      <c r="Y75" s="93">
        <f>'Returns per Gal.'!V82</f>
        <v>2.3512892254176103</v>
      </c>
      <c r="Z75" s="93">
        <f>'Returns per Gal.'!Y82</f>
        <v>0.3181067867036016</v>
      </c>
      <c r="AA75" s="93">
        <f>'Returns per Gal.'!Z82</f>
        <v>0.13720678670360176</v>
      </c>
      <c r="AB75" s="93">
        <f>'Returns per Gal.'!AA82</f>
        <v>-5.9039225417610197E-2</v>
      </c>
      <c r="AC75" s="80">
        <f>'Returns per Gal.'!AB82</f>
        <v>0</v>
      </c>
      <c r="AD75" s="15">
        <f>'Returns per Gal.'!AC82</f>
        <v>0</v>
      </c>
      <c r="AE75" s="81">
        <f>'Returns per Gal.'!AD82</f>
        <v>0</v>
      </c>
      <c r="AF75" s="93">
        <f>'Returns per Gal.'!AE82</f>
        <v>0.39128123338649656</v>
      </c>
      <c r="AG75" s="93">
        <f>'Returns per Gal.'!AF82</f>
        <v>0.88281765018607117</v>
      </c>
      <c r="AH75" s="93">
        <f>'Returns per Gal.'!AG82</f>
        <v>1.2740988835725677</v>
      </c>
      <c r="AI75" s="105">
        <f>'Returns per Gal.'!AH82</f>
        <v>0</v>
      </c>
      <c r="AJ75" s="104">
        <f>'Returns per Gal.'!AI82</f>
        <v>0</v>
      </c>
      <c r="AK75" s="93">
        <f>'Returns per Gal.'!AJ82</f>
        <v>1.6851988835725678</v>
      </c>
      <c r="AL75" s="93">
        <f>'Returns per Gal.'!AK82</f>
        <v>1.8814448956937799</v>
      </c>
      <c r="AM75" s="105">
        <f>'Returns per Gal.'!AL82</f>
        <v>0</v>
      </c>
      <c r="AN75" s="104"/>
      <c r="AO75" s="93">
        <f>'Returns per Gal.'!AN82</f>
        <v>1.1728031939897594</v>
      </c>
      <c r="AP75" s="93">
        <f>'Returns per Gal.'!AO82</f>
        <v>0.97655718186854723</v>
      </c>
      <c r="AQ75" s="93">
        <f>'Returns per Gal.'!AP82</f>
        <v>-5.9039225417610641E-2</v>
      </c>
      <c r="AR75" s="93">
        <f>'Returns per Gal.'!AQ82</f>
        <v>1.0355964072861579</v>
      </c>
      <c r="AS75" s="52"/>
      <c r="AU75" s="177">
        <f>'Returns per Bu.'!G82</f>
        <v>6.5826315789473684</v>
      </c>
      <c r="AV75" s="166">
        <f>'Returns per Bu.'!N82</f>
        <v>8.145305921052632</v>
      </c>
      <c r="AW75" s="166">
        <f>'Returns per Bu.'!O82</f>
        <v>6.4143697865071774</v>
      </c>
      <c r="AX75" s="169">
        <f>'Returns per Bu.'!Z82</f>
        <v>-5.1237925240257436E-2</v>
      </c>
      <c r="AY75" s="162">
        <f>'Returns per Bu.'!AF82</f>
        <v>3.6311818181818181</v>
      </c>
      <c r="AZ75" s="165" t="e">
        <f>'Returns per Bu.'!#REF!</f>
        <v>#REF!</v>
      </c>
      <c r="BA75" s="15">
        <f t="shared" si="3"/>
        <v>2.5160303030303028</v>
      </c>
      <c r="BB75" s="93">
        <f>'Returns per Bu.'!AD82</f>
        <v>1.1151515151515152</v>
      </c>
      <c r="BC75" s="93">
        <f t="shared" si="4"/>
        <v>0.88281765018607117</v>
      </c>
      <c r="BD75" s="93"/>
    </row>
    <row r="76" spans="1:56" hidden="1" x14ac:dyDescent="0.2">
      <c r="A76" s="8">
        <v>40603</v>
      </c>
      <c r="C76" s="53"/>
      <c r="D76" s="93">
        <v>2.434565217391305</v>
      </c>
      <c r="E76" s="95">
        <v>195.22826086956522</v>
      </c>
      <c r="F76" s="323"/>
      <c r="G76" s="93">
        <v>6.5423369565217415</v>
      </c>
      <c r="H76" s="96">
        <v>6.18</v>
      </c>
      <c r="I76" s="184"/>
      <c r="J76" s="12"/>
      <c r="K76" s="93">
        <f>'Returns per Gal.'!J83</f>
        <v>2.434565217391305</v>
      </c>
      <c r="L76" s="93">
        <f>'Returns per Gal.'!K83</f>
        <v>0.57883466819221963</v>
      </c>
      <c r="M76" s="93"/>
      <c r="N76" s="93">
        <f>'Returns per Gal.'!M83</f>
        <v>3.0133998855835245</v>
      </c>
      <c r="O76" s="110">
        <f>'Returns per Gal.'!N83</f>
        <v>0</v>
      </c>
      <c r="P76" s="108">
        <f>'Returns per Gal.'!O83</f>
        <v>0</v>
      </c>
      <c r="Q76" s="93">
        <f>'Returns per Gal.'!P83</f>
        <v>2.2955568268497339</v>
      </c>
      <c r="R76" s="93">
        <f>'Returns per Gal.'!Q83</f>
        <v>0.18539999999999998</v>
      </c>
      <c r="S76" s="93">
        <f>'Returns per Gal.'!R83</f>
        <v>0.21939999999999998</v>
      </c>
      <c r="T76" s="93">
        <f>'Returns per Gal.'!S83</f>
        <v>2.7003568268497338</v>
      </c>
      <c r="U76" s="93">
        <f>'Returns per Gal.'!T83</f>
        <v>0.19624601212121212</v>
      </c>
      <c r="V76" s="93">
        <f>'Returns per Gal.'!U83</f>
        <v>2.8966028389709457</v>
      </c>
      <c r="W76" s="93">
        <f>'Returns per Gal.'!V83</f>
        <v>2.3177681707787263</v>
      </c>
      <c r="X76" s="105"/>
      <c r="Y76" s="93">
        <f>'Returns per Gal.'!V83</f>
        <v>2.3177681707787263</v>
      </c>
      <c r="Z76" s="93">
        <f>'Returns per Gal.'!Y83</f>
        <v>0.49394305873379052</v>
      </c>
      <c r="AA76" s="93">
        <f>'Returns per Gal.'!Z83</f>
        <v>0.31304305873379068</v>
      </c>
      <c r="AB76" s="93">
        <f>'Returns per Gal.'!AA83</f>
        <v>0.11679704661257873</v>
      </c>
      <c r="AC76" s="80">
        <f>'Returns per Gal.'!AB83</f>
        <v>0</v>
      </c>
      <c r="AD76" s="15">
        <f>'Returns per Gal.'!AC83</f>
        <v>0</v>
      </c>
      <c r="AE76" s="81">
        <f>'Returns per Gal.'!AD83</f>
        <v>0</v>
      </c>
      <c r="AF76" s="93">
        <f>'Returns per Gal.'!AE83</f>
        <v>0.39128123338649656</v>
      </c>
      <c r="AG76" s="93">
        <f>'Returns per Gal.'!AF83</f>
        <v>0.88281765018607117</v>
      </c>
      <c r="AH76" s="93">
        <f>'Returns per Gal.'!AG83</f>
        <v>1.2740988835725677</v>
      </c>
      <c r="AI76" s="105">
        <f>'Returns per Gal.'!AH83</f>
        <v>0</v>
      </c>
      <c r="AJ76" s="104">
        <f>'Returns per Gal.'!AI83</f>
        <v>0</v>
      </c>
      <c r="AK76" s="93">
        <f>'Returns per Gal.'!AJ83</f>
        <v>1.6788988835725678</v>
      </c>
      <c r="AL76" s="93">
        <f>'Returns per Gal.'!AK83</f>
        <v>1.87514489569378</v>
      </c>
      <c r="AM76" s="105">
        <f>'Returns per Gal.'!AL83</f>
        <v>0</v>
      </c>
      <c r="AN76" s="104"/>
      <c r="AO76" s="93">
        <f>'Returns per Gal.'!AN83</f>
        <v>1.3345010020109567</v>
      </c>
      <c r="AP76" s="93">
        <f>'Returns per Gal.'!AO83</f>
        <v>1.1382549898897445</v>
      </c>
      <c r="AQ76" s="93">
        <f>'Returns per Gal.'!AP83</f>
        <v>0.11679704661257828</v>
      </c>
      <c r="AR76" s="93">
        <f>'Returns per Gal.'!AQ83</f>
        <v>1.0214579432771662</v>
      </c>
      <c r="AS76" s="52"/>
      <c r="AU76" s="177">
        <f>'Returns per Bu.'!G83</f>
        <v>6.5423369565217415</v>
      </c>
      <c r="AV76" s="166">
        <f>'Returns per Bu.'!N83</f>
        <v>8.5881896739130461</v>
      </c>
      <c r="AW76" s="166">
        <f>'Returns per Bu.'!O83</f>
        <v>6.8752085393675921</v>
      </c>
      <c r="AX76" s="169">
        <f>'Returns per Bu.'!Z83</f>
        <v>0.10136376790663464</v>
      </c>
      <c r="AY76" s="162">
        <f>'Returns per Bu.'!AF83</f>
        <v>3.6311818181818181</v>
      </c>
      <c r="AZ76" s="165" t="e">
        <f>'Returns per Bu.'!#REF!</f>
        <v>#REF!</v>
      </c>
      <c r="BA76" s="15">
        <f t="shared" si="3"/>
        <v>2.5160303030303028</v>
      </c>
      <c r="BB76" s="93">
        <f>'Returns per Bu.'!AD83</f>
        <v>1.1151515151515152</v>
      </c>
      <c r="BC76" s="93">
        <f t="shared" si="4"/>
        <v>0.88281765018607117</v>
      </c>
    </row>
    <row r="77" spans="1:56" hidden="1" x14ac:dyDescent="0.2">
      <c r="A77" s="8">
        <v>40634</v>
      </c>
      <c r="C77" s="53"/>
      <c r="D77" s="93">
        <v>2.5649999999999986</v>
      </c>
      <c r="E77" s="95">
        <v>209.45</v>
      </c>
      <c r="F77" s="323"/>
      <c r="G77" s="93">
        <v>7.2114000000000003</v>
      </c>
      <c r="H77" s="96">
        <v>5.7</v>
      </c>
      <c r="I77" s="184"/>
      <c r="J77" s="12"/>
      <c r="K77" s="93">
        <f>'Returns per Gal.'!J84</f>
        <v>2.5649999999999986</v>
      </c>
      <c r="L77" s="93">
        <f>'Returns per Gal.'!K84</f>
        <v>0.62100087719298236</v>
      </c>
      <c r="M77" s="93"/>
      <c r="N77" s="93">
        <f>'Returns per Gal.'!M84</f>
        <v>3.1860008771929809</v>
      </c>
      <c r="O77" s="110">
        <f>'Returns per Gal.'!N84</f>
        <v>0</v>
      </c>
      <c r="P77" s="108">
        <f>'Returns per Gal.'!O84</f>
        <v>0</v>
      </c>
      <c r="Q77" s="93">
        <f>'Returns per Gal.'!P84</f>
        <v>2.5303157894736841</v>
      </c>
      <c r="R77" s="93">
        <f>'Returns per Gal.'!Q84</f>
        <v>0.17100000000000001</v>
      </c>
      <c r="S77" s="93">
        <f>'Returns per Gal.'!R84</f>
        <v>0.21939999999999998</v>
      </c>
      <c r="T77" s="93">
        <f>'Returns per Gal.'!S84</f>
        <v>2.9207157894736837</v>
      </c>
      <c r="U77" s="93">
        <f>'Returns per Gal.'!T84</f>
        <v>0.19624601212121212</v>
      </c>
      <c r="V77" s="93">
        <f>'Returns per Gal.'!U84</f>
        <v>3.1169618015948957</v>
      </c>
      <c r="W77" s="93">
        <f>'Returns per Gal.'!V84</f>
        <v>2.4959609244019134</v>
      </c>
      <c r="X77" s="105"/>
      <c r="Y77" s="93">
        <f>'Returns per Gal.'!V84</f>
        <v>2.4959609244019134</v>
      </c>
      <c r="Z77" s="93">
        <f>'Returns per Gal.'!Y84</f>
        <v>0.44618508771929677</v>
      </c>
      <c r="AA77" s="93">
        <f>'Returns per Gal.'!Z84</f>
        <v>0.26528508771929715</v>
      </c>
      <c r="AB77" s="93">
        <f>'Returns per Gal.'!AA84</f>
        <v>6.9039075598085198E-2</v>
      </c>
      <c r="AC77" s="80">
        <f>'Returns per Gal.'!AB84</f>
        <v>0</v>
      </c>
      <c r="AD77" s="15">
        <f>'Returns per Gal.'!AC84</f>
        <v>0</v>
      </c>
      <c r="AE77" s="81">
        <f>'Returns per Gal.'!AD84</f>
        <v>0</v>
      </c>
      <c r="AF77" s="93">
        <f>'Returns per Gal.'!AE84</f>
        <v>0.39128123338649656</v>
      </c>
      <c r="AG77" s="93">
        <f>'Returns per Gal.'!AF84</f>
        <v>0.88281765018607117</v>
      </c>
      <c r="AH77" s="93">
        <f>'Returns per Gal.'!AG84</f>
        <v>1.2740988835725677</v>
      </c>
      <c r="AI77" s="105">
        <f>'Returns per Gal.'!AH84</f>
        <v>0</v>
      </c>
      <c r="AJ77" s="104">
        <f>'Returns per Gal.'!AI84</f>
        <v>0</v>
      </c>
      <c r="AK77" s="93">
        <f>'Returns per Gal.'!AJ84</f>
        <v>1.6644988835725678</v>
      </c>
      <c r="AL77" s="93">
        <f>'Returns per Gal.'!AK84</f>
        <v>1.86074489569378</v>
      </c>
      <c r="AM77" s="105">
        <f>'Returns per Gal.'!AL84</f>
        <v>0</v>
      </c>
      <c r="AN77" s="104"/>
      <c r="AO77" s="93">
        <f>'Returns per Gal.'!AN84</f>
        <v>1.5215019936204131</v>
      </c>
      <c r="AP77" s="93">
        <f>'Returns per Gal.'!AO84</f>
        <v>1.3252559814992009</v>
      </c>
      <c r="AQ77" s="93">
        <f>'Returns per Gal.'!AP84</f>
        <v>6.9039075598084532E-2</v>
      </c>
      <c r="AR77" s="93">
        <f>'Returns per Gal.'!AQ84</f>
        <v>1.2562169059011163</v>
      </c>
      <c r="AS77" s="52"/>
      <c r="AU77" s="177">
        <f>'Returns per Bu.'!G84</f>
        <v>7.2114000000000003</v>
      </c>
      <c r="AV77" s="166">
        <f>'Returns per Bu.'!N84</f>
        <v>9.0801024999999953</v>
      </c>
      <c r="AW77" s="166">
        <f>'Returns per Bu.'!O84</f>
        <v>7.4081613654545402</v>
      </c>
      <c r="AX77" s="169">
        <f>'Returns per Bu.'!Z84</f>
        <v>5.99164194504479E-2</v>
      </c>
      <c r="AY77" s="162">
        <f>'Returns per Bu.'!AF84</f>
        <v>3.6311818181818181</v>
      </c>
      <c r="AZ77" s="165" t="e">
        <f>'Returns per Bu.'!#REF!</f>
        <v>#REF!</v>
      </c>
      <c r="BA77" s="15">
        <f t="shared" si="3"/>
        <v>2.5160303030303028</v>
      </c>
      <c r="BB77" s="93">
        <f>'Returns per Bu.'!AD84</f>
        <v>1.1151515151515152</v>
      </c>
      <c r="BC77" s="93">
        <f t="shared" si="4"/>
        <v>0.88281765018607117</v>
      </c>
    </row>
    <row r="78" spans="1:56" hidden="1" x14ac:dyDescent="0.2">
      <c r="A78" s="8">
        <v>40664</v>
      </c>
      <c r="C78" s="53"/>
      <c r="D78" s="93">
        <v>2.5459523809523801</v>
      </c>
      <c r="E78" s="95">
        <v>197.3452380952381</v>
      </c>
      <c r="F78" s="323"/>
      <c r="G78" s="93">
        <v>6.9776190476190454</v>
      </c>
      <c r="H78" s="96">
        <v>5.47</v>
      </c>
      <c r="I78" s="184"/>
      <c r="J78" s="12"/>
      <c r="K78" s="93">
        <f>'Returns per Gal.'!J85</f>
        <v>2.5459523809523801</v>
      </c>
      <c r="L78" s="93">
        <f>'Returns per Gal.'!K85</f>
        <v>0.58511131996658305</v>
      </c>
      <c r="M78" s="93"/>
      <c r="N78" s="93">
        <f>'Returns per Gal.'!M85</f>
        <v>3.131063700918963</v>
      </c>
      <c r="O78" s="110">
        <f>'Returns per Gal.'!N85</f>
        <v>0</v>
      </c>
      <c r="P78" s="108">
        <f>'Returns per Gal.'!O85</f>
        <v>0</v>
      </c>
      <c r="Q78" s="93">
        <f>'Returns per Gal.'!P85</f>
        <v>2.4482873851294897</v>
      </c>
      <c r="R78" s="93">
        <f>'Returns per Gal.'!Q85</f>
        <v>0.1641</v>
      </c>
      <c r="S78" s="93">
        <f>'Returns per Gal.'!R85</f>
        <v>0.21939999999999998</v>
      </c>
      <c r="T78" s="93">
        <f>'Returns per Gal.'!S85</f>
        <v>2.8317873851294895</v>
      </c>
      <c r="U78" s="93">
        <f>'Returns per Gal.'!T85</f>
        <v>0.19624601212121212</v>
      </c>
      <c r="V78" s="93">
        <f>'Returns per Gal.'!U85</f>
        <v>3.0280333972507014</v>
      </c>
      <c r="W78" s="93">
        <f>'Returns per Gal.'!V85</f>
        <v>2.4429220772841185</v>
      </c>
      <c r="X78" s="105"/>
      <c r="Y78" s="93">
        <f>'Returns per Gal.'!V85</f>
        <v>2.4429220772841185</v>
      </c>
      <c r="Z78" s="93">
        <f>'Returns per Gal.'!Y85</f>
        <v>0.48017631578947328</v>
      </c>
      <c r="AA78" s="93">
        <f>'Returns per Gal.'!Z85</f>
        <v>0.29927631578947356</v>
      </c>
      <c r="AB78" s="93">
        <f>'Returns per Gal.'!AA85</f>
        <v>0.1030303036682616</v>
      </c>
      <c r="AC78" s="80">
        <f>'Returns per Gal.'!AB85</f>
        <v>0</v>
      </c>
      <c r="AD78" s="15">
        <f>'Returns per Gal.'!AC85</f>
        <v>0</v>
      </c>
      <c r="AE78" s="81">
        <f>'Returns per Gal.'!AD85</f>
        <v>0</v>
      </c>
      <c r="AF78" s="93">
        <f>'Returns per Gal.'!AE85</f>
        <v>0.39128123338649656</v>
      </c>
      <c r="AG78" s="93">
        <f>'Returns per Gal.'!AF85</f>
        <v>0.88281765018607117</v>
      </c>
      <c r="AH78" s="93">
        <f>'Returns per Gal.'!AG85</f>
        <v>1.2740988835725677</v>
      </c>
      <c r="AI78" s="105">
        <f>'Returns per Gal.'!AH85</f>
        <v>0</v>
      </c>
      <c r="AJ78" s="104">
        <f>'Returns per Gal.'!AI85</f>
        <v>0</v>
      </c>
      <c r="AK78" s="93">
        <f>'Returns per Gal.'!AJ85</f>
        <v>1.6575988835725677</v>
      </c>
      <c r="AL78" s="93">
        <f>'Returns per Gal.'!AK85</f>
        <v>1.8538448956937799</v>
      </c>
      <c r="AM78" s="105">
        <f>'Returns per Gal.'!AL85</f>
        <v>0</v>
      </c>
      <c r="AN78" s="104"/>
      <c r="AO78" s="93">
        <f>'Returns per Gal.'!AN85</f>
        <v>1.4734648173463953</v>
      </c>
      <c r="AP78" s="93">
        <f>'Returns per Gal.'!AO85</f>
        <v>1.2772188052251832</v>
      </c>
      <c r="AQ78" s="93">
        <f>'Returns per Gal.'!AP85</f>
        <v>0.10303030366826116</v>
      </c>
      <c r="AR78" s="93">
        <f>'Returns per Gal.'!AQ85</f>
        <v>1.174188501556922</v>
      </c>
      <c r="AS78" s="52"/>
      <c r="AU78" s="177">
        <f>'Returns per Bu.'!G85</f>
        <v>6.9776190476190454</v>
      </c>
      <c r="AV78" s="166">
        <f>'Returns per Bu.'!N85</f>
        <v>8.9235315476190458</v>
      </c>
      <c r="AW78" s="166">
        <f>'Returns per Bu.'!O85</f>
        <v>7.2712554130735896</v>
      </c>
      <c r="AX78" s="169">
        <f>'Returns per Bu.'!Z85</f>
        <v>8.9416129014129778E-2</v>
      </c>
      <c r="AY78" s="162">
        <f>'Returns per Bu.'!AF85</f>
        <v>3.6311818181818181</v>
      </c>
      <c r="AZ78" s="165" t="e">
        <f>'Returns per Bu.'!#REF!</f>
        <v>#REF!</v>
      </c>
      <c r="BA78" s="15">
        <f t="shared" si="3"/>
        <v>2.5160303030303028</v>
      </c>
      <c r="BB78" s="93">
        <f>'Returns per Bu.'!AD85</f>
        <v>1.1151515151515152</v>
      </c>
      <c r="BC78" s="93">
        <f t="shared" si="4"/>
        <v>0.88281765018607117</v>
      </c>
    </row>
    <row r="79" spans="1:56" hidden="1" x14ac:dyDescent="0.2">
      <c r="A79" s="8">
        <v>40695</v>
      </c>
      <c r="C79" s="53"/>
      <c r="D79" s="93">
        <v>2.6002272727272735</v>
      </c>
      <c r="E79" s="95">
        <v>193.71590909090909</v>
      </c>
      <c r="F79" s="323"/>
      <c r="G79" s="93">
        <v>7.1056534090909063</v>
      </c>
      <c r="H79" s="96">
        <v>5.46</v>
      </c>
      <c r="I79" s="184"/>
      <c r="J79" s="12"/>
      <c r="K79" s="93">
        <f>'Returns per Gal.'!J86</f>
        <v>2.6002272727272735</v>
      </c>
      <c r="L79" s="93">
        <f>'Returns per Gal.'!K86</f>
        <v>0.57435067783094096</v>
      </c>
      <c r="M79" s="93"/>
      <c r="N79" s="93">
        <f>'Returns per Gal.'!M86</f>
        <v>3.1745779505582146</v>
      </c>
      <c r="O79" s="110">
        <f>'Returns per Gal.'!N86</f>
        <v>0</v>
      </c>
      <c r="P79" s="108">
        <f>'Returns per Gal.'!O86</f>
        <v>0</v>
      </c>
      <c r="Q79" s="93">
        <f>'Returns per Gal.'!P86</f>
        <v>2.493211722488037</v>
      </c>
      <c r="R79" s="93">
        <f>'Returns per Gal.'!Q86</f>
        <v>0.1638</v>
      </c>
      <c r="S79" s="93">
        <f>'Returns per Gal.'!R86</f>
        <v>0.21939999999999998</v>
      </c>
      <c r="T79" s="93">
        <f>'Returns per Gal.'!S86</f>
        <v>2.876411722488037</v>
      </c>
      <c r="U79" s="93">
        <f>'Returns per Gal.'!T86</f>
        <v>0.19624601212121212</v>
      </c>
      <c r="V79" s="93">
        <f>'Returns per Gal.'!U86</f>
        <v>3.072657734609249</v>
      </c>
      <c r="W79" s="93">
        <f>'Returns per Gal.'!V86</f>
        <v>2.4983070567783079</v>
      </c>
      <c r="X79" s="105"/>
      <c r="Y79" s="93">
        <f>'Returns per Gal.'!V86</f>
        <v>2.4983070567783079</v>
      </c>
      <c r="Z79" s="93">
        <f>'Returns per Gal.'!Y86</f>
        <v>0.47906622807017762</v>
      </c>
      <c r="AA79" s="93">
        <f>'Returns per Gal.'!Z86</f>
        <v>0.29816622807017756</v>
      </c>
      <c r="AB79" s="93">
        <f>'Returns per Gal.'!AA86</f>
        <v>0.10192021594896561</v>
      </c>
      <c r="AC79" s="80">
        <f>'Returns per Gal.'!AB86</f>
        <v>0</v>
      </c>
      <c r="AD79" s="15">
        <f>'Returns per Gal.'!AC86</f>
        <v>0</v>
      </c>
      <c r="AE79" s="81">
        <f>'Returns per Gal.'!AD86</f>
        <v>0</v>
      </c>
      <c r="AF79" s="93">
        <f>'Returns per Gal.'!AE86</f>
        <v>0.39128123338649656</v>
      </c>
      <c r="AG79" s="93">
        <f>'Returns per Gal.'!AF86</f>
        <v>0.88281765018607117</v>
      </c>
      <c r="AH79" s="93">
        <f>'Returns per Gal.'!AG86</f>
        <v>1.2740988835725677</v>
      </c>
      <c r="AI79" s="105">
        <f>'Returns per Gal.'!AH86</f>
        <v>0</v>
      </c>
      <c r="AJ79" s="104">
        <f>'Returns per Gal.'!AI86</f>
        <v>0</v>
      </c>
      <c r="AK79" s="93">
        <f>'Returns per Gal.'!AJ86</f>
        <v>1.6572988835725677</v>
      </c>
      <c r="AL79" s="93">
        <f>'Returns per Gal.'!AK86</f>
        <v>1.8535448956937799</v>
      </c>
      <c r="AM79" s="105">
        <f>'Returns per Gal.'!AL86</f>
        <v>0</v>
      </c>
      <c r="AN79" s="104"/>
      <c r="AO79" s="93">
        <f>'Returns per Gal.'!AN86</f>
        <v>1.5172790669856469</v>
      </c>
      <c r="AP79" s="93">
        <f>'Returns per Gal.'!AO86</f>
        <v>1.3210330548644347</v>
      </c>
      <c r="AQ79" s="93">
        <f>'Returns per Gal.'!AP86</f>
        <v>0.10192021594896539</v>
      </c>
      <c r="AR79" s="93">
        <f>'Returns per Gal.'!AQ86</f>
        <v>1.2191128389154693</v>
      </c>
      <c r="AS79" s="52"/>
      <c r="AU79" s="177">
        <f>'Returns per Bu.'!G86</f>
        <v>7.1056534090909063</v>
      </c>
      <c r="AV79" s="166">
        <f>'Returns per Bu.'!N86</f>
        <v>9.0475471590909109</v>
      </c>
      <c r="AW79" s="166">
        <f>'Returns per Bu.'!O86</f>
        <v>7.3961260245454552</v>
      </c>
      <c r="AX79" s="169">
        <f>'Returns per Bu.'!Z86</f>
        <v>8.8452725595993473E-2</v>
      </c>
      <c r="AY79" s="162">
        <f>'Returns per Bu.'!AF86</f>
        <v>3.6311818181818181</v>
      </c>
      <c r="AZ79" s="165" t="e">
        <f>'Returns per Bu.'!#REF!</f>
        <v>#REF!</v>
      </c>
      <c r="BA79" s="15">
        <f t="shared" si="3"/>
        <v>2.5160303030303028</v>
      </c>
      <c r="BB79" s="93">
        <f>'Returns per Bu.'!AD86</f>
        <v>1.1151515151515152</v>
      </c>
      <c r="BC79" s="93">
        <f t="shared" si="4"/>
        <v>0.88281765018607117</v>
      </c>
    </row>
    <row r="80" spans="1:56" hidden="1" x14ac:dyDescent="0.2">
      <c r="A80" s="8">
        <v>40725</v>
      </c>
      <c r="C80" s="53"/>
      <c r="D80" s="93">
        <v>2.7150000000000003</v>
      </c>
      <c r="E80" s="95">
        <v>191.25</v>
      </c>
      <c r="F80" s="323"/>
      <c r="G80" s="93">
        <v>6.802525000000001</v>
      </c>
      <c r="H80" s="96">
        <v>5.63</v>
      </c>
      <c r="I80" s="184"/>
      <c r="J80" s="12"/>
      <c r="K80" s="93">
        <f>'Returns per Gal.'!J87</f>
        <v>2.7150000000000003</v>
      </c>
      <c r="L80" s="93">
        <f>'Returns per Gal.'!K87</f>
        <v>0.56703947368421048</v>
      </c>
      <c r="M80" s="93"/>
      <c r="N80" s="93">
        <f>'Returns per Gal.'!M87</f>
        <v>3.2820394736842107</v>
      </c>
      <c r="O80" s="110">
        <f>'Returns per Gal.'!N87</f>
        <v>0</v>
      </c>
      <c r="P80" s="108">
        <f>'Returns per Gal.'!O87</f>
        <v>0</v>
      </c>
      <c r="Q80" s="93">
        <f>'Returns per Gal.'!P87</f>
        <v>2.3868508771929826</v>
      </c>
      <c r="R80" s="93">
        <f>'Returns per Gal.'!Q87</f>
        <v>0.16889999999999999</v>
      </c>
      <c r="S80" s="93">
        <f>'Returns per Gal.'!R87</f>
        <v>0.21939999999999998</v>
      </c>
      <c r="T80" s="93">
        <f>'Returns per Gal.'!S87</f>
        <v>2.7751508771929823</v>
      </c>
      <c r="U80" s="93">
        <f>'Returns per Gal.'!T87</f>
        <v>0.19624601212121212</v>
      </c>
      <c r="V80" s="93">
        <f>'Returns per Gal.'!U87</f>
        <v>2.9713968893141942</v>
      </c>
      <c r="W80" s="93">
        <f>'Returns per Gal.'!V87</f>
        <v>2.4043574156299838</v>
      </c>
      <c r="X80" s="105"/>
      <c r="Y80" s="93">
        <f>'Returns per Gal.'!V87</f>
        <v>2.4043574156299838</v>
      </c>
      <c r="Z80" s="93">
        <f>'Returns per Gal.'!Y87</f>
        <v>0.68778859649122803</v>
      </c>
      <c r="AA80" s="93">
        <f>'Returns per Gal.'!Z87</f>
        <v>0.50688859649122842</v>
      </c>
      <c r="AB80" s="93">
        <f>'Returns per Gal.'!AA87</f>
        <v>0.31064258437001646</v>
      </c>
      <c r="AC80" s="80">
        <f>'Returns per Gal.'!AB87</f>
        <v>0</v>
      </c>
      <c r="AD80" s="15">
        <f>'Returns per Gal.'!AC87</f>
        <v>0</v>
      </c>
      <c r="AE80" s="81">
        <f>'Returns per Gal.'!AD87</f>
        <v>0</v>
      </c>
      <c r="AF80" s="93">
        <f>'Returns per Gal.'!AE87</f>
        <v>0.39128123338649656</v>
      </c>
      <c r="AG80" s="93">
        <f>'Returns per Gal.'!AF87</f>
        <v>0.88281765018607117</v>
      </c>
      <c r="AH80" s="93">
        <f>'Returns per Gal.'!AG87</f>
        <v>1.2740988835725677</v>
      </c>
      <c r="AI80" s="105">
        <f>'Returns per Gal.'!AH87</f>
        <v>0</v>
      </c>
      <c r="AJ80" s="104">
        <f>'Returns per Gal.'!AI87</f>
        <v>0</v>
      </c>
      <c r="AK80" s="93">
        <f>'Returns per Gal.'!AJ87</f>
        <v>1.6623988835725678</v>
      </c>
      <c r="AL80" s="93">
        <f>'Returns per Gal.'!AK87</f>
        <v>1.85864489569378</v>
      </c>
      <c r="AM80" s="105">
        <f>'Returns per Gal.'!AL87</f>
        <v>0</v>
      </c>
      <c r="AN80" s="104"/>
      <c r="AO80" s="93">
        <f>'Returns per Gal.'!AN87</f>
        <v>1.6196405901116429</v>
      </c>
      <c r="AP80" s="93">
        <f>'Returns per Gal.'!AO87</f>
        <v>1.4233945779904307</v>
      </c>
      <c r="AQ80" s="93">
        <f>'Returns per Gal.'!AP87</f>
        <v>0.3106425843700158</v>
      </c>
      <c r="AR80" s="93">
        <f>'Returns per Gal.'!AQ87</f>
        <v>1.1127519936204149</v>
      </c>
      <c r="AS80" s="52"/>
      <c r="AU80" s="177">
        <f>'Returns per Bu.'!G87</f>
        <v>6.802525000000001</v>
      </c>
      <c r="AV80" s="166">
        <f>'Returns per Bu.'!N87</f>
        <v>9.3538125000000001</v>
      </c>
      <c r="AW80" s="166">
        <f>'Returns per Bu.'!O87</f>
        <v>7.6878563654545449</v>
      </c>
      <c r="AX80" s="169">
        <f>'Returns per Bu.'!Z87</f>
        <v>0.26959502604929847</v>
      </c>
      <c r="AY80" s="162">
        <f>'Returns per Bu.'!AF87</f>
        <v>3.6311818181818181</v>
      </c>
      <c r="AZ80" s="165" t="e">
        <f>'Returns per Bu.'!#REF!</f>
        <v>#REF!</v>
      </c>
      <c r="BA80" s="15">
        <f t="shared" si="3"/>
        <v>2.5160303030303028</v>
      </c>
      <c r="BB80" s="93">
        <f>'Returns per Bu.'!AD87</f>
        <v>1.1151515151515152</v>
      </c>
      <c r="BC80" s="93">
        <f t="shared" si="4"/>
        <v>0.88281765018607117</v>
      </c>
    </row>
    <row r="81" spans="1:55" hidden="1" x14ac:dyDescent="0.2">
      <c r="A81" s="8">
        <v>40756</v>
      </c>
      <c r="C81" s="53"/>
      <c r="D81" s="93">
        <v>2.8304347826086973</v>
      </c>
      <c r="E81" s="95">
        <v>192.17391304347825</v>
      </c>
      <c r="F81" s="323"/>
      <c r="G81" s="93">
        <v>7.1408967391304348</v>
      </c>
      <c r="H81" s="96">
        <v>5.44</v>
      </c>
      <c r="I81" s="184"/>
      <c r="J81" s="12"/>
      <c r="K81" s="93">
        <f>'Returns per Gal.'!J88</f>
        <v>2.8304347826086973</v>
      </c>
      <c r="L81" s="93">
        <f>'Returns per Gal.'!K88</f>
        <v>0.56977879481311966</v>
      </c>
      <c r="M81" s="93"/>
      <c r="N81" s="93">
        <f>'Returns per Gal.'!M88</f>
        <v>3.400213577421817</v>
      </c>
      <c r="O81" s="110">
        <f>'Returns per Gal.'!N88</f>
        <v>0</v>
      </c>
      <c r="P81" s="108">
        <f>'Returns per Gal.'!O88</f>
        <v>0</v>
      </c>
      <c r="Q81" s="93">
        <f>'Returns per Gal.'!P88</f>
        <v>2.5055778032036611</v>
      </c>
      <c r="R81" s="93">
        <f>'Returns per Gal.'!Q88</f>
        <v>0.16320000000000001</v>
      </c>
      <c r="S81" s="93">
        <f>'Returns per Gal.'!R88</f>
        <v>0.21939999999999998</v>
      </c>
      <c r="T81" s="93">
        <f>'Returns per Gal.'!S88</f>
        <v>2.8881778032036611</v>
      </c>
      <c r="U81" s="93">
        <f>'Returns per Gal.'!T88</f>
        <v>0.19624601212121212</v>
      </c>
      <c r="V81" s="93">
        <f>'Returns per Gal.'!U88</f>
        <v>3.0844238153248731</v>
      </c>
      <c r="W81" s="93">
        <f>'Returns per Gal.'!V88</f>
        <v>2.5146450205117534</v>
      </c>
      <c r="X81" s="105"/>
      <c r="Y81" s="93">
        <f>'Returns per Gal.'!V88</f>
        <v>2.5146450205117534</v>
      </c>
      <c r="Z81" s="93">
        <f>'Returns per Gal.'!Y88</f>
        <v>0.69293577421815589</v>
      </c>
      <c r="AA81" s="93">
        <f>'Returns per Gal.'!Z88</f>
        <v>0.51203577421815583</v>
      </c>
      <c r="AB81" s="93">
        <f>'Returns per Gal.'!AA88</f>
        <v>0.31578976209694387</v>
      </c>
      <c r="AC81" s="80">
        <f>'Returns per Gal.'!AB88</f>
        <v>0</v>
      </c>
      <c r="AD81" s="15">
        <f>'Returns per Gal.'!AC88</f>
        <v>0</v>
      </c>
      <c r="AE81" s="81">
        <f>'Returns per Gal.'!AD88</f>
        <v>0</v>
      </c>
      <c r="AF81" s="93">
        <f>'Returns per Gal.'!AE88</f>
        <v>0.39128123338649656</v>
      </c>
      <c r="AG81" s="93">
        <f>'Returns per Gal.'!AF88</f>
        <v>0.88281765018607117</v>
      </c>
      <c r="AH81" s="93">
        <f>'Returns per Gal.'!AG88</f>
        <v>1.2740988835725677</v>
      </c>
      <c r="AI81" s="105">
        <f>'Returns per Gal.'!AH88</f>
        <v>0</v>
      </c>
      <c r="AJ81" s="104">
        <f>'Returns per Gal.'!AI88</f>
        <v>0</v>
      </c>
      <c r="AK81" s="93">
        <f>'Returns per Gal.'!AJ88</f>
        <v>1.6566988835725678</v>
      </c>
      <c r="AL81" s="93">
        <f>'Returns per Gal.'!AK88</f>
        <v>1.85294489569378</v>
      </c>
      <c r="AM81" s="105">
        <f>'Returns per Gal.'!AL88</f>
        <v>0</v>
      </c>
      <c r="AN81" s="104"/>
      <c r="AO81" s="93">
        <f>'Returns per Gal.'!AN88</f>
        <v>1.7435146938492492</v>
      </c>
      <c r="AP81" s="93">
        <f>'Returns per Gal.'!AO88</f>
        <v>1.547268681728037</v>
      </c>
      <c r="AQ81" s="93">
        <f>'Returns per Gal.'!AP88</f>
        <v>0.31578976209694365</v>
      </c>
      <c r="AR81" s="93">
        <f>'Returns per Gal.'!AQ88</f>
        <v>1.2314789196310933</v>
      </c>
      <c r="AS81" s="52"/>
      <c r="AU81" s="177">
        <f>'Returns per Bu.'!G88</f>
        <v>7.1408967391304348</v>
      </c>
      <c r="AV81" s="166">
        <f>'Returns per Bu.'!N88</f>
        <v>9.6906086956521804</v>
      </c>
      <c r="AW81" s="166">
        <f>'Returns per Bu.'!O88</f>
        <v>8.0408975611067248</v>
      </c>
      <c r="AX81" s="169">
        <f>'Returns per Bu.'!Z88</f>
        <v>0.27406206818450934</v>
      </c>
      <c r="AY81" s="162">
        <f>'Returns per Bu.'!AF88</f>
        <v>3.6311818181818181</v>
      </c>
      <c r="AZ81" s="165" t="e">
        <f>'Returns per Bu.'!#REF!</f>
        <v>#REF!</v>
      </c>
      <c r="BA81" s="15">
        <f t="shared" si="3"/>
        <v>2.5160303030303028</v>
      </c>
      <c r="BB81" s="93">
        <f>'Returns per Bu.'!AD88</f>
        <v>1.1151515151515152</v>
      </c>
      <c r="BC81" s="93">
        <f t="shared" si="4"/>
        <v>0.88281765018607117</v>
      </c>
    </row>
    <row r="82" spans="1:55" hidden="1" x14ac:dyDescent="0.2">
      <c r="A82" s="8">
        <v>40787</v>
      </c>
      <c r="C82" s="53"/>
      <c r="D82" s="93">
        <v>2.7459523809523807</v>
      </c>
      <c r="E82" s="95">
        <v>198.02500000000001</v>
      </c>
      <c r="F82" s="323"/>
      <c r="G82" s="93">
        <v>6.7983750000000001</v>
      </c>
      <c r="H82" s="96">
        <v>5.43</v>
      </c>
      <c r="I82" s="184"/>
      <c r="J82" s="12"/>
      <c r="K82" s="93">
        <f>'Returns per Gal.'!J89</f>
        <v>2.7459523809523807</v>
      </c>
      <c r="L82" s="93">
        <f>'Returns per Gal.'!K89</f>
        <v>0.58712675438596484</v>
      </c>
      <c r="M82" s="93"/>
      <c r="N82" s="93">
        <f>'Returns per Gal.'!M89</f>
        <v>3.3330791353383455</v>
      </c>
      <c r="O82" s="110">
        <f>'Returns per Gal.'!N89</f>
        <v>0</v>
      </c>
      <c r="P82" s="108">
        <f>'Returns per Gal.'!O89</f>
        <v>0</v>
      </c>
      <c r="Q82" s="93">
        <f>'Returns per Gal.'!P89</f>
        <v>2.3853947368421053</v>
      </c>
      <c r="R82" s="93">
        <f>'Returns per Gal.'!Q89</f>
        <v>0.16289999999999999</v>
      </c>
      <c r="S82" s="93">
        <f>'Returns per Gal.'!R89</f>
        <v>0.21939999999999998</v>
      </c>
      <c r="T82" s="93">
        <f>'Returns per Gal.'!S89</f>
        <v>2.7676947368421052</v>
      </c>
      <c r="U82" s="93">
        <f>'Returns per Gal.'!T89</f>
        <v>0.19624601212121212</v>
      </c>
      <c r="V82" s="93">
        <f>'Returns per Gal.'!U89</f>
        <v>2.9639407489633172</v>
      </c>
      <c r="W82" s="93">
        <f>'Returns per Gal.'!V89</f>
        <v>2.3768139945773523</v>
      </c>
      <c r="X82" s="105"/>
      <c r="Y82" s="93">
        <f>'Returns per Gal.'!V89</f>
        <v>2.3768139945773523</v>
      </c>
      <c r="Z82" s="93">
        <f>'Returns per Gal.'!Y89</f>
        <v>0.74628439849624018</v>
      </c>
      <c r="AA82" s="93">
        <f>'Returns per Gal.'!Z89</f>
        <v>0.56538439849624034</v>
      </c>
      <c r="AB82" s="93">
        <f>'Returns per Gal.'!AA89</f>
        <v>0.36913838637502838</v>
      </c>
      <c r="AC82" s="80">
        <f>'Returns per Gal.'!AB89</f>
        <v>0</v>
      </c>
      <c r="AD82" s="15">
        <f>'Returns per Gal.'!AC89</f>
        <v>0</v>
      </c>
      <c r="AE82" s="81">
        <f>'Returns per Gal.'!AD89</f>
        <v>0</v>
      </c>
      <c r="AF82" s="93">
        <f>'Returns per Gal.'!AE89</f>
        <v>0.43655650754793962</v>
      </c>
      <c r="AG82" s="93">
        <f>'Returns per Gal.'!AF89</f>
        <v>0.97559159526723782</v>
      </c>
      <c r="AH82" s="93">
        <f>'Returns per Gal.'!AG89</f>
        <v>1.4121481028151774</v>
      </c>
      <c r="AI82" s="105">
        <f>'Returns per Gal.'!AH89</f>
        <v>0</v>
      </c>
      <c r="AJ82" s="104">
        <f>'Returns per Gal.'!AI89</f>
        <v>0</v>
      </c>
      <c r="AK82" s="93">
        <f>'Returns per Gal.'!AJ89</f>
        <v>1.7944481028151775</v>
      </c>
      <c r="AL82" s="93">
        <f>'Returns per Gal.'!AK89</f>
        <v>1.9906941149363897</v>
      </c>
      <c r="AM82" s="105">
        <f>'Returns per Gal.'!AL89</f>
        <v>0</v>
      </c>
      <c r="AN82" s="104"/>
      <c r="AO82" s="93">
        <f>'Returns per Gal.'!AN89</f>
        <v>1.538631032523168</v>
      </c>
      <c r="AP82" s="93">
        <f>'Returns per Gal.'!AO89</f>
        <v>1.3423850204019558</v>
      </c>
      <c r="AQ82" s="93">
        <f>'Returns per Gal.'!AP89</f>
        <v>0.36913838637502794</v>
      </c>
      <c r="AR82" s="93">
        <f>'Returns per Gal.'!AQ89</f>
        <v>0.9732466340269279</v>
      </c>
      <c r="AS82" s="52"/>
      <c r="AU82" s="177">
        <f>'Returns per Bu.'!G89</f>
        <v>6.7983750000000001</v>
      </c>
      <c r="AV82" s="166">
        <f>'Returns per Bu.'!N89</f>
        <v>9.4992755357142844</v>
      </c>
      <c r="AW82" s="166">
        <f>'Returns per Bu.'!O89</f>
        <v>7.8504194011688302</v>
      </c>
      <c r="AX82" s="169">
        <f>'Returns per Bu.'!Z89</f>
        <v>0.32036133452982446</v>
      </c>
      <c r="AY82" s="162">
        <f>'Returns per Bu.'!AF89</f>
        <v>4.0246220930232557</v>
      </c>
      <c r="AZ82" s="165" t="e">
        <f>'Returns per Bu.'!#REF!</f>
        <v>#REF!</v>
      </c>
      <c r="BA82" s="15">
        <f t="shared" si="3"/>
        <v>2.7804360465116278</v>
      </c>
      <c r="BB82" s="93">
        <f>'Returns per Bu.'!AD89</f>
        <v>1.2441860465116279</v>
      </c>
      <c r="BC82" s="93">
        <f t="shared" si="4"/>
        <v>0.97559159526723782</v>
      </c>
    </row>
    <row r="83" spans="1:55" hidden="1" x14ac:dyDescent="0.2">
      <c r="A83" s="8">
        <v>40817</v>
      </c>
      <c r="C83" s="53"/>
      <c r="D83" s="93">
        <v>2.5959523809523826</v>
      </c>
      <c r="E83" s="95">
        <v>197.95238095238096</v>
      </c>
      <c r="F83" s="323"/>
      <c r="G83" s="93">
        <v>6.1482619047619025</v>
      </c>
      <c r="H83" s="96">
        <v>5.2</v>
      </c>
      <c r="I83" s="184"/>
      <c r="J83" s="12"/>
      <c r="K83" s="93">
        <f>'Returns per Gal.'!J90</f>
        <v>2.5959523809523826</v>
      </c>
      <c r="L83" s="93">
        <f>'Returns per Gal.'!K90</f>
        <v>0.58691144527986627</v>
      </c>
      <c r="M83" s="93"/>
      <c r="N83" s="93">
        <f>'Returns per Gal.'!M90</f>
        <v>3.1828638262322491</v>
      </c>
      <c r="O83" s="110">
        <f>'Returns per Gal.'!N90</f>
        <v>0</v>
      </c>
      <c r="P83" s="108">
        <f>'Returns per Gal.'!O90</f>
        <v>0</v>
      </c>
      <c r="Q83" s="93">
        <f>'Returns per Gal.'!P90</f>
        <v>2.1572848788638255</v>
      </c>
      <c r="R83" s="93">
        <f>'Returns per Gal.'!Q90</f>
        <v>0.156</v>
      </c>
      <c r="S83" s="93">
        <f>'Returns per Gal.'!R90</f>
        <v>0.21939999999999998</v>
      </c>
      <c r="T83" s="93">
        <f>'Returns per Gal.'!S90</f>
        <v>2.5326848788638254</v>
      </c>
      <c r="U83" s="93">
        <f>'Returns per Gal.'!T90</f>
        <v>0.19624601212121212</v>
      </c>
      <c r="V83" s="93">
        <f>'Returns per Gal.'!U90</f>
        <v>2.7289308909850374</v>
      </c>
      <c r="W83" s="93">
        <f>'Returns per Gal.'!V90</f>
        <v>2.1420194457051709</v>
      </c>
      <c r="X83" s="105"/>
      <c r="Y83" s="93">
        <f>'Returns per Gal.'!V90</f>
        <v>2.1420194457051709</v>
      </c>
      <c r="Z83" s="93">
        <f>'Returns per Gal.'!Y90</f>
        <v>0.83107894736842358</v>
      </c>
      <c r="AA83" s="93">
        <f>'Returns per Gal.'!Z90</f>
        <v>0.65017894736842363</v>
      </c>
      <c r="AB83" s="93">
        <f>'Returns per Gal.'!AA90</f>
        <v>0.45393293524721168</v>
      </c>
      <c r="AC83" s="80">
        <f>'Returns per Gal.'!AB90</f>
        <v>0</v>
      </c>
      <c r="AD83" s="15">
        <f>'Returns per Gal.'!AC90</f>
        <v>0</v>
      </c>
      <c r="AE83" s="81">
        <f>'Returns per Gal.'!AD90</f>
        <v>0</v>
      </c>
      <c r="AF83" s="93">
        <f>'Returns per Gal.'!AE90</f>
        <v>0.43655650754793962</v>
      </c>
      <c r="AG83" s="93">
        <f>'Returns per Gal.'!AF90</f>
        <v>0.97559159526723782</v>
      </c>
      <c r="AH83" s="93">
        <f>'Returns per Gal.'!AG90</f>
        <v>1.4121481028151774</v>
      </c>
      <c r="AI83" s="105">
        <f>'Returns per Gal.'!AH90</f>
        <v>0</v>
      </c>
      <c r="AJ83" s="104">
        <f>'Returns per Gal.'!AI90</f>
        <v>0</v>
      </c>
      <c r="AK83" s="93">
        <f>'Returns per Gal.'!AJ90</f>
        <v>1.7875481028151774</v>
      </c>
      <c r="AL83" s="93">
        <f>'Returns per Gal.'!AK90</f>
        <v>1.9837941149363896</v>
      </c>
      <c r="AM83" s="105">
        <f>'Returns per Gal.'!AL90</f>
        <v>0</v>
      </c>
      <c r="AN83" s="104"/>
      <c r="AO83" s="93">
        <f>'Returns per Gal.'!AN90</f>
        <v>1.3953157234170717</v>
      </c>
      <c r="AP83" s="93">
        <f>'Returns per Gal.'!AO90</f>
        <v>1.1990697112958595</v>
      </c>
      <c r="AQ83" s="93">
        <f>'Returns per Gal.'!AP90</f>
        <v>0.45393293524721146</v>
      </c>
      <c r="AR83" s="93">
        <f>'Returns per Gal.'!AQ90</f>
        <v>0.74513677604864803</v>
      </c>
      <c r="AS83" s="52"/>
      <c r="AU83" s="177">
        <f>'Returns per Bu.'!G90</f>
        <v>6.1482619047619025</v>
      </c>
      <c r="AV83" s="166">
        <f>'Returns per Bu.'!N90</f>
        <v>9.0711619047619099</v>
      </c>
      <c r="AW83" s="166">
        <f>'Returns per Bu.'!O90</f>
        <v>7.4419707702164555</v>
      </c>
      <c r="AX83" s="169">
        <f>'Returns per Bu.'!Z90</f>
        <v>0.39395133719605702</v>
      </c>
      <c r="AY83" s="162">
        <f>'Returns per Bu.'!AF90</f>
        <v>4.0246220930232557</v>
      </c>
      <c r="AZ83" s="165" t="e">
        <f>'Returns per Bu.'!#REF!</f>
        <v>#REF!</v>
      </c>
      <c r="BA83" s="15">
        <f t="shared" si="3"/>
        <v>2.7804360465116278</v>
      </c>
      <c r="BB83" s="93">
        <f>'Returns per Bu.'!AD90</f>
        <v>1.2441860465116279</v>
      </c>
      <c r="BC83" s="93">
        <f t="shared" si="4"/>
        <v>0.97559159526723782</v>
      </c>
    </row>
    <row r="84" spans="1:55" hidden="1" x14ac:dyDescent="0.2">
      <c r="A84" s="8">
        <v>40848</v>
      </c>
      <c r="C84" s="53"/>
      <c r="D84" s="93">
        <v>2.8220454545454561</v>
      </c>
      <c r="E84" s="95">
        <v>214.57142857142858</v>
      </c>
      <c r="F84" s="323"/>
      <c r="G84" s="93">
        <v>6.1357738095238101</v>
      </c>
      <c r="H84" s="96">
        <v>5.75</v>
      </c>
      <c r="I84" s="184"/>
      <c r="J84" s="12"/>
      <c r="K84" s="93">
        <f>'Returns per Gal.'!J91</f>
        <v>2.8220454545454561</v>
      </c>
      <c r="L84" s="93">
        <f>'Returns per Gal.'!K91</f>
        <v>0.63618546365914785</v>
      </c>
      <c r="M84" s="93"/>
      <c r="N84" s="93">
        <f>'Returns per Gal.'!M91</f>
        <v>3.4582309182046038</v>
      </c>
      <c r="O84" s="110">
        <f>'Returns per Gal.'!N91</f>
        <v>0</v>
      </c>
      <c r="P84" s="108">
        <f>'Returns per Gal.'!O91</f>
        <v>0</v>
      </c>
      <c r="Q84" s="93">
        <f>'Returns per Gal.'!P91</f>
        <v>2.1529030910609861</v>
      </c>
      <c r="R84" s="93">
        <f>'Returns per Gal.'!Q91</f>
        <v>0.17249999999999999</v>
      </c>
      <c r="S84" s="93">
        <f>'Returns per Gal.'!R91</f>
        <v>0.21939999999999998</v>
      </c>
      <c r="T84" s="93">
        <f>'Returns per Gal.'!S91</f>
        <v>2.5448030910609858</v>
      </c>
      <c r="U84" s="93">
        <f>'Returns per Gal.'!T91</f>
        <v>0.19624601212121212</v>
      </c>
      <c r="V84" s="93">
        <f>'Returns per Gal.'!U91</f>
        <v>2.7410491031821977</v>
      </c>
      <c r="W84" s="93">
        <f>'Returns per Gal.'!V91</f>
        <v>2.10486363952305</v>
      </c>
      <c r="X84" s="105"/>
      <c r="Y84" s="93">
        <f>'Returns per Gal.'!V91</f>
        <v>2.10486363952305</v>
      </c>
      <c r="Z84" s="93">
        <f>'Returns per Gal.'!Y91</f>
        <v>1.0943278271436179</v>
      </c>
      <c r="AA84" s="93">
        <f>'Returns per Gal.'!Z91</f>
        <v>0.91342782714361803</v>
      </c>
      <c r="AB84" s="93">
        <f>'Returns per Gal.'!AA91</f>
        <v>0.71718181502240608</v>
      </c>
      <c r="AC84" s="80">
        <f>'Returns per Gal.'!AB91</f>
        <v>0</v>
      </c>
      <c r="AD84" s="15">
        <f>'Returns per Gal.'!AC91</f>
        <v>0</v>
      </c>
      <c r="AE84" s="81">
        <f>'Returns per Gal.'!AD91</f>
        <v>0</v>
      </c>
      <c r="AF84" s="93">
        <f>'Returns per Gal.'!AE91</f>
        <v>0.43655650754793962</v>
      </c>
      <c r="AG84" s="93">
        <f>'Returns per Gal.'!AF91</f>
        <v>0.97559159526723782</v>
      </c>
      <c r="AH84" s="93">
        <f>'Returns per Gal.'!AG91</f>
        <v>1.4121481028151774</v>
      </c>
      <c r="AI84" s="105">
        <f>'Returns per Gal.'!AH91</f>
        <v>0</v>
      </c>
      <c r="AJ84" s="104">
        <f>'Returns per Gal.'!AI91</f>
        <v>0</v>
      </c>
      <c r="AK84" s="93">
        <f>'Returns per Gal.'!AJ91</f>
        <v>1.8040481028151774</v>
      </c>
      <c r="AL84" s="93">
        <f>'Returns per Gal.'!AK91</f>
        <v>2.0002941149363895</v>
      </c>
      <c r="AM84" s="105">
        <f>'Returns per Gal.'!AL91</f>
        <v>0</v>
      </c>
      <c r="AN84" s="104"/>
      <c r="AO84" s="93">
        <f>'Returns per Gal.'!AN91</f>
        <v>1.6541828153894265</v>
      </c>
      <c r="AP84" s="93">
        <f>'Returns per Gal.'!AO91</f>
        <v>1.4579368032682143</v>
      </c>
      <c r="AQ84" s="93">
        <f>'Returns per Gal.'!AP91</f>
        <v>0.71718181502240563</v>
      </c>
      <c r="AR84" s="93">
        <f>'Returns per Gal.'!AQ91</f>
        <v>0.74075498824580865</v>
      </c>
      <c r="AS84" s="52"/>
      <c r="AU84" s="177">
        <f>'Returns per Bu.'!G91</f>
        <v>6.1357738095238101</v>
      </c>
      <c r="AV84" s="166">
        <f>'Returns per Bu.'!N91</f>
        <v>9.8559581168831212</v>
      </c>
      <c r="AW84" s="166">
        <f>'Returns per Bu.'!O91</f>
        <v>8.1797419823376671</v>
      </c>
      <c r="AX84" s="169">
        <f>'Returns per Bu.'!Z91</f>
        <v>0.62241514792687125</v>
      </c>
      <c r="AY84" s="162">
        <f>'Returns per Bu.'!AF91</f>
        <v>4.0246220930232557</v>
      </c>
      <c r="AZ84" s="165" t="e">
        <f>'Returns per Bu.'!#REF!</f>
        <v>#REF!</v>
      </c>
      <c r="BA84" s="15">
        <f t="shared" si="3"/>
        <v>2.7804360465116278</v>
      </c>
      <c r="BB84" s="93">
        <f>'Returns per Bu.'!AD91</f>
        <v>1.2441860465116279</v>
      </c>
      <c r="BC84" s="93">
        <f t="shared" si="4"/>
        <v>0.97559159526723782</v>
      </c>
    </row>
    <row r="85" spans="1:55" hidden="1" x14ac:dyDescent="0.2">
      <c r="A85" s="68">
        <v>40878</v>
      </c>
      <c r="B85" s="29"/>
      <c r="C85" s="56"/>
      <c r="D85" s="97">
        <v>2.3129545454545455</v>
      </c>
      <c r="E85" s="99">
        <v>190.04761904761904</v>
      </c>
      <c r="F85" s="324"/>
      <c r="G85" s="97">
        <v>5.8892857142857151</v>
      </c>
      <c r="H85" s="100">
        <v>5.49</v>
      </c>
      <c r="I85" s="187"/>
      <c r="J85" s="188"/>
      <c r="K85" s="97">
        <f>'Returns per Gal.'!J92</f>
        <v>2.3129545454545455</v>
      </c>
      <c r="L85" s="97">
        <f>'Returns per Gal.'!K92</f>
        <v>0.56347451963241435</v>
      </c>
      <c r="M85" s="97"/>
      <c r="N85" s="97">
        <f>'Returns per Gal.'!M92</f>
        <v>2.8764290650869597</v>
      </c>
      <c r="O85" s="113">
        <f>'Returns per Gal.'!N92</f>
        <v>0</v>
      </c>
      <c r="P85" s="111">
        <f>'Returns per Gal.'!O92</f>
        <v>0</v>
      </c>
      <c r="Q85" s="97">
        <f>'Returns per Gal.'!P92</f>
        <v>2.0664160401002509</v>
      </c>
      <c r="R85" s="97">
        <f>'Returns per Gal.'!Q92</f>
        <v>0.16470000000000001</v>
      </c>
      <c r="S85" s="97">
        <f>'Returns per Gal.'!R92</f>
        <v>0.21939999999999998</v>
      </c>
      <c r="T85" s="97">
        <f>'Returns per Gal.'!S92</f>
        <v>2.4505160401002506</v>
      </c>
      <c r="U85" s="97">
        <f>'Returns per Gal.'!T92</f>
        <v>0.19624601212121212</v>
      </c>
      <c r="V85" s="97">
        <f>'Returns per Gal.'!U92</f>
        <v>2.6467620522214625</v>
      </c>
      <c r="W85" s="97">
        <f>'Returns per Gal.'!V92</f>
        <v>2.0832875325890483</v>
      </c>
      <c r="X85" s="107"/>
      <c r="Y85" s="97">
        <f>'Returns per Gal.'!V92</f>
        <v>2.0832875325890483</v>
      </c>
      <c r="Z85" s="97">
        <f>'Returns per Gal.'!Y92</f>
        <v>0.60681302498670875</v>
      </c>
      <c r="AA85" s="97">
        <f>'Returns per Gal.'!Z92</f>
        <v>0.42591302498670913</v>
      </c>
      <c r="AB85" s="97">
        <f>'Returns per Gal.'!AA92</f>
        <v>0.22966701286549718</v>
      </c>
      <c r="AC85" s="82">
        <f>'Returns per Gal.'!AB92</f>
        <v>0</v>
      </c>
      <c r="AD85" s="65">
        <f>'Returns per Gal.'!AC92</f>
        <v>0</v>
      </c>
      <c r="AE85" s="83">
        <f>'Returns per Gal.'!AD92</f>
        <v>0</v>
      </c>
      <c r="AF85" s="97">
        <f>'Returns per Gal.'!AE92</f>
        <v>0.43655650754793962</v>
      </c>
      <c r="AG85" s="97">
        <f>'Returns per Gal.'!AF92</f>
        <v>0.97559159526723782</v>
      </c>
      <c r="AH85" s="97">
        <f>'Returns per Gal.'!AG92</f>
        <v>1.4121481028151774</v>
      </c>
      <c r="AI85" s="107">
        <f>'Returns per Gal.'!AH92</f>
        <v>0</v>
      </c>
      <c r="AJ85" s="106">
        <f>'Returns per Gal.'!AI92</f>
        <v>0</v>
      </c>
      <c r="AK85" s="97">
        <f>'Returns per Gal.'!AJ92</f>
        <v>1.7962481028151775</v>
      </c>
      <c r="AL85" s="97">
        <f>'Returns per Gal.'!AK92</f>
        <v>1.9924941149363897</v>
      </c>
      <c r="AM85" s="107">
        <f>'Returns per Gal.'!AL92</f>
        <v>0</v>
      </c>
      <c r="AN85" s="106"/>
      <c r="AO85" s="97">
        <f>'Returns per Gal.'!AN92</f>
        <v>1.0801809622717822</v>
      </c>
      <c r="AP85" s="97">
        <f>'Returns per Gal.'!AO92</f>
        <v>0.88393495015057</v>
      </c>
      <c r="AQ85" s="97">
        <f>'Returns per Gal.'!AP92</f>
        <v>0.22966701286549651</v>
      </c>
      <c r="AR85" s="97">
        <f>'Returns per Gal.'!AQ92</f>
        <v>0.65426793728507349</v>
      </c>
      <c r="AS85" s="64"/>
      <c r="AT85" s="29"/>
      <c r="AU85" s="178">
        <f>'Returns per Bu.'!G92</f>
        <v>5.8892857142857151</v>
      </c>
      <c r="AV85" s="167">
        <f>'Returns per Bu.'!N92</f>
        <v>8.1978228354978349</v>
      </c>
      <c r="AW85" s="167">
        <f>'Returns per Bu.'!O92</f>
        <v>6.5438367009523803</v>
      </c>
      <c r="AX85" s="170">
        <f>'Returns per Bu.'!Z92</f>
        <v>0.19931937033586769</v>
      </c>
      <c r="AY85" s="163">
        <f>'Returns per Bu.'!AF92</f>
        <v>4.0246220930232557</v>
      </c>
      <c r="AZ85" s="164" t="e">
        <f>'Returns per Bu.'!#REF!</f>
        <v>#REF!</v>
      </c>
      <c r="BA85" s="15">
        <f t="shared" si="3"/>
        <v>2.7804360465116278</v>
      </c>
      <c r="BB85" s="93">
        <f>'Returns per Bu.'!AD92</f>
        <v>1.2441860465116279</v>
      </c>
      <c r="BC85" s="93">
        <f t="shared" si="4"/>
        <v>0.97559159526723782</v>
      </c>
    </row>
    <row r="86" spans="1:55" hidden="1" x14ac:dyDescent="0.2">
      <c r="A86" s="21">
        <v>40909</v>
      </c>
      <c r="C86" s="53"/>
      <c r="D86" s="93">
        <v>2.1313636363636368</v>
      </c>
      <c r="E86" s="95">
        <v>186.75624999999999</v>
      </c>
      <c r="F86" s="323"/>
      <c r="G86" s="93">
        <v>6.1923125000000008</v>
      </c>
      <c r="H86" s="96">
        <v>5.49</v>
      </c>
      <c r="I86" s="184"/>
      <c r="K86" s="93">
        <f>'Returns per Gal.'!J93</f>
        <v>2.1313636363636368</v>
      </c>
      <c r="L86" s="93">
        <f>'Returns per Gal.'!K93</f>
        <v>0.55371589912280683</v>
      </c>
      <c r="M86" s="93"/>
      <c r="N86" s="93">
        <f>'Returns per Gal.'!M93</f>
        <v>2.6850795354864436</v>
      </c>
      <c r="O86" s="110">
        <f>'Returns per Gal.'!N93</f>
        <v>0</v>
      </c>
      <c r="P86" s="108">
        <f>'Returns per Gal.'!O93</f>
        <v>0</v>
      </c>
      <c r="Q86" s="93">
        <f>'Returns per Gal.'!P93</f>
        <v>2.1727412280701754</v>
      </c>
      <c r="R86" s="93">
        <f>'Returns per Gal.'!Q93</f>
        <v>0.16470000000000001</v>
      </c>
      <c r="S86" s="93">
        <f>'Returns per Gal.'!R93</f>
        <v>0.21939999999999998</v>
      </c>
      <c r="T86" s="93">
        <f>'Returns per Gal.'!S93</f>
        <v>2.5568412280701751</v>
      </c>
      <c r="U86" s="93">
        <f>'Returns per Gal.'!T93</f>
        <v>0.19624601212121212</v>
      </c>
      <c r="V86" s="93">
        <f>'Returns per Gal.'!U93</f>
        <v>2.7530872401913871</v>
      </c>
      <c r="W86" s="93">
        <f>'Returns per Gal.'!V93</f>
        <v>2.1993713410685802</v>
      </c>
      <c r="X86" s="105"/>
      <c r="Y86" s="93">
        <f>'Returns per Gal.'!V93</f>
        <v>2.1993713410685802</v>
      </c>
      <c r="Z86" s="93">
        <f>'Returns per Gal.'!Y93</f>
        <v>0.30913830741626819</v>
      </c>
      <c r="AA86" s="93">
        <f>'Returns per Gal.'!Z93</f>
        <v>0.12823830741626852</v>
      </c>
      <c r="AB86" s="93">
        <f>'Returns per Gal.'!AA93</f>
        <v>-6.8007704704943439E-2</v>
      </c>
      <c r="AC86" s="80">
        <f>'Returns per Gal.'!AB93</f>
        <v>0</v>
      </c>
      <c r="AD86" s="15">
        <f>'Returns per Gal.'!AC93</f>
        <v>0</v>
      </c>
      <c r="AE86" s="81">
        <f>'Returns per Gal.'!AD93</f>
        <v>0</v>
      </c>
      <c r="AF86" s="93">
        <f>'Returns per Gal.'!AE93</f>
        <v>0.43655650754793962</v>
      </c>
      <c r="AG86" s="93">
        <f>'Returns per Gal.'!AF93</f>
        <v>0.97559159526723782</v>
      </c>
      <c r="AH86" s="93">
        <f>'Returns per Gal.'!AG93</f>
        <v>1.4121481028151774</v>
      </c>
      <c r="AI86" s="105">
        <f>'Returns per Gal.'!AH93</f>
        <v>0</v>
      </c>
      <c r="AJ86" s="104">
        <f>'Returns per Gal.'!AI93</f>
        <v>0</v>
      </c>
      <c r="AK86" s="93">
        <f>'Returns per Gal.'!AJ93</f>
        <v>1.7962481028151775</v>
      </c>
      <c r="AL86" s="93">
        <f>'Returns per Gal.'!AK93</f>
        <v>1.9924941149363897</v>
      </c>
      <c r="AM86" s="105">
        <f>'Returns per Gal.'!AL93</f>
        <v>0</v>
      </c>
      <c r="AN86" s="104"/>
      <c r="AO86" s="93">
        <f>'Returns per Gal.'!AN93</f>
        <v>0.88883143267126608</v>
      </c>
      <c r="AP86" s="93">
        <f>'Returns per Gal.'!AO93</f>
        <v>0.6925854205500539</v>
      </c>
      <c r="AQ86" s="93">
        <f>'Returns per Gal.'!AP93</f>
        <v>-6.8007704704944105E-2</v>
      </c>
      <c r="AR86" s="93">
        <f>'Returns per Gal.'!AQ93</f>
        <v>0.760593125254998</v>
      </c>
      <c r="AS86" s="52"/>
      <c r="AU86" s="177">
        <f>'Returns per Bu.'!G93</f>
        <v>6.1923125000000008</v>
      </c>
      <c r="AV86" s="166">
        <f>'Returns per Bu.'!N93</f>
        <v>7.6524766761363647</v>
      </c>
      <c r="AW86" s="166">
        <f>'Returns per Bu.'!O93</f>
        <v>5.9984905415909102</v>
      </c>
      <c r="AX86" s="169">
        <f>'Returns per Bu.'!Z93</f>
        <v>-5.9021331407813654E-2</v>
      </c>
      <c r="AY86" s="162">
        <f>'Returns per Bu.'!AF93</f>
        <v>4.0246220930232557</v>
      </c>
      <c r="AZ86" s="165" t="e">
        <f>'Returns per Bu.'!#REF!</f>
        <v>#REF!</v>
      </c>
      <c r="BA86" s="15">
        <f t="shared" si="3"/>
        <v>2.7804360465116278</v>
      </c>
      <c r="BB86" s="93">
        <f>'Returns per Bu.'!AD93</f>
        <v>1.2441860465116279</v>
      </c>
      <c r="BC86" s="93">
        <f t="shared" si="4"/>
        <v>0.97559159526723782</v>
      </c>
    </row>
    <row r="87" spans="1:55" hidden="1" x14ac:dyDescent="0.2">
      <c r="A87" s="8">
        <v>40940</v>
      </c>
      <c r="C87" s="53"/>
      <c r="D87" s="93">
        <v>2.0895238095238104</v>
      </c>
      <c r="E87" s="95">
        <v>194.61250000000001</v>
      </c>
      <c r="F87" s="323"/>
      <c r="G87" s="93">
        <v>6.3003625000000012</v>
      </c>
      <c r="H87" s="96">
        <v>5.24</v>
      </c>
      <c r="I87" s="184"/>
      <c r="K87" s="93">
        <f>'Returns per Gal.'!J94</f>
        <v>2.0895238095238104</v>
      </c>
      <c r="L87" s="93">
        <f>'Returns per Gal.'!K94</f>
        <v>0.57700899122807014</v>
      </c>
      <c r="M87" s="93"/>
      <c r="N87" s="93">
        <f>'Returns per Gal.'!M94</f>
        <v>2.6665328007518805</v>
      </c>
      <c r="O87" s="110">
        <f>'Returns per Gal.'!N94</f>
        <v>0</v>
      </c>
      <c r="P87" s="108">
        <f>'Returns per Gal.'!O94</f>
        <v>0</v>
      </c>
      <c r="Q87" s="93">
        <f>'Returns per Gal.'!P94</f>
        <v>2.2106535087719301</v>
      </c>
      <c r="R87" s="93">
        <f>'Returns per Gal.'!Q94</f>
        <v>0.15720000000000001</v>
      </c>
      <c r="S87" s="93">
        <f>'Returns per Gal.'!R94</f>
        <v>0.21939999999999998</v>
      </c>
      <c r="T87" s="93">
        <f>'Returns per Gal.'!S94</f>
        <v>2.5872535087719299</v>
      </c>
      <c r="U87" s="93">
        <f>'Returns per Gal.'!T94</f>
        <v>0.19624601212121212</v>
      </c>
      <c r="V87" s="93">
        <f>'Returns per Gal.'!U94</f>
        <v>2.7834995208931419</v>
      </c>
      <c r="W87" s="93">
        <f>'Returns per Gal.'!V94</f>
        <v>2.2064905296650719</v>
      </c>
      <c r="X87" s="105"/>
      <c r="Y87" s="93">
        <f>'Returns per Gal.'!V94</f>
        <v>2.2064905296650719</v>
      </c>
      <c r="Z87" s="93">
        <f>'Returns per Gal.'!Y94</f>
        <v>0.26017929197995038</v>
      </c>
      <c r="AA87" s="93">
        <f>'Returns per Gal.'!Z94</f>
        <v>7.9279291979950539E-2</v>
      </c>
      <c r="AB87" s="93">
        <f>'Returns per Gal.'!AA94</f>
        <v>-0.11696672014126142</v>
      </c>
      <c r="AC87" s="80">
        <f>'Returns per Gal.'!AB94</f>
        <v>0</v>
      </c>
      <c r="AD87" s="15">
        <f>'Returns per Gal.'!AC94</f>
        <v>0</v>
      </c>
      <c r="AE87" s="81">
        <f>'Returns per Gal.'!AD94</f>
        <v>0</v>
      </c>
      <c r="AF87" s="93">
        <f>'Returns per Gal.'!AE94</f>
        <v>0.43655650754793962</v>
      </c>
      <c r="AG87" s="93">
        <f>'Returns per Gal.'!AF94</f>
        <v>0.97559159526723782</v>
      </c>
      <c r="AH87" s="93">
        <f>'Returns per Gal.'!AG94</f>
        <v>1.4121481028151774</v>
      </c>
      <c r="AI87" s="105">
        <f>'Returns per Gal.'!AH94</f>
        <v>0</v>
      </c>
      <c r="AJ87" s="104">
        <f>'Returns per Gal.'!AI94</f>
        <v>0</v>
      </c>
      <c r="AK87" s="93">
        <f>'Returns per Gal.'!AJ94</f>
        <v>1.7887481028151775</v>
      </c>
      <c r="AL87" s="93">
        <f>'Returns per Gal.'!AK94</f>
        <v>1.9849941149363897</v>
      </c>
      <c r="AM87" s="105">
        <f>'Returns per Gal.'!AL94</f>
        <v>0</v>
      </c>
      <c r="AN87" s="104"/>
      <c r="AO87" s="93">
        <f>'Returns per Gal.'!AN94</f>
        <v>0.877784697936703</v>
      </c>
      <c r="AP87" s="93">
        <f>'Returns per Gal.'!AO94</f>
        <v>0.68153868581549082</v>
      </c>
      <c r="AQ87" s="93">
        <f>'Returns per Gal.'!AP94</f>
        <v>-0.11696672014126186</v>
      </c>
      <c r="AR87" s="93">
        <f>'Returns per Gal.'!AQ94</f>
        <v>0.79850540595675268</v>
      </c>
      <c r="AS87" s="52"/>
      <c r="AU87" s="177">
        <f>'Returns per Bu.'!G94</f>
        <v>6.3003625000000012</v>
      </c>
      <c r="AV87" s="166">
        <f>'Returns per Bu.'!N94</f>
        <v>7.5996184821428603</v>
      </c>
      <c r="AW87" s="166">
        <f>'Returns per Bu.'!O94</f>
        <v>5.9670073475974066</v>
      </c>
      <c r="AX87" s="169">
        <f>'Returns per Bu.'!Z94</f>
        <v>-0.10151102118640533</v>
      </c>
      <c r="AY87" s="162">
        <f>'Returns per Bu.'!AF94</f>
        <v>4.0246220930232557</v>
      </c>
      <c r="AZ87" s="165" t="e">
        <f>'Returns per Bu.'!#REF!</f>
        <v>#REF!</v>
      </c>
      <c r="BA87" s="15">
        <f t="shared" si="3"/>
        <v>2.7804360465116278</v>
      </c>
      <c r="BB87" s="93">
        <f>'Returns per Bu.'!AD94</f>
        <v>1.2441860465116279</v>
      </c>
      <c r="BC87" s="93">
        <f t="shared" si="4"/>
        <v>0.97559159526723782</v>
      </c>
    </row>
    <row r="88" spans="1:55" hidden="1" x14ac:dyDescent="0.2">
      <c r="A88" s="8">
        <v>40969</v>
      </c>
      <c r="C88" s="53"/>
      <c r="D88" s="93">
        <v>2.1806818181818177</v>
      </c>
      <c r="E88" s="95">
        <v>203.38068181818181</v>
      </c>
      <c r="F88" s="323"/>
      <c r="G88" s="93">
        <v>6.3997727272727269</v>
      </c>
      <c r="H88" s="96">
        <v>5.26</v>
      </c>
      <c r="I88" s="184"/>
      <c r="K88" s="93">
        <f>'Returns per Gal.'!J95</f>
        <v>2.1806818181818177</v>
      </c>
      <c r="L88" s="93">
        <f>'Returns per Gal.'!K95</f>
        <v>0.60300588118022325</v>
      </c>
      <c r="M88" s="93"/>
      <c r="N88" s="93">
        <f>'Returns per Gal.'!M95</f>
        <v>2.7836876993620407</v>
      </c>
      <c r="O88" s="110">
        <f>'Returns per Gal.'!N95</f>
        <v>0</v>
      </c>
      <c r="P88" s="108">
        <f>'Returns per Gal.'!O95</f>
        <v>0</v>
      </c>
      <c r="Q88" s="93">
        <f>'Returns per Gal.'!P95</f>
        <v>2.2455342902711322</v>
      </c>
      <c r="R88" s="93">
        <f>'Returns per Gal.'!Q95</f>
        <v>0.1578</v>
      </c>
      <c r="S88" s="93">
        <f>'Returns per Gal.'!R95</f>
        <v>0.21939999999999998</v>
      </c>
      <c r="T88" s="93">
        <f>'Returns per Gal.'!S95</f>
        <v>2.6227342902711319</v>
      </c>
      <c r="U88" s="93">
        <f>'Returns per Gal.'!T95</f>
        <v>0.19624601212121212</v>
      </c>
      <c r="V88" s="93">
        <f>'Returns per Gal.'!U95</f>
        <v>2.8189803023923439</v>
      </c>
      <c r="W88" s="93">
        <f>'Returns per Gal.'!V95</f>
        <v>2.2159744212121204</v>
      </c>
      <c r="X88" s="105"/>
      <c r="Y88" s="93">
        <f>'Returns per Gal.'!V95</f>
        <v>2.2159744212121204</v>
      </c>
      <c r="Z88" s="93">
        <f>'Returns per Gal.'!Y95</f>
        <v>0.34185340909090861</v>
      </c>
      <c r="AA88" s="93">
        <f>'Returns per Gal.'!Z95</f>
        <v>0.16095340909090883</v>
      </c>
      <c r="AB88" s="93">
        <f>'Returns per Gal.'!AA95</f>
        <v>-3.5292603030303127E-2</v>
      </c>
      <c r="AC88" s="80">
        <f>'Returns per Gal.'!AB95</f>
        <v>0</v>
      </c>
      <c r="AD88" s="15">
        <f>'Returns per Gal.'!AC95</f>
        <v>0</v>
      </c>
      <c r="AE88" s="81">
        <f>'Returns per Gal.'!AD95</f>
        <v>0</v>
      </c>
      <c r="AF88" s="93">
        <f>'Returns per Gal.'!AE95</f>
        <v>0.43655650754793962</v>
      </c>
      <c r="AG88" s="93">
        <f>'Returns per Gal.'!AF95</f>
        <v>0.97559159526723782</v>
      </c>
      <c r="AH88" s="93">
        <f>'Returns per Gal.'!AG95</f>
        <v>1.4121481028151774</v>
      </c>
      <c r="AI88" s="105">
        <f>'Returns per Gal.'!AH95</f>
        <v>0</v>
      </c>
      <c r="AJ88" s="104">
        <f>'Returns per Gal.'!AI95</f>
        <v>0</v>
      </c>
      <c r="AK88" s="93">
        <f>'Returns per Gal.'!AJ95</f>
        <v>1.7893481028151774</v>
      </c>
      <c r="AL88" s="93">
        <f>'Returns per Gal.'!AK95</f>
        <v>1.9855941149363896</v>
      </c>
      <c r="AM88" s="105">
        <f>'Returns per Gal.'!AL95</f>
        <v>0</v>
      </c>
      <c r="AN88" s="104"/>
      <c r="AO88" s="93">
        <f>'Returns per Gal.'!AN95</f>
        <v>0.99433959654686332</v>
      </c>
      <c r="AP88" s="93">
        <f>'Returns per Gal.'!AO95</f>
        <v>0.79809358442565115</v>
      </c>
      <c r="AQ88" s="93">
        <f>'Returns per Gal.'!AP95</f>
        <v>-3.5292603030303571E-2</v>
      </c>
      <c r="AR88" s="93">
        <f>'Returns per Gal.'!AQ95</f>
        <v>0.83338618745595472</v>
      </c>
      <c r="AS88" s="52"/>
      <c r="AU88" s="177">
        <f>'Returns per Bu.'!G95</f>
        <v>6.3997727272727269</v>
      </c>
      <c r="AV88" s="166">
        <f>'Returns per Bu.'!N95</f>
        <v>7.933509943181817</v>
      </c>
      <c r="AW88" s="166">
        <f>'Returns per Bu.'!O95</f>
        <v>6.2991888086363623</v>
      </c>
      <c r="AX88" s="169">
        <f>'Returns per Bu.'!Z95</f>
        <v>-3.0629123990189775E-2</v>
      </c>
      <c r="AY88" s="162">
        <f>'Returns per Bu.'!AF95</f>
        <v>4.0246220930232557</v>
      </c>
      <c r="AZ88" s="165" t="e">
        <f>'Returns per Bu.'!#REF!</f>
        <v>#REF!</v>
      </c>
      <c r="BA88" s="15">
        <f t="shared" si="3"/>
        <v>2.7804360465116278</v>
      </c>
      <c r="BB88" s="93">
        <f>'Returns per Bu.'!AD95</f>
        <v>1.2441860465116279</v>
      </c>
      <c r="BC88" s="93">
        <f t="shared" si="4"/>
        <v>0.97559159526723782</v>
      </c>
    </row>
    <row r="89" spans="1:55" hidden="1" x14ac:dyDescent="0.2">
      <c r="A89" s="8">
        <v>41000</v>
      </c>
      <c r="C89" s="53"/>
      <c r="D89" s="93">
        <v>2.1514285714285726</v>
      </c>
      <c r="E89" s="95">
        <v>208.34375</v>
      </c>
      <c r="F89" s="323"/>
      <c r="G89" s="93">
        <v>6.2756249999999989</v>
      </c>
      <c r="H89" s="96">
        <v>3.7</v>
      </c>
      <c r="I89" s="184"/>
      <c r="J89" s="12"/>
      <c r="K89" s="93">
        <f>'Returns per Gal.'!J96</f>
        <v>2.1514285714285726</v>
      </c>
      <c r="L89" s="93">
        <f>'Returns per Gal.'!K96</f>
        <v>0.61772094298245606</v>
      </c>
      <c r="M89" s="93"/>
      <c r="N89" s="93">
        <f>'Returns per Gal.'!M96</f>
        <v>2.7691495144110285</v>
      </c>
      <c r="O89" s="110">
        <f>'Returns per Gal.'!N96</f>
        <v>0</v>
      </c>
      <c r="P89" s="108">
        <f>'Returns per Gal.'!O96</f>
        <v>0</v>
      </c>
      <c r="Q89" s="93">
        <f>'Returns per Gal.'!P96</f>
        <v>2.2019736842105258</v>
      </c>
      <c r="R89" s="93">
        <f>'Returns per Gal.'!Q96</f>
        <v>0.111</v>
      </c>
      <c r="S89" s="93">
        <f>'Returns per Gal.'!R96</f>
        <v>0.21939999999999998</v>
      </c>
      <c r="T89" s="93">
        <f>'Returns per Gal.'!S96</f>
        <v>2.5323736842105258</v>
      </c>
      <c r="U89" s="93">
        <f>'Returns per Gal.'!T96</f>
        <v>0.19624601212121212</v>
      </c>
      <c r="V89" s="93">
        <f>'Returns per Gal.'!U96</f>
        <v>2.7286196963317377</v>
      </c>
      <c r="W89" s="93">
        <f>'Returns per Gal.'!V96</f>
        <v>2.1108987533492818</v>
      </c>
      <c r="X89" s="105"/>
      <c r="Y89" s="93">
        <f>'Returns per Gal.'!V96</f>
        <v>2.1108987533492818</v>
      </c>
      <c r="Z89" s="93">
        <f>'Returns per Gal.'!Y96</f>
        <v>0.41767583020050281</v>
      </c>
      <c r="AA89" s="93">
        <f>'Returns per Gal.'!Z96</f>
        <v>0.23677583020050275</v>
      </c>
      <c r="AB89" s="93">
        <f>'Returns per Gal.'!AA96</f>
        <v>4.0529818079290791E-2</v>
      </c>
      <c r="AC89" s="80">
        <f>'Returns per Gal.'!AB96</f>
        <v>0</v>
      </c>
      <c r="AD89" s="15">
        <f>'Returns per Gal.'!AC96</f>
        <v>0</v>
      </c>
      <c r="AE89" s="81">
        <f>'Returns per Gal.'!AD96</f>
        <v>0</v>
      </c>
      <c r="AF89" s="93">
        <f>'Returns per Gal.'!AE96</f>
        <v>0.43655650754793962</v>
      </c>
      <c r="AG89" s="93">
        <f>'Returns per Gal.'!AF96</f>
        <v>0.97559159526723782</v>
      </c>
      <c r="AH89" s="93">
        <f>'Returns per Gal.'!AG96</f>
        <v>1.4121481028151774</v>
      </c>
      <c r="AI89" s="105">
        <f>'Returns per Gal.'!AH96</f>
        <v>0</v>
      </c>
      <c r="AJ89" s="104">
        <f>'Returns per Gal.'!AI96</f>
        <v>0</v>
      </c>
      <c r="AK89" s="93">
        <f>'Returns per Gal.'!AJ96</f>
        <v>1.7425481028151775</v>
      </c>
      <c r="AL89" s="93">
        <f>'Returns per Gal.'!AK96</f>
        <v>1.9387941149363896</v>
      </c>
      <c r="AM89" s="105">
        <f>'Returns per Gal.'!AL96</f>
        <v>0</v>
      </c>
      <c r="AN89" s="104"/>
      <c r="AO89" s="93">
        <f>'Returns per Gal.'!AN96</f>
        <v>1.0266014115958511</v>
      </c>
      <c r="AP89" s="93">
        <f>'Returns per Gal.'!AO96</f>
        <v>0.83035539947463888</v>
      </c>
      <c r="AQ89" s="93">
        <f>'Returns per Gal.'!AP96</f>
        <v>4.0529818079290569E-2</v>
      </c>
      <c r="AR89" s="93">
        <f>'Returns per Gal.'!AQ96</f>
        <v>0.78982558139534831</v>
      </c>
      <c r="AS89" s="52"/>
      <c r="AU89" s="177">
        <f>'Returns per Bu.'!G96</f>
        <v>6.2756249999999989</v>
      </c>
      <c r="AV89" s="166">
        <f>'Returns per Bu.'!N96</f>
        <v>7.8920761160714319</v>
      </c>
      <c r="AW89" s="166">
        <f>'Returns per Bu.'!O96</f>
        <v>6.3911349815259779</v>
      </c>
      <c r="AX89" s="169">
        <f>'Returns per Bu.'!Z96</f>
        <v>3.5174306133909573E-2</v>
      </c>
      <c r="AY89" s="162">
        <f>'Returns per Bu.'!AF96</f>
        <v>4.0246220930232557</v>
      </c>
      <c r="AZ89" s="165" t="e">
        <f>'Returns per Bu.'!#REF!</f>
        <v>#REF!</v>
      </c>
      <c r="BA89" s="15">
        <f t="shared" si="3"/>
        <v>2.7804360465116278</v>
      </c>
      <c r="BB89" s="93">
        <f>'Returns per Bu.'!AD96</f>
        <v>1.2441860465116279</v>
      </c>
      <c r="BC89" s="93">
        <f t="shared" si="4"/>
        <v>0.97559159526723782</v>
      </c>
    </row>
    <row r="90" spans="1:55" hidden="1" x14ac:dyDescent="0.2">
      <c r="A90" s="8">
        <v>41030</v>
      </c>
      <c r="C90" s="53"/>
      <c r="D90" s="93">
        <v>2.106818181818181</v>
      </c>
      <c r="E90" s="95">
        <v>215.83333333333334</v>
      </c>
      <c r="F90" s="323"/>
      <c r="G90" s="93">
        <v>6.2820238095238112</v>
      </c>
      <c r="H90" s="96">
        <v>3.3</v>
      </c>
      <c r="I90" s="184"/>
      <c r="J90" s="12"/>
      <c r="K90" s="93">
        <f>'Returns per Gal.'!J97</f>
        <v>2.106818181818181</v>
      </c>
      <c r="L90" s="93">
        <f>'Returns per Gal.'!K97</f>
        <v>0.63992690058479529</v>
      </c>
      <c r="M90" s="93"/>
      <c r="N90" s="93">
        <f>'Returns per Gal.'!M97</f>
        <v>2.7467450824029762</v>
      </c>
      <c r="O90" s="110">
        <f>'Returns per Gal.'!N97</f>
        <v>0</v>
      </c>
      <c r="P90" s="108">
        <f>'Returns per Gal.'!O97</f>
        <v>0</v>
      </c>
      <c r="Q90" s="93">
        <f>'Returns per Gal.'!P97</f>
        <v>2.2042188805346705</v>
      </c>
      <c r="R90" s="93">
        <f>'Returns per Gal.'!Q97</f>
        <v>9.9000000000000005E-2</v>
      </c>
      <c r="S90" s="93">
        <f>'Returns per Gal.'!R97</f>
        <v>0.21939999999999998</v>
      </c>
      <c r="T90" s="93">
        <f>'Returns per Gal.'!S97</f>
        <v>2.5226188805346705</v>
      </c>
      <c r="U90" s="93">
        <f>'Returns per Gal.'!T97</f>
        <v>0.19624601212121212</v>
      </c>
      <c r="V90" s="93">
        <f>'Returns per Gal.'!U97</f>
        <v>2.7188648926558825</v>
      </c>
      <c r="W90" s="93">
        <f>'Returns per Gal.'!V97</f>
        <v>2.0789379920710873</v>
      </c>
      <c r="X90" s="105"/>
      <c r="Y90" s="93">
        <f>'Returns per Gal.'!V97</f>
        <v>2.0789379920710873</v>
      </c>
      <c r="Z90" s="93">
        <f>'Returns per Gal.'!Y97</f>
        <v>0.40502620186830574</v>
      </c>
      <c r="AA90" s="93">
        <f>'Returns per Gal.'!Z97</f>
        <v>0.22412620186830567</v>
      </c>
      <c r="AB90" s="93">
        <f>'Returns per Gal.'!AA97</f>
        <v>2.788018974709372E-2</v>
      </c>
      <c r="AC90" s="80">
        <f>'Returns per Gal.'!AB97</f>
        <v>0</v>
      </c>
      <c r="AD90" s="15">
        <f>'Returns per Gal.'!AC97</f>
        <v>0</v>
      </c>
      <c r="AE90" s="81">
        <f>'Returns per Gal.'!AD97</f>
        <v>0</v>
      </c>
      <c r="AF90" s="93">
        <f>'Returns per Gal.'!AE97</f>
        <v>0.43655650754793962</v>
      </c>
      <c r="AG90" s="93">
        <f>'Returns per Gal.'!AF97</f>
        <v>0.97559159526723782</v>
      </c>
      <c r="AH90" s="93">
        <f>'Returns per Gal.'!AG97</f>
        <v>1.4121481028151774</v>
      </c>
      <c r="AI90" s="105">
        <f>'Returns per Gal.'!AH97</f>
        <v>0</v>
      </c>
      <c r="AJ90" s="104">
        <f>'Returns per Gal.'!AI97</f>
        <v>0</v>
      </c>
      <c r="AK90" s="93">
        <f>'Returns per Gal.'!AJ97</f>
        <v>1.7305481028151775</v>
      </c>
      <c r="AL90" s="93">
        <f>'Returns per Gal.'!AK97</f>
        <v>1.9267941149363896</v>
      </c>
      <c r="AM90" s="105">
        <f>'Returns per Gal.'!AL97</f>
        <v>0</v>
      </c>
      <c r="AN90" s="104"/>
      <c r="AO90" s="93">
        <f>'Returns per Gal.'!AN97</f>
        <v>1.0161969795877988</v>
      </c>
      <c r="AP90" s="93">
        <f>'Returns per Gal.'!AO97</f>
        <v>0.81995096746658658</v>
      </c>
      <c r="AQ90" s="93">
        <f>'Returns per Gal.'!AP97</f>
        <v>2.7880189747093498E-2</v>
      </c>
      <c r="AR90" s="93">
        <f>'Returns per Gal.'!AQ97</f>
        <v>0.79207077771949308</v>
      </c>
      <c r="AS90" s="52"/>
      <c r="AU90" s="177">
        <f>'Returns per Bu.'!G97</f>
        <v>6.2820238095238112</v>
      </c>
      <c r="AV90" s="166">
        <f>'Returns per Bu.'!N97</f>
        <v>7.8282234848484826</v>
      </c>
      <c r="AW90" s="166">
        <f>'Returns per Bu.'!O97</f>
        <v>6.3614823503030289</v>
      </c>
      <c r="AX90" s="169">
        <f>'Returns per Bu.'!Z97</f>
        <v>2.41961690357759E-2</v>
      </c>
      <c r="AY90" s="162">
        <f>'Returns per Bu.'!AF97</f>
        <v>4.0246220930232557</v>
      </c>
      <c r="AZ90" s="165" t="e">
        <f>'Returns per Bu.'!#REF!</f>
        <v>#REF!</v>
      </c>
      <c r="BA90" s="15">
        <f t="shared" si="3"/>
        <v>2.7804360465116278</v>
      </c>
      <c r="BB90" s="93">
        <f>'Returns per Bu.'!AD97</f>
        <v>1.2441860465116279</v>
      </c>
      <c r="BC90" s="93">
        <f t="shared" si="4"/>
        <v>0.97559159526723782</v>
      </c>
    </row>
    <row r="91" spans="1:55" hidden="1" x14ac:dyDescent="0.2">
      <c r="A91" s="8">
        <v>41061</v>
      </c>
      <c r="C91" s="53"/>
      <c r="D91" s="93">
        <v>2.0019047619047625</v>
      </c>
      <c r="E91" s="95">
        <v>215.92261904761904</v>
      </c>
      <c r="F91" s="323"/>
      <c r="G91" s="93">
        <v>6.2605511904761908</v>
      </c>
      <c r="H91" s="96">
        <v>3.5</v>
      </c>
      <c r="I91" s="184"/>
      <c r="J91" s="12"/>
      <c r="K91" s="93">
        <f>'Returns per Gal.'!J98</f>
        <v>2.0019047619047625</v>
      </c>
      <c r="L91" s="93">
        <f>'Returns per Gal.'!K98</f>
        <v>0.64019162489557213</v>
      </c>
      <c r="M91" s="93"/>
      <c r="N91" s="93">
        <f>'Returns per Gal.'!M98</f>
        <v>2.6420963868003344</v>
      </c>
      <c r="O91" s="110">
        <f>'Returns per Gal.'!N98</f>
        <v>0</v>
      </c>
      <c r="P91" s="108">
        <f>'Returns per Gal.'!O98</f>
        <v>0</v>
      </c>
      <c r="Q91" s="93">
        <f>'Returns per Gal.'!P98</f>
        <v>2.1966846282372599</v>
      </c>
      <c r="R91" s="93">
        <f>'Returns per Gal.'!Q98</f>
        <v>0.105</v>
      </c>
      <c r="S91" s="93">
        <f>'Returns per Gal.'!R98</f>
        <v>0.21939999999999998</v>
      </c>
      <c r="T91" s="93">
        <f>'Returns per Gal.'!S98</f>
        <v>2.5210846282372597</v>
      </c>
      <c r="U91" s="93">
        <f>'Returns per Gal.'!T98</f>
        <v>0.19624601212121212</v>
      </c>
      <c r="V91" s="93">
        <f>'Returns per Gal.'!U98</f>
        <v>2.7173306403584716</v>
      </c>
      <c r="W91" s="93">
        <f>'Returns per Gal.'!V98</f>
        <v>2.0771390154628993</v>
      </c>
      <c r="X91" s="105"/>
      <c r="Y91" s="93">
        <f>'Returns per Gal.'!V98</f>
        <v>2.0771390154628993</v>
      </c>
      <c r="Z91" s="93">
        <f>'Returns per Gal.'!Y98</f>
        <v>0.30191175856307462</v>
      </c>
      <c r="AA91" s="93">
        <f>'Returns per Gal.'!Z98</f>
        <v>0.12101175856307478</v>
      </c>
      <c r="AB91" s="93">
        <f>'Returns per Gal.'!AA98</f>
        <v>-7.5234253558137176E-2</v>
      </c>
      <c r="AC91" s="80">
        <f>'Returns per Gal.'!AB98</f>
        <v>0</v>
      </c>
      <c r="AD91" s="15">
        <f>'Returns per Gal.'!AC98</f>
        <v>0</v>
      </c>
      <c r="AE91" s="81">
        <f>'Returns per Gal.'!AD98</f>
        <v>0</v>
      </c>
      <c r="AF91" s="93">
        <f>'Returns per Gal.'!AE98</f>
        <v>0.43655650754793962</v>
      </c>
      <c r="AG91" s="93">
        <f>'Returns per Gal.'!AF98</f>
        <v>0.97559159526723782</v>
      </c>
      <c r="AH91" s="93">
        <f>'Returns per Gal.'!AG98</f>
        <v>1.4121481028151774</v>
      </c>
      <c r="AI91" s="105">
        <f>'Returns per Gal.'!AH98</f>
        <v>0</v>
      </c>
      <c r="AJ91" s="104">
        <f>'Returns per Gal.'!AI98</f>
        <v>0</v>
      </c>
      <c r="AK91" s="93">
        <f>'Returns per Gal.'!AJ98</f>
        <v>1.7365481028151775</v>
      </c>
      <c r="AL91" s="93">
        <f>'Returns per Gal.'!AK98</f>
        <v>1.9327941149363896</v>
      </c>
      <c r="AM91" s="105">
        <f>'Returns per Gal.'!AL98</f>
        <v>0</v>
      </c>
      <c r="AN91" s="104"/>
      <c r="AO91" s="93">
        <f>'Returns per Gal.'!AN98</f>
        <v>0.90554828398515697</v>
      </c>
      <c r="AP91" s="93">
        <f>'Returns per Gal.'!AO98</f>
        <v>0.70930227186394479</v>
      </c>
      <c r="AQ91" s="93">
        <f>'Returns per Gal.'!AP98</f>
        <v>-7.523425355813762E-2</v>
      </c>
      <c r="AR91" s="93">
        <f>'Returns per Gal.'!AQ98</f>
        <v>0.78453652542208241</v>
      </c>
      <c r="AS91" s="52"/>
      <c r="AU91" s="177">
        <f>'Returns per Bu.'!G98</f>
        <v>6.2605511904761908</v>
      </c>
      <c r="AV91" s="166">
        <f>'Returns per Bu.'!N98</f>
        <v>7.5299747023809545</v>
      </c>
      <c r="AW91" s="166">
        <f>'Returns per Bu.'!O98</f>
        <v>6.0461335678355006</v>
      </c>
      <c r="AX91" s="169">
        <f>'Returns per Bu.'!Z98</f>
        <v>-6.5292981607589382E-2</v>
      </c>
      <c r="AY91" s="162">
        <f>'Returns per Bu.'!AF98</f>
        <v>4.0246220930232557</v>
      </c>
      <c r="AZ91" s="165" t="e">
        <f>'Returns per Bu.'!#REF!</f>
        <v>#REF!</v>
      </c>
      <c r="BA91" s="15">
        <f t="shared" si="3"/>
        <v>2.7804360465116278</v>
      </c>
      <c r="BB91" s="93">
        <f>'Returns per Bu.'!AD98</f>
        <v>1.2441860465116279</v>
      </c>
      <c r="BC91" s="93">
        <f t="shared" si="4"/>
        <v>0.97559159526723782</v>
      </c>
    </row>
    <row r="92" spans="1:55" hidden="1" x14ac:dyDescent="0.2">
      <c r="A92" s="8">
        <v>41091</v>
      </c>
      <c r="C92" s="53"/>
      <c r="D92" s="93">
        <v>2.3859090909090921</v>
      </c>
      <c r="E92" s="95">
        <v>266.48214285714283</v>
      </c>
      <c r="F92" s="323"/>
      <c r="G92" s="93">
        <v>7.6082738095238103</v>
      </c>
      <c r="H92" s="96">
        <v>4.21</v>
      </c>
      <c r="I92" s="184"/>
      <c r="K92" s="93">
        <f>'Returns per Gal.'!J99</f>
        <v>2.3859090909090921</v>
      </c>
      <c r="L92" s="93">
        <f>'Returns per Gal.'!K99</f>
        <v>0.79009617794486209</v>
      </c>
      <c r="M92" s="93"/>
      <c r="N92" s="93">
        <f>'Returns per Gal.'!M99</f>
        <v>3.1760052688539542</v>
      </c>
      <c r="O92" s="110">
        <f>'Returns per Gal.'!N99</f>
        <v>0</v>
      </c>
      <c r="P92" s="108">
        <f>'Returns per Gal.'!O99</f>
        <v>0</v>
      </c>
      <c r="Q92" s="93">
        <f>'Returns per Gal.'!P99</f>
        <v>2.6695697577276527</v>
      </c>
      <c r="R92" s="93">
        <f>'Returns per Gal.'!Q99</f>
        <v>0.1263</v>
      </c>
      <c r="S92" s="93">
        <f>'Returns per Gal.'!R99</f>
        <v>0.21939999999999998</v>
      </c>
      <c r="T92" s="93">
        <f>'Returns per Gal.'!S99</f>
        <v>3.0152697577276526</v>
      </c>
      <c r="U92" s="93">
        <f>'Returns per Gal.'!T99</f>
        <v>0.19624601212121212</v>
      </c>
      <c r="V92" s="93">
        <f>'Returns per Gal.'!U99</f>
        <v>3.2115157698488646</v>
      </c>
      <c r="W92" s="93">
        <f>'Returns per Gal.'!V99</f>
        <v>2.4214195919040025</v>
      </c>
      <c r="X92" s="105"/>
      <c r="Y92" s="93">
        <f>'Returns per Gal.'!V99</f>
        <v>2.4214195919040025</v>
      </c>
      <c r="Z92" s="93">
        <f>'Returns per Gal.'!Y99</f>
        <v>0.34163551112630153</v>
      </c>
      <c r="AA92" s="93">
        <f>'Returns per Gal.'!Z99</f>
        <v>0.16073551112630158</v>
      </c>
      <c r="AB92" s="93">
        <f>'Returns per Gal.'!AA99</f>
        <v>-3.5510500994910377E-2</v>
      </c>
      <c r="AC92" s="80">
        <f>'Returns per Gal.'!AB99</f>
        <v>0</v>
      </c>
      <c r="AD92" s="15">
        <f>'Returns per Gal.'!AC99</f>
        <v>0</v>
      </c>
      <c r="AE92" s="81">
        <f>'Returns per Gal.'!AD99</f>
        <v>0</v>
      </c>
      <c r="AF92" s="93">
        <f>'Returns per Gal.'!AE99</f>
        <v>0.43655650754793962</v>
      </c>
      <c r="AG92" s="93">
        <f>'Returns per Gal.'!AF99</f>
        <v>0.97559159526723782</v>
      </c>
      <c r="AH92" s="93">
        <f>'Returns per Gal.'!AG99</f>
        <v>1.4121481028151774</v>
      </c>
      <c r="AI92" s="105">
        <f>'Returns per Gal.'!AH99</f>
        <v>0</v>
      </c>
      <c r="AJ92" s="104">
        <f>'Returns per Gal.'!AI99</f>
        <v>0</v>
      </c>
      <c r="AK92" s="93">
        <f>'Returns per Gal.'!AJ99</f>
        <v>1.7578481028151776</v>
      </c>
      <c r="AL92" s="93">
        <f>'Returns per Gal.'!AK99</f>
        <v>1.9540941149363897</v>
      </c>
      <c r="AM92" s="105">
        <f>'Returns per Gal.'!AL99</f>
        <v>0</v>
      </c>
      <c r="AN92" s="104"/>
      <c r="AO92" s="93">
        <f>'Returns per Gal.'!AN99</f>
        <v>1.4181571660387766</v>
      </c>
      <c r="AP92" s="93">
        <f>'Returns per Gal.'!AO99</f>
        <v>1.2219111539175644</v>
      </c>
      <c r="AQ92" s="93">
        <f>'Returns per Gal.'!AP99</f>
        <v>-3.5510500994910821E-2</v>
      </c>
      <c r="AR92" s="93">
        <f>'Returns per Gal.'!AQ99</f>
        <v>1.2574216549124753</v>
      </c>
      <c r="AS92" s="52"/>
      <c r="AU92" s="177">
        <f>'Returns per Bu.'!G99</f>
        <v>7.6082738095238103</v>
      </c>
      <c r="AV92" s="166">
        <f>'Returns per Bu.'!N99</f>
        <v>9.0516150162337699</v>
      </c>
      <c r="AW92" s="166">
        <f>'Returns per Bu.'!O99</f>
        <v>7.5070688816883138</v>
      </c>
      <c r="AX92" s="169">
        <f>'Returns per Bu.'!Z99</f>
        <v>-3.0818229445784762E-2</v>
      </c>
      <c r="AY92" s="162">
        <f>'Returns per Bu.'!AF99</f>
        <v>4.0246220930232557</v>
      </c>
      <c r="AZ92" s="165" t="e">
        <f>'Returns per Bu.'!#REF!</f>
        <v>#REF!</v>
      </c>
      <c r="BA92" s="15">
        <f t="shared" si="3"/>
        <v>2.7804360465116278</v>
      </c>
      <c r="BB92" s="93">
        <f>'Returns per Bu.'!AD99</f>
        <v>1.2441860465116279</v>
      </c>
      <c r="BC92" s="93">
        <f t="shared" si="4"/>
        <v>0.97559159526723782</v>
      </c>
    </row>
    <row r="93" spans="1:55" hidden="1" x14ac:dyDescent="0.2">
      <c r="A93" s="8">
        <v>41122</v>
      </c>
      <c r="C93" s="53"/>
      <c r="D93" s="93">
        <v>2.531739130434782</v>
      </c>
      <c r="E93" s="95">
        <v>298.80978260869563</v>
      </c>
      <c r="F93" s="323"/>
      <c r="G93" s="93">
        <v>8.148994565217393</v>
      </c>
      <c r="H93" s="96">
        <v>4.26</v>
      </c>
      <c r="I93" s="184"/>
      <c r="K93" s="93">
        <f>'Returns per Gal.'!J100</f>
        <v>2.531739130434782</v>
      </c>
      <c r="L93" s="93">
        <f>'Returns per Gal.'!K100</f>
        <v>0.88594479405034299</v>
      </c>
      <c r="M93" s="93"/>
      <c r="N93" s="93">
        <f>'Returns per Gal.'!M100</f>
        <v>3.4176839244851251</v>
      </c>
      <c r="O93" s="110">
        <f>'Returns per Gal.'!N100</f>
        <v>0</v>
      </c>
      <c r="P93" s="108">
        <f>'Returns per Gal.'!O100</f>
        <v>0</v>
      </c>
      <c r="Q93" s="93">
        <f>'Returns per Gal.'!P100</f>
        <v>2.8592963386727694</v>
      </c>
      <c r="R93" s="93">
        <f>'Returns per Gal.'!Q100</f>
        <v>0.1278</v>
      </c>
      <c r="S93" s="93">
        <f>'Returns per Gal.'!R100</f>
        <v>0.21939999999999998</v>
      </c>
      <c r="T93" s="93">
        <f>'Returns per Gal.'!S100</f>
        <v>3.2064963386727694</v>
      </c>
      <c r="U93" s="93">
        <f>'Returns per Gal.'!T100</f>
        <v>0.19624601212121212</v>
      </c>
      <c r="V93" s="93">
        <f>'Returns per Gal.'!U100</f>
        <v>3.4027423507939814</v>
      </c>
      <c r="W93" s="93">
        <f>'Returns per Gal.'!V100</f>
        <v>2.5167975567436383</v>
      </c>
      <c r="X93" s="105"/>
      <c r="Y93" s="93">
        <f>'Returns per Gal.'!V100</f>
        <v>2.5167975567436383</v>
      </c>
      <c r="Z93" s="93">
        <f>'Returns per Gal.'!Y100</f>
        <v>0.3920875858123557</v>
      </c>
      <c r="AA93" s="93">
        <f>'Returns per Gal.'!Z100</f>
        <v>0.21118758581235575</v>
      </c>
      <c r="AB93" s="93">
        <f>'Returns per Gal.'!AA100</f>
        <v>1.4941573691143795E-2</v>
      </c>
      <c r="AC93" s="80">
        <f>'Returns per Gal.'!AB100</f>
        <v>0</v>
      </c>
      <c r="AD93" s="15">
        <f>'Returns per Gal.'!AC100</f>
        <v>0</v>
      </c>
      <c r="AE93" s="81">
        <f>'Returns per Gal.'!AD100</f>
        <v>0</v>
      </c>
      <c r="AF93" s="93">
        <f>'Returns per Gal.'!AE100</f>
        <v>0.43655650754793962</v>
      </c>
      <c r="AG93" s="93">
        <f>'Returns per Gal.'!AF100</f>
        <v>0.97559159526723782</v>
      </c>
      <c r="AH93" s="93">
        <f>'Returns per Gal.'!AG100</f>
        <v>1.4121481028151774</v>
      </c>
      <c r="AI93" s="105">
        <f>'Returns per Gal.'!AH100</f>
        <v>0</v>
      </c>
      <c r="AJ93" s="104">
        <f>'Returns per Gal.'!AI100</f>
        <v>0</v>
      </c>
      <c r="AK93" s="93">
        <f>'Returns per Gal.'!AJ100</f>
        <v>1.7593481028151774</v>
      </c>
      <c r="AL93" s="93">
        <f>'Returns per Gal.'!AK100</f>
        <v>1.9555941149363896</v>
      </c>
      <c r="AM93" s="105">
        <f>'Returns per Gal.'!AL100</f>
        <v>0</v>
      </c>
      <c r="AN93" s="104"/>
      <c r="AO93" s="93">
        <f>'Returns per Gal.'!AN100</f>
        <v>1.6583358216699478</v>
      </c>
      <c r="AP93" s="93">
        <f>'Returns per Gal.'!AO100</f>
        <v>1.4620898095487356</v>
      </c>
      <c r="AQ93" s="93">
        <f>'Returns per Gal.'!AP100</f>
        <v>1.4941573691143573E-2</v>
      </c>
      <c r="AR93" s="93">
        <f>'Returns per Gal.'!AQ100</f>
        <v>1.447148235857592</v>
      </c>
      <c r="AS93" s="52"/>
      <c r="AU93" s="177">
        <f>'Returns per Bu.'!G100</f>
        <v>8.148994565217393</v>
      </c>
      <c r="AV93" s="166">
        <f>'Returns per Bu.'!N100</f>
        <v>9.740399184782607</v>
      </c>
      <c r="AW93" s="166">
        <f>'Returns per Bu.'!O100</f>
        <v>8.1915780502371529</v>
      </c>
      <c r="AX93" s="169">
        <f>'Returns per Bu.'!Z100</f>
        <v>1.2967230351403985E-2</v>
      </c>
      <c r="AY93" s="162">
        <f>'Returns per Bu.'!AF100</f>
        <v>4.0246220930232557</v>
      </c>
      <c r="AZ93" s="165" t="e">
        <f>'Returns per Bu.'!#REF!</f>
        <v>#REF!</v>
      </c>
      <c r="BA93" s="15">
        <f t="shared" si="3"/>
        <v>2.7804360465116278</v>
      </c>
      <c r="BB93" s="93">
        <f>'Returns per Bu.'!AD100</f>
        <v>1.2441860465116279</v>
      </c>
      <c r="BC93" s="93">
        <f t="shared" si="4"/>
        <v>0.97559159526723782</v>
      </c>
    </row>
    <row r="94" spans="1:55" hidden="1" x14ac:dyDescent="0.2">
      <c r="A94" s="8">
        <v>41153</v>
      </c>
      <c r="C94" s="53"/>
      <c r="D94" s="93">
        <v>2.4042499999999993</v>
      </c>
      <c r="E94" s="95">
        <v>280.43421052631578</v>
      </c>
      <c r="F94" s="323"/>
      <c r="G94" s="93">
        <v>7.6269730263157882</v>
      </c>
      <c r="H94" s="96">
        <v>4.34</v>
      </c>
      <c r="I94" s="184"/>
      <c r="K94" s="93">
        <f>'Returns per Gal.'!J101</f>
        <v>2.4042499999999993</v>
      </c>
      <c r="L94" s="93">
        <f>'Returns per Gal.'!K101</f>
        <v>0.83146283471837479</v>
      </c>
      <c r="M94" s="93"/>
      <c r="N94" s="93">
        <f>'Returns per Gal.'!M101</f>
        <v>3.2357128347183739</v>
      </c>
      <c r="O94" s="110">
        <f>'Returns per Gal.'!N101</f>
        <v>0</v>
      </c>
      <c r="P94" s="108">
        <f>'Returns per Gal.'!O101</f>
        <v>0</v>
      </c>
      <c r="Q94" s="93">
        <f>'Returns per Gal.'!P101</f>
        <v>2.6761308864265922</v>
      </c>
      <c r="R94" s="93">
        <f>'Returns per Gal.'!Q101</f>
        <v>0.13020000000000001</v>
      </c>
      <c r="S94" s="93">
        <f>'Returns per Gal.'!R101</f>
        <v>0.21939999999999998</v>
      </c>
      <c r="T94" s="93">
        <f>'Returns per Gal.'!S101</f>
        <v>3.0257308864265919</v>
      </c>
      <c r="U94" s="93">
        <f>'Returns per Gal.'!T101</f>
        <v>0.19624601212121212</v>
      </c>
      <c r="V94" s="93">
        <f>'Returns per Gal.'!U101</f>
        <v>3.2219768985478039</v>
      </c>
      <c r="W94" s="93">
        <f>'Returns per Gal.'!V101</f>
        <v>2.3905140638294293</v>
      </c>
      <c r="X94" s="105"/>
      <c r="Y94" s="93">
        <f>'Returns per Gal.'!V101</f>
        <v>2.3905140638294293</v>
      </c>
      <c r="Z94" s="93">
        <f>'Returns per Gal.'!Y101</f>
        <v>0.39088194829178169</v>
      </c>
      <c r="AA94" s="93">
        <f>'Returns per Gal.'!Z101</f>
        <v>0.20998194829178196</v>
      </c>
      <c r="AB94" s="93">
        <f>'Returns per Gal.'!AA101</f>
        <v>1.3735936170570007E-2</v>
      </c>
      <c r="AC94" s="80">
        <f>'Returns per Gal.'!AB101</f>
        <v>0</v>
      </c>
      <c r="AD94" s="15">
        <f>'Returns per Gal.'!AC101</f>
        <v>0</v>
      </c>
      <c r="AE94" s="81">
        <f>'Returns per Gal.'!AD101</f>
        <v>0</v>
      </c>
      <c r="AF94" s="93">
        <f>'Returns per Gal.'!AE101</f>
        <v>0.6454091432961967</v>
      </c>
      <c r="AG94" s="93">
        <f>'Returns per Gal.'!AF101</f>
        <v>1.3040145985401459</v>
      </c>
      <c r="AH94" s="93">
        <f>'Returns per Gal.'!AG101</f>
        <v>1.9494237418363425</v>
      </c>
      <c r="AI94" s="105">
        <f>'Returns per Gal.'!AH101</f>
        <v>0</v>
      </c>
      <c r="AJ94" s="104">
        <f>'Returns per Gal.'!AI101</f>
        <v>0</v>
      </c>
      <c r="AK94" s="93">
        <f>'Returns per Gal.'!AJ101</f>
        <v>2.2990237418363422</v>
      </c>
      <c r="AL94" s="93">
        <f>'Returns per Gal.'!AK101</f>
        <v>2.4952697539575541</v>
      </c>
      <c r="AM94" s="105">
        <f>'Returns per Gal.'!AL101</f>
        <v>0</v>
      </c>
      <c r="AN94" s="104"/>
      <c r="AO94" s="93">
        <f>'Returns per Gal.'!AN101</f>
        <v>0.93668909288203173</v>
      </c>
      <c r="AP94" s="93">
        <f>'Returns per Gal.'!AO101</f>
        <v>0.74044308076081977</v>
      </c>
      <c r="AQ94" s="93">
        <f>'Returns per Gal.'!AP101</f>
        <v>1.3735936170570007E-2</v>
      </c>
      <c r="AR94" s="93">
        <f>'Returns per Gal.'!AQ101</f>
        <v>0.72670714459024977</v>
      </c>
      <c r="AS94" s="52"/>
      <c r="AU94" s="177">
        <f>'Returns per Bu.'!G101</f>
        <v>7.6269730263157882</v>
      </c>
      <c r="AV94" s="166">
        <f>'Returns per Bu.'!N101</f>
        <v>9.2217815789473665</v>
      </c>
      <c r="AW94" s="166">
        <f>'Returns per Bu.'!O101</f>
        <v>7.666120444401912</v>
      </c>
      <c r="AX94" s="169">
        <f>'Returns per Bu.'!Z101</f>
        <v>1.1920902851185829E-2</v>
      </c>
      <c r="AY94" s="162">
        <f>'Returns per Bu.'!AF101</f>
        <v>5.5558576642335762</v>
      </c>
      <c r="AZ94" s="165" t="e">
        <f>'Returns per Bu.'!#REF!</f>
        <v>#REF!</v>
      </c>
      <c r="BA94" s="15">
        <f t="shared" si="3"/>
        <v>3.7164416058394156</v>
      </c>
      <c r="BB94" s="93">
        <f>'Returns per Bu.'!AD101</f>
        <v>1.8394160583941606</v>
      </c>
      <c r="BC94" s="93">
        <f t="shared" si="4"/>
        <v>1.3040145985401459</v>
      </c>
    </row>
    <row r="95" spans="1:55" hidden="1" x14ac:dyDescent="0.2">
      <c r="A95" s="8">
        <v>41183</v>
      </c>
      <c r="C95" s="53"/>
      <c r="D95" s="93">
        <v>2.2963043478260876</v>
      </c>
      <c r="E95" s="95">
        <v>271.25543478260869</v>
      </c>
      <c r="F95" s="323"/>
      <c r="G95" s="93">
        <v>7.5056521739130462</v>
      </c>
      <c r="H95" s="96">
        <v>4.21</v>
      </c>
      <c r="I95" s="184"/>
      <c r="J95" s="12"/>
      <c r="K95" s="93">
        <f>'Returns per Gal.'!J102</f>
        <v>2.2963043478260876</v>
      </c>
      <c r="L95" s="93">
        <f>'Returns per Gal.'!K102</f>
        <v>0.80424856979405024</v>
      </c>
      <c r="M95" s="93"/>
      <c r="N95" s="93">
        <f>'Returns per Gal.'!M102</f>
        <v>3.1005529176201376</v>
      </c>
      <c r="O95" s="110">
        <f>'Returns per Gal.'!N102</f>
        <v>0</v>
      </c>
      <c r="P95" s="108">
        <f>'Returns per Gal.'!O102</f>
        <v>0</v>
      </c>
      <c r="Q95" s="93">
        <f>'Returns per Gal.'!P102</f>
        <v>2.6335621662852793</v>
      </c>
      <c r="R95" s="93">
        <f>'Returns per Gal.'!Q102</f>
        <v>0.1263</v>
      </c>
      <c r="S95" s="93">
        <f>'Returns per Gal.'!R102</f>
        <v>0.21939999999999998</v>
      </c>
      <c r="T95" s="93">
        <f>'Returns per Gal.'!S102</f>
        <v>2.9792621662852792</v>
      </c>
      <c r="U95" s="93">
        <f>'Returns per Gal.'!T102</f>
        <v>0.19624601212121212</v>
      </c>
      <c r="V95" s="93">
        <f>'Returns per Gal.'!U102</f>
        <v>3.1755081784064911</v>
      </c>
      <c r="W95" s="93">
        <f>'Returns per Gal.'!V102</f>
        <v>2.3712596086124407</v>
      </c>
      <c r="X95" s="105"/>
      <c r="Y95" s="93">
        <f>'Returns per Gal.'!V102</f>
        <v>2.3712596086124407</v>
      </c>
      <c r="Z95" s="93">
        <f>'Returns per Gal.'!Y102</f>
        <v>0.3021907513348584</v>
      </c>
      <c r="AA95" s="93">
        <f>'Returns per Gal.'!Z102</f>
        <v>0.12129075133485845</v>
      </c>
      <c r="AB95" s="93">
        <f>'Returns per Gal.'!AA102</f>
        <v>-7.4955260786353506E-2</v>
      </c>
      <c r="AC95" s="80">
        <f>'Returns per Gal.'!AB102</f>
        <v>0</v>
      </c>
      <c r="AD95" s="15">
        <f>'Returns per Gal.'!AC102</f>
        <v>0</v>
      </c>
      <c r="AE95" s="81">
        <f>'Returns per Gal.'!AD102</f>
        <v>0</v>
      </c>
      <c r="AF95" s="93">
        <f>'Returns per Gal.'!AE102</f>
        <v>0.6454091432961967</v>
      </c>
      <c r="AG95" s="93">
        <f>'Returns per Gal.'!AF102</f>
        <v>1.3040145985401459</v>
      </c>
      <c r="AH95" s="93">
        <f>'Returns per Gal.'!AG102</f>
        <v>1.9494237418363425</v>
      </c>
      <c r="AI95" s="105">
        <f>'Returns per Gal.'!AH102</f>
        <v>0</v>
      </c>
      <c r="AJ95" s="104">
        <f>'Returns per Gal.'!AI102</f>
        <v>0</v>
      </c>
      <c r="AK95" s="93">
        <f>'Returns per Gal.'!AJ102</f>
        <v>2.2951237418363424</v>
      </c>
      <c r="AL95" s="93">
        <f>'Returns per Gal.'!AK102</f>
        <v>2.4913697539575543</v>
      </c>
      <c r="AM95" s="105">
        <f>'Returns per Gal.'!AL102</f>
        <v>0</v>
      </c>
      <c r="AN95" s="104"/>
      <c r="AO95" s="93">
        <f>'Returns per Gal.'!AN102</f>
        <v>0.80542917578379525</v>
      </c>
      <c r="AP95" s="93">
        <f>'Returns per Gal.'!AO102</f>
        <v>0.60918316366258329</v>
      </c>
      <c r="AQ95" s="93">
        <f>'Returns per Gal.'!AP102</f>
        <v>-7.4955260786353506E-2</v>
      </c>
      <c r="AR95" s="93">
        <f>'Returns per Gal.'!AQ102</f>
        <v>0.6841384244489368</v>
      </c>
      <c r="AS95" s="52"/>
      <c r="AU95" s="177">
        <f>'Returns per Bu.'!G102</f>
        <v>7.5056521739130462</v>
      </c>
      <c r="AV95" s="166">
        <f>'Returns per Bu.'!N102</f>
        <v>8.8365758152173939</v>
      </c>
      <c r="AW95" s="166">
        <f>'Returns per Bu.'!O102</f>
        <v>7.2920296806719387</v>
      </c>
      <c r="AX95" s="169">
        <f>'Returns per Bu.'!Z102</f>
        <v>-6.5050854264588259E-2</v>
      </c>
      <c r="AY95" s="162">
        <f>'Returns per Bu.'!AF102</f>
        <v>5.5558576642335762</v>
      </c>
      <c r="AZ95" s="165" t="e">
        <f>'Returns per Bu.'!#REF!</f>
        <v>#REF!</v>
      </c>
      <c r="BA95" s="15">
        <f t="shared" si="3"/>
        <v>3.7164416058394156</v>
      </c>
      <c r="BB95" s="93">
        <f>'Returns per Bu.'!AD102</f>
        <v>1.8394160583941606</v>
      </c>
      <c r="BC95" s="93">
        <f t="shared" si="4"/>
        <v>1.3040145985401459</v>
      </c>
    </row>
    <row r="96" spans="1:55" hidden="1" x14ac:dyDescent="0.2">
      <c r="A96" s="8">
        <v>41214</v>
      </c>
      <c r="C96" s="53"/>
      <c r="D96" s="93">
        <v>2.3036363636363628</v>
      </c>
      <c r="E96" s="95">
        <v>261.14999999999998</v>
      </c>
      <c r="F96" s="323"/>
      <c r="G96" s="93">
        <v>7.5010937500000026</v>
      </c>
      <c r="H96" s="96">
        <v>5.4</v>
      </c>
      <c r="I96" s="184"/>
      <c r="J96" s="12"/>
      <c r="K96" s="93">
        <f>'Returns per Gal.'!J103</f>
        <v>2.3036363636363628</v>
      </c>
      <c r="L96" s="93">
        <f>'Returns per Gal.'!K103</f>
        <v>0.77428684210526311</v>
      </c>
      <c r="M96" s="93"/>
      <c r="N96" s="93">
        <f>'Returns per Gal.'!M103</f>
        <v>3.0779232057416257</v>
      </c>
      <c r="O96" s="110">
        <f>'Returns per Gal.'!N103</f>
        <v>0</v>
      </c>
      <c r="P96" s="108">
        <f>'Returns per Gal.'!O103</f>
        <v>0</v>
      </c>
      <c r="Q96" s="93">
        <f>'Returns per Gal.'!P103</f>
        <v>2.6319627192982464</v>
      </c>
      <c r="R96" s="93">
        <f>'Returns per Gal.'!Q103</f>
        <v>0.16200000000000001</v>
      </c>
      <c r="S96" s="93">
        <f>'Returns per Gal.'!R103</f>
        <v>0.21939999999999998</v>
      </c>
      <c r="T96" s="93">
        <f>'Returns per Gal.'!S103</f>
        <v>3.0133627192982462</v>
      </c>
      <c r="U96" s="93">
        <f>'Returns per Gal.'!T103</f>
        <v>0.19624601212121212</v>
      </c>
      <c r="V96" s="93">
        <f>'Returns per Gal.'!U103</f>
        <v>3.2096087314194581</v>
      </c>
      <c r="W96" s="93">
        <f>'Returns per Gal.'!V103</f>
        <v>2.4353218893141948</v>
      </c>
      <c r="X96" s="105"/>
      <c r="Y96" s="93">
        <f>'Returns per Gal.'!V103</f>
        <v>2.4353218893141948</v>
      </c>
      <c r="Z96" s="93">
        <f>'Returns per Gal.'!Y103</f>
        <v>0.24546048644337923</v>
      </c>
      <c r="AA96" s="93">
        <f>'Returns per Gal.'!Z103</f>
        <v>6.4560486443379528E-2</v>
      </c>
      <c r="AB96" s="93">
        <f>'Returns per Gal.'!AA103</f>
        <v>-0.13168552567783243</v>
      </c>
      <c r="AC96" s="80">
        <f>'Returns per Gal.'!AB103</f>
        <v>0</v>
      </c>
      <c r="AD96" s="15">
        <f>'Returns per Gal.'!AC103</f>
        <v>0</v>
      </c>
      <c r="AE96" s="81">
        <f>'Returns per Gal.'!AD103</f>
        <v>0</v>
      </c>
      <c r="AF96" s="93">
        <f>'Returns per Gal.'!AE103</f>
        <v>0.6454091432961967</v>
      </c>
      <c r="AG96" s="93">
        <f>'Returns per Gal.'!AF103</f>
        <v>1.3040145985401459</v>
      </c>
      <c r="AH96" s="93">
        <f>'Returns per Gal.'!AG103</f>
        <v>1.9494237418363425</v>
      </c>
      <c r="AI96" s="105">
        <f>'Returns per Gal.'!AH103</f>
        <v>0</v>
      </c>
      <c r="AJ96" s="104">
        <f>'Returns per Gal.'!AI103</f>
        <v>0</v>
      </c>
      <c r="AK96" s="93">
        <f>'Returns per Gal.'!AJ103</f>
        <v>2.3308237418363422</v>
      </c>
      <c r="AL96" s="93">
        <f>'Returns per Gal.'!AK103</f>
        <v>2.5270697539575542</v>
      </c>
      <c r="AM96" s="105">
        <f>'Returns per Gal.'!AL103</f>
        <v>0</v>
      </c>
      <c r="AN96" s="104"/>
      <c r="AO96" s="93">
        <f>'Returns per Gal.'!AN103</f>
        <v>0.74709946390528348</v>
      </c>
      <c r="AP96" s="93">
        <f>'Returns per Gal.'!AO103</f>
        <v>0.55085345178407152</v>
      </c>
      <c r="AQ96" s="93">
        <f>'Returns per Gal.'!AP103</f>
        <v>-0.13168552567783243</v>
      </c>
      <c r="AR96" s="93">
        <f>'Returns per Gal.'!AQ103</f>
        <v>0.68253897746190395</v>
      </c>
      <c r="AS96" s="52"/>
      <c r="AU96" s="177">
        <f>'Returns per Bu.'!G103</f>
        <v>7.5010937500000026</v>
      </c>
      <c r="AV96" s="166">
        <f>'Returns per Bu.'!N103</f>
        <v>8.7720811363636351</v>
      </c>
      <c r="AW96" s="166">
        <f>'Returns per Bu.'!O103</f>
        <v>7.1257900018181797</v>
      </c>
      <c r="AX96" s="169">
        <f>'Returns per Bu.'!Z103</f>
        <v>-0.11428491942734954</v>
      </c>
      <c r="AY96" s="162">
        <f>'Returns per Bu.'!AF103</f>
        <v>5.5558576642335762</v>
      </c>
      <c r="AZ96" s="165" t="e">
        <f>'Returns per Bu.'!#REF!</f>
        <v>#REF!</v>
      </c>
      <c r="BA96" s="15">
        <f t="shared" si="3"/>
        <v>3.7164416058394156</v>
      </c>
      <c r="BB96" s="93">
        <f>'Returns per Bu.'!AD103</f>
        <v>1.8394160583941606</v>
      </c>
      <c r="BC96" s="93">
        <f t="shared" si="4"/>
        <v>1.3040145985401459</v>
      </c>
    </row>
    <row r="97" spans="1:55" hidden="1" x14ac:dyDescent="0.2">
      <c r="A97" s="68">
        <v>41244</v>
      </c>
      <c r="B97" s="29"/>
      <c r="C97" s="56"/>
      <c r="D97" s="97">
        <v>2.2528571428571431</v>
      </c>
      <c r="E97" s="99">
        <v>255.41447368421052</v>
      </c>
      <c r="F97" s="324"/>
      <c r="G97" s="97">
        <v>7.3563486842105279</v>
      </c>
      <c r="H97" s="100">
        <v>5.75</v>
      </c>
      <c r="I97" s="187"/>
      <c r="J97" s="188"/>
      <c r="K97" s="97">
        <f>'Returns per Gal.'!J104</f>
        <v>2.2528571428571431</v>
      </c>
      <c r="L97" s="97">
        <f>'Returns per Gal.'!K104</f>
        <v>0.75728150969529073</v>
      </c>
      <c r="M97" s="97"/>
      <c r="N97" s="97">
        <f>'Returns per Gal.'!M104</f>
        <v>3.0101386525524338</v>
      </c>
      <c r="O97" s="113">
        <f>'Returns per Gal.'!N104</f>
        <v>0</v>
      </c>
      <c r="P97" s="111">
        <f>'Returns per Gal.'!O104</f>
        <v>0</v>
      </c>
      <c r="Q97" s="97">
        <f>'Returns per Gal.'!P104</f>
        <v>2.5811749769159746</v>
      </c>
      <c r="R97" s="97">
        <f>'Returns per Gal.'!Q104</f>
        <v>0.17249999999999999</v>
      </c>
      <c r="S97" s="97">
        <f>'Returns per Gal.'!R104</f>
        <v>0.21939999999999998</v>
      </c>
      <c r="T97" s="97">
        <f>'Returns per Gal.'!S104</f>
        <v>2.9730749769159743</v>
      </c>
      <c r="U97" s="97">
        <f>'Returns per Gal.'!T104</f>
        <v>0.19624601212121212</v>
      </c>
      <c r="V97" s="97">
        <f>'Returns per Gal.'!U104</f>
        <v>3.1693209890371863</v>
      </c>
      <c r="W97" s="97">
        <f>'Returns per Gal.'!V104</f>
        <v>2.4120394793418956</v>
      </c>
      <c r="X97" s="107"/>
      <c r="Y97" s="97">
        <f>'Returns per Gal.'!V104</f>
        <v>2.4120394793418956</v>
      </c>
      <c r="Z97" s="97">
        <f>'Returns per Gal.'!Y104</f>
        <v>0.21796367563645921</v>
      </c>
      <c r="AA97" s="97">
        <f>'Returns per Gal.'!Z104</f>
        <v>3.7063675636459514E-2</v>
      </c>
      <c r="AB97" s="97">
        <f>'Returns per Gal.'!AA104</f>
        <v>-0.15918233648475244</v>
      </c>
      <c r="AC97" s="82">
        <f>'Returns per Gal.'!AB104</f>
        <v>0</v>
      </c>
      <c r="AD97" s="65">
        <f>'Returns per Gal.'!AC104</f>
        <v>0</v>
      </c>
      <c r="AE97" s="83">
        <f>'Returns per Gal.'!AD104</f>
        <v>0</v>
      </c>
      <c r="AF97" s="97">
        <f>'Returns per Gal.'!AE104</f>
        <v>0.6454091432961967</v>
      </c>
      <c r="AG97" s="97">
        <f>'Returns per Gal.'!AF104</f>
        <v>1.3040145985401459</v>
      </c>
      <c r="AH97" s="97">
        <f>'Returns per Gal.'!AG104</f>
        <v>1.9494237418363425</v>
      </c>
      <c r="AI97" s="107">
        <f>'Returns per Gal.'!AH104</f>
        <v>0</v>
      </c>
      <c r="AJ97" s="106">
        <f>'Returns per Gal.'!AI104</f>
        <v>0</v>
      </c>
      <c r="AK97" s="97">
        <f>'Returns per Gal.'!AJ104</f>
        <v>2.3413237418363422</v>
      </c>
      <c r="AL97" s="97">
        <f>'Returns per Gal.'!AK104</f>
        <v>2.5375697539575541</v>
      </c>
      <c r="AM97" s="107">
        <f>'Returns per Gal.'!AL104</f>
        <v>0</v>
      </c>
      <c r="AN97" s="106"/>
      <c r="AO97" s="97">
        <f>'Returns per Gal.'!AN104</f>
        <v>0.66881491071609167</v>
      </c>
      <c r="AP97" s="97">
        <f>'Returns per Gal.'!AO104</f>
        <v>0.47256889859487972</v>
      </c>
      <c r="AQ97" s="97">
        <f>'Returns per Gal.'!AP104</f>
        <v>-0.15918233648475244</v>
      </c>
      <c r="AR97" s="97">
        <f>'Returns per Gal.'!AQ104</f>
        <v>0.63175123507963216</v>
      </c>
      <c r="AS97" s="64"/>
      <c r="AT97" s="29"/>
      <c r="AU97" s="178">
        <f>'Returns per Bu.'!G104</f>
        <v>7.3563486842105279</v>
      </c>
      <c r="AV97" s="167">
        <f>'Returns per Bu.'!N104</f>
        <v>8.5788951597744365</v>
      </c>
      <c r="AW97" s="167">
        <f>'Returns per Bu.'!O104</f>
        <v>6.9026790252289816</v>
      </c>
      <c r="AX97" s="170">
        <f>'Returns per Bu.'!Z104</f>
        <v>-0.13814836828706711</v>
      </c>
      <c r="AY97" s="163">
        <f>'Returns per Bu.'!AF104</f>
        <v>5.5558576642335762</v>
      </c>
      <c r="AZ97" s="164" t="e">
        <f>'Returns per Bu.'!#REF!</f>
        <v>#REF!</v>
      </c>
      <c r="BA97" s="15">
        <f t="shared" si="3"/>
        <v>3.7164416058394156</v>
      </c>
      <c r="BB97" s="93">
        <f>'Returns per Bu.'!AD104</f>
        <v>1.8394160583941606</v>
      </c>
      <c r="BC97" s="93">
        <f t="shared" si="4"/>
        <v>1.3040145985401459</v>
      </c>
    </row>
    <row r="98" spans="1:55" hidden="1" x14ac:dyDescent="0.2">
      <c r="A98" s="21">
        <v>41275</v>
      </c>
      <c r="C98" s="53"/>
      <c r="D98" s="93">
        <v>2.1967391304347825</v>
      </c>
      <c r="E98" s="95">
        <v>257.64285714285717</v>
      </c>
      <c r="F98" s="323"/>
      <c r="G98" s="93">
        <v>7.2666666666666702</v>
      </c>
      <c r="H98" s="266">
        <v>5.62</v>
      </c>
      <c r="I98" s="184"/>
      <c r="J98" s="12"/>
      <c r="K98" s="93">
        <f>'Returns per Gal.'!J105</f>
        <v>2.1967391304347825</v>
      </c>
      <c r="L98" s="93">
        <f>'Returns per Gal.'!K105</f>
        <v>0.76388847117794489</v>
      </c>
      <c r="M98" s="93"/>
      <c r="N98" s="93">
        <f>'Returns per Gal.'!M105</f>
        <v>2.9606276016127273</v>
      </c>
      <c r="O98" s="110">
        <f>'Returns per Gal.'!N105</f>
        <v>0</v>
      </c>
      <c r="P98" s="108">
        <f>'Returns per Gal.'!O105</f>
        <v>0</v>
      </c>
      <c r="Q98" s="93">
        <f>'Returns per Gal.'!P105</f>
        <v>2.5497076023391823</v>
      </c>
      <c r="R98" s="93">
        <f>'Returns per Gal.'!Q105</f>
        <v>0.1686</v>
      </c>
      <c r="S98" s="93">
        <f>'Returns per Gal.'!R105</f>
        <v>0.21939999999999998</v>
      </c>
      <c r="T98" s="93">
        <f>'Returns per Gal.'!S105</f>
        <v>2.9377076023391822</v>
      </c>
      <c r="U98" s="93">
        <f>'Returns per Gal.'!T105</f>
        <v>0.19624601212121212</v>
      </c>
      <c r="V98" s="93">
        <f>'Returns per Gal.'!U105</f>
        <v>3.1339536144603941</v>
      </c>
      <c r="W98" s="93">
        <f>'Returns per Gal.'!V105</f>
        <v>2.3700651432824493</v>
      </c>
      <c r="X98" s="105"/>
      <c r="Y98" s="93">
        <f>'Returns per Gal.'!V105</f>
        <v>2.3700651432824493</v>
      </c>
      <c r="Z98" s="93">
        <f>'Returns per Gal.'!Y105</f>
        <v>0.20381999927354505</v>
      </c>
      <c r="AA98" s="93">
        <f>'Returns per Gal.'!Z105</f>
        <v>2.2919999273545155E-2</v>
      </c>
      <c r="AB98" s="93">
        <f>'Returns per Gal.'!AA105</f>
        <v>-0.1733260128476668</v>
      </c>
      <c r="AC98" s="80">
        <f>'Returns per Gal.'!AB105</f>
        <v>0</v>
      </c>
      <c r="AD98" s="15">
        <f>'Returns per Gal.'!AC105</f>
        <v>0</v>
      </c>
      <c r="AE98" s="81">
        <f>'Returns per Gal.'!AD105</f>
        <v>0</v>
      </c>
      <c r="AF98" s="93">
        <f>'Returns per Gal.'!AE105</f>
        <v>0.6454091432961967</v>
      </c>
      <c r="AG98" s="93">
        <f>'Returns per Gal.'!AF105</f>
        <v>1.3040145985401459</v>
      </c>
      <c r="AH98" s="93">
        <f>'Returns per Gal.'!AG105</f>
        <v>1.9494237418363425</v>
      </c>
      <c r="AI98" s="105">
        <f>'Returns per Gal.'!AH105</f>
        <v>0</v>
      </c>
      <c r="AJ98" s="104">
        <f>'Returns per Gal.'!AI105</f>
        <v>0</v>
      </c>
      <c r="AK98" s="93">
        <f>'Returns per Gal.'!AJ105</f>
        <v>2.3374237418363424</v>
      </c>
      <c r="AL98" s="93">
        <f>'Returns per Gal.'!AK105</f>
        <v>2.5336697539575543</v>
      </c>
      <c r="AM98" s="105">
        <f>'Returns per Gal.'!AL105</f>
        <v>0</v>
      </c>
      <c r="AN98" s="104"/>
      <c r="AO98" s="93">
        <f>'Returns per Gal.'!AN105</f>
        <v>0.62320385977638493</v>
      </c>
      <c r="AP98" s="93">
        <f>'Returns per Gal.'!AO105</f>
        <v>0.42695784765517297</v>
      </c>
      <c r="AQ98" s="93">
        <f>'Returns per Gal.'!AP105</f>
        <v>-0.1733260128476668</v>
      </c>
      <c r="AR98" s="93">
        <f>'Returns per Gal.'!AQ105</f>
        <v>0.60028386050283977</v>
      </c>
      <c r="AS98" s="52"/>
      <c r="AU98" s="177">
        <f>'Returns per Bu.'!G105</f>
        <v>7.2666666666666702</v>
      </c>
      <c r="AV98" s="166">
        <f>'Returns per Bu.'!N105</f>
        <v>8.4377886645962725</v>
      </c>
      <c r="AW98" s="166">
        <f>'Returns per Bu.'!O105</f>
        <v>6.7726875300508178</v>
      </c>
      <c r="AX98" s="169">
        <f>'Returns per Bu.'!Z105</f>
        <v>-0.15042313352965506</v>
      </c>
      <c r="AY98" s="162">
        <f>'Returns per Bu.'!AF105</f>
        <v>5.5558576642335762</v>
      </c>
      <c r="AZ98" s="165" t="e">
        <f>'Returns per Bu.'!#REF!</f>
        <v>#REF!</v>
      </c>
      <c r="BA98" s="15">
        <f t="shared" si="3"/>
        <v>3.7164416058394156</v>
      </c>
      <c r="BB98" s="93">
        <f>'Returns per Bu.'!AD105</f>
        <v>1.8394160583941606</v>
      </c>
      <c r="BC98" s="93">
        <f t="shared" si="4"/>
        <v>1.3040145985401459</v>
      </c>
    </row>
    <row r="99" spans="1:55" hidden="1" x14ac:dyDescent="0.2">
      <c r="A99" s="8">
        <v>41306</v>
      </c>
      <c r="C99" s="53"/>
      <c r="D99" s="93">
        <v>2.3287499999999985</v>
      </c>
      <c r="E99" s="95">
        <v>265.57894736842104</v>
      </c>
      <c r="F99" s="323"/>
      <c r="G99" s="93">
        <v>7.2592105263157913</v>
      </c>
      <c r="H99" s="266">
        <v>5.56</v>
      </c>
      <c r="I99" s="184"/>
      <c r="K99" s="93">
        <f>'Returns per Gal.'!J106</f>
        <v>2.3287499999999985</v>
      </c>
      <c r="L99" s="93">
        <f>'Returns per Gal.'!K106</f>
        <v>0.78741828254847623</v>
      </c>
      <c r="M99" s="93"/>
      <c r="N99" s="93">
        <f>'Returns per Gal.'!M106</f>
        <v>3.1161682825484749</v>
      </c>
      <c r="O99" s="110">
        <f>'Returns per Gal.'!N106</f>
        <v>0</v>
      </c>
      <c r="P99" s="108">
        <f>'Returns per Gal.'!O106</f>
        <v>0</v>
      </c>
      <c r="Q99" s="93">
        <f>'Returns per Gal.'!P106</f>
        <v>2.5470914127423829</v>
      </c>
      <c r="R99" s="93">
        <f>'Returns per Gal.'!Q106</f>
        <v>0.1668</v>
      </c>
      <c r="S99" s="93">
        <f>'Returns per Gal.'!R106</f>
        <v>0.21939999999999998</v>
      </c>
      <c r="T99" s="93">
        <f>'Returns per Gal.'!S106</f>
        <v>2.9332914127423826</v>
      </c>
      <c r="U99" s="93">
        <f>'Returns per Gal.'!T106</f>
        <v>0.19624601212121212</v>
      </c>
      <c r="V99" s="93">
        <f>'Returns per Gal.'!U106</f>
        <v>3.1295374248635945</v>
      </c>
      <c r="W99" s="93">
        <f>'Returns per Gal.'!V106</f>
        <v>2.3421191423151182</v>
      </c>
      <c r="X99" s="105"/>
      <c r="Y99" s="93">
        <f>'Returns per Gal.'!V106</f>
        <v>2.3421191423151182</v>
      </c>
      <c r="Z99" s="93">
        <f>'Returns per Gal.'!Y106</f>
        <v>0.36377686980609197</v>
      </c>
      <c r="AA99" s="93">
        <f>'Returns per Gal.'!Z106</f>
        <v>0.1828768698060923</v>
      </c>
      <c r="AB99" s="93">
        <f>'Returns per Gal.'!AA106</f>
        <v>-1.3369142315119653E-2</v>
      </c>
      <c r="AC99" s="80">
        <f>'Returns per Gal.'!AB106</f>
        <v>0</v>
      </c>
      <c r="AD99" s="15">
        <f>'Returns per Gal.'!AC106</f>
        <v>0</v>
      </c>
      <c r="AE99" s="81">
        <f>'Returns per Gal.'!AD106</f>
        <v>0</v>
      </c>
      <c r="AF99" s="93">
        <f>'Returns per Gal.'!AE106</f>
        <v>0.6454091432961967</v>
      </c>
      <c r="AG99" s="93">
        <f>'Returns per Gal.'!AF106</f>
        <v>1.3040145985401459</v>
      </c>
      <c r="AH99" s="93">
        <f>'Returns per Gal.'!AG106</f>
        <v>1.9494237418363425</v>
      </c>
      <c r="AI99" s="105">
        <f>'Returns per Gal.'!AH106</f>
        <v>0</v>
      </c>
      <c r="AJ99" s="104">
        <f>'Returns per Gal.'!AI106</f>
        <v>0</v>
      </c>
      <c r="AK99" s="93">
        <f>'Returns per Gal.'!AJ106</f>
        <v>2.3356237418363421</v>
      </c>
      <c r="AL99" s="93">
        <f>'Returns per Gal.'!AK106</f>
        <v>2.5318697539575541</v>
      </c>
      <c r="AM99" s="105">
        <f>'Returns per Gal.'!AL106</f>
        <v>0</v>
      </c>
      <c r="AN99" s="104"/>
      <c r="AO99" s="93">
        <f>'Returns per Gal.'!AN106</f>
        <v>0.78054454071213275</v>
      </c>
      <c r="AP99" s="93">
        <f>'Returns per Gal.'!AO106</f>
        <v>0.5842985285909208</v>
      </c>
      <c r="AQ99" s="93">
        <f>'Returns per Gal.'!AP106</f>
        <v>-1.3369142315119653E-2</v>
      </c>
      <c r="AR99" s="93">
        <f>'Returns per Gal.'!AQ106</f>
        <v>0.59766767090604045</v>
      </c>
      <c r="AS99" s="52"/>
      <c r="AU99" s="177">
        <f>'Returns per Bu.'!G106</f>
        <v>7.2592105263157913</v>
      </c>
      <c r="AV99" s="166">
        <f>'Returns per Bu.'!N106</f>
        <v>8.8810796052631531</v>
      </c>
      <c r="AW99" s="166">
        <f>'Returns per Bu.'!O106</f>
        <v>7.2211084707176978</v>
      </c>
      <c r="AX99" s="169">
        <f>'Returns per Bu.'!Z106</f>
        <v>-1.1602576246946777E-2</v>
      </c>
      <c r="AY99" s="162">
        <f>'Returns per Bu.'!AF106</f>
        <v>5.5558576642335762</v>
      </c>
      <c r="AZ99" s="165" t="e">
        <f>'Returns per Bu.'!#REF!</f>
        <v>#REF!</v>
      </c>
      <c r="BA99" s="15">
        <f t="shared" si="3"/>
        <v>3.7164416058394156</v>
      </c>
      <c r="BB99" s="93">
        <f>'Returns per Bu.'!AD106</f>
        <v>1.8394160583941606</v>
      </c>
      <c r="BC99" s="93">
        <f t="shared" ref="BC99:BC130" si="5">AG99</f>
        <v>1.3040145985401459</v>
      </c>
    </row>
    <row r="100" spans="1:55" hidden="1" x14ac:dyDescent="0.2">
      <c r="A100" s="8">
        <v>41334</v>
      </c>
      <c r="C100" s="53"/>
      <c r="D100" s="93">
        <v>2.5190624999999995</v>
      </c>
      <c r="E100" s="95">
        <v>263.27976190476193</v>
      </c>
      <c r="F100" s="323"/>
      <c r="G100" s="93">
        <v>7.4420089285714308</v>
      </c>
      <c r="H100" s="266">
        <v>5.81</v>
      </c>
      <c r="I100" s="184"/>
      <c r="K100" s="93">
        <f>'Returns per Gal.'!J107</f>
        <v>2.5190624999999995</v>
      </c>
      <c r="L100" s="93">
        <f>'Returns per Gal.'!K107</f>
        <v>0.78060139933166239</v>
      </c>
      <c r="M100" s="93"/>
      <c r="N100" s="93">
        <f>'Returns per Gal.'!M107</f>
        <v>3.2996638993316618</v>
      </c>
      <c r="O100" s="110">
        <f>'Returns per Gal.'!N107</f>
        <v>0</v>
      </c>
      <c r="P100" s="108">
        <f>'Returns per Gal.'!O107</f>
        <v>0</v>
      </c>
      <c r="Q100" s="93">
        <f>'Returns per Gal.'!P107</f>
        <v>2.6112312030075193</v>
      </c>
      <c r="R100" s="93">
        <f>'Returns per Gal.'!Q107</f>
        <v>0.17429999999999998</v>
      </c>
      <c r="S100" s="93">
        <f>'Returns per Gal.'!R107</f>
        <v>0.21939999999999998</v>
      </c>
      <c r="T100" s="93">
        <f>'Returns per Gal.'!S107</f>
        <v>3.0049312030075193</v>
      </c>
      <c r="U100" s="93">
        <f>'Returns per Gal.'!T107</f>
        <v>0.19624601212121212</v>
      </c>
      <c r="V100" s="93">
        <f>'Returns per Gal.'!U107</f>
        <v>3.2011772151287312</v>
      </c>
      <c r="W100" s="93">
        <f>'Returns per Gal.'!V107</f>
        <v>2.4205758157970689</v>
      </c>
      <c r="X100" s="105"/>
      <c r="Y100" s="93">
        <f>'Returns per Gal.'!V107</f>
        <v>2.4205758157970689</v>
      </c>
      <c r="Z100" s="93">
        <f>'Returns per Gal.'!Y107</f>
        <v>0.47563269632414251</v>
      </c>
      <c r="AA100" s="93">
        <f>'Returns per Gal.'!Z107</f>
        <v>0.29473269632414256</v>
      </c>
      <c r="AB100" s="93">
        <f>'Returns per Gal.'!AA107</f>
        <v>9.8486684202930608E-2</v>
      </c>
      <c r="AC100" s="80">
        <f>'Returns per Gal.'!AB107</f>
        <v>0</v>
      </c>
      <c r="AD100" s="15">
        <f>'Returns per Gal.'!AC107</f>
        <v>0</v>
      </c>
      <c r="AE100" s="81">
        <f>'Returns per Gal.'!AD107</f>
        <v>0</v>
      </c>
      <c r="AF100" s="93">
        <f>'Returns per Gal.'!AE107</f>
        <v>0.6454091432961967</v>
      </c>
      <c r="AG100" s="93">
        <f>'Returns per Gal.'!AF107</f>
        <v>1.3040145985401459</v>
      </c>
      <c r="AH100" s="93">
        <f>'Returns per Gal.'!AG107</f>
        <v>1.9494237418363425</v>
      </c>
      <c r="AI100" s="105">
        <f>'Returns per Gal.'!AH107</f>
        <v>0</v>
      </c>
      <c r="AJ100" s="104">
        <f>'Returns per Gal.'!AI107</f>
        <v>0</v>
      </c>
      <c r="AK100" s="93">
        <f>'Returns per Gal.'!AJ107</f>
        <v>2.3431237418363424</v>
      </c>
      <c r="AL100" s="93">
        <f>'Returns per Gal.'!AK107</f>
        <v>2.5393697539575544</v>
      </c>
      <c r="AM100" s="105">
        <f>'Returns per Gal.'!AL107</f>
        <v>0</v>
      </c>
      <c r="AN100" s="104"/>
      <c r="AO100" s="93">
        <f>'Returns per Gal.'!AN107</f>
        <v>0.9565401574953194</v>
      </c>
      <c r="AP100" s="93">
        <f>'Returns per Gal.'!AO107</f>
        <v>0.76029414537410744</v>
      </c>
      <c r="AQ100" s="93">
        <f>'Returns per Gal.'!AP107</f>
        <v>9.8486684202930608E-2</v>
      </c>
      <c r="AR100" s="93">
        <f>'Returns per Gal.'!AQ107</f>
        <v>0.66180746117117684</v>
      </c>
      <c r="AS100" s="52"/>
      <c r="AU100" s="177">
        <f>'Returns per Bu.'!G107</f>
        <v>7.4420089285714308</v>
      </c>
      <c r="AV100" s="166">
        <f>'Returns per Bu.'!N107</f>
        <v>9.4040421130952367</v>
      </c>
      <c r="AW100" s="166">
        <f>'Returns per Bu.'!O107</f>
        <v>7.7226959785497815</v>
      </c>
      <c r="AX100" s="169">
        <f>'Returns per Bu.'!Z107</f>
        <v>8.5472892414427251E-2</v>
      </c>
      <c r="AY100" s="162">
        <f>'Returns per Bu.'!AF107</f>
        <v>5.5558576642335762</v>
      </c>
      <c r="AZ100" s="165" t="e">
        <f>'Returns per Bu.'!#REF!</f>
        <v>#REF!</v>
      </c>
      <c r="BA100" s="15">
        <f t="shared" si="3"/>
        <v>3.7164416058394156</v>
      </c>
      <c r="BB100" s="93">
        <f>'Returns per Bu.'!AD107</f>
        <v>1.8394160583941606</v>
      </c>
      <c r="BC100" s="93">
        <f t="shared" si="5"/>
        <v>1.3040145985401459</v>
      </c>
    </row>
    <row r="101" spans="1:55" hidden="1" x14ac:dyDescent="0.2">
      <c r="A101" s="8">
        <v>41365</v>
      </c>
      <c r="C101" s="53"/>
      <c r="D101" s="255">
        <v>2.478409090909091</v>
      </c>
      <c r="E101" s="256">
        <v>239.83333333333334</v>
      </c>
      <c r="F101" s="326"/>
      <c r="G101" s="15">
        <v>6.7354761904761915</v>
      </c>
      <c r="H101" s="257">
        <v>5.21</v>
      </c>
      <c r="I101" s="184"/>
      <c r="K101" s="93">
        <f>'Returns per Gal.'!J108</f>
        <v>2.478409090909091</v>
      </c>
      <c r="L101" s="93">
        <f>'Returns per Gal.'!K108</f>
        <v>0.71108479532163738</v>
      </c>
      <c r="M101" s="93"/>
      <c r="N101" s="93">
        <f>'Returns per Gal.'!M108</f>
        <v>3.1894938862307285</v>
      </c>
      <c r="O101" s="110">
        <f>'Returns per Gal.'!N108</f>
        <v>0</v>
      </c>
      <c r="P101" s="108">
        <f>'Returns per Gal.'!O108</f>
        <v>0</v>
      </c>
      <c r="Q101" s="93">
        <f>'Returns per Gal.'!P108</f>
        <v>2.3633249791144531</v>
      </c>
      <c r="R101" s="93">
        <f>'Returns per Gal.'!Q108</f>
        <v>0.15629999999999999</v>
      </c>
      <c r="S101" s="93">
        <f>'Returns per Gal.'!R108</f>
        <v>0.21939999999999998</v>
      </c>
      <c r="T101" s="93">
        <f>'Returns per Gal.'!S108</f>
        <v>2.7390249791144528</v>
      </c>
      <c r="U101" s="93">
        <f>'Returns per Gal.'!T108</f>
        <v>0.19624601212121212</v>
      </c>
      <c r="V101" s="93">
        <f>'Returns per Gal.'!U108</f>
        <v>2.9352709912356647</v>
      </c>
      <c r="W101" s="93">
        <f>'Returns per Gal.'!V108</f>
        <v>2.2241861959140272</v>
      </c>
      <c r="X101" s="105"/>
      <c r="Y101" s="93">
        <f>'Returns per Gal.'!V108</f>
        <v>2.2241861959140272</v>
      </c>
      <c r="Z101" s="93">
        <f>'Returns per Gal.'!Y108</f>
        <v>0.63136890711627547</v>
      </c>
      <c r="AA101" s="93">
        <f>'Returns per Gal.'!Z108</f>
        <v>0.45046890711627574</v>
      </c>
      <c r="AB101" s="93">
        <f>'Returns per Gal.'!AA108</f>
        <v>0.25422289499506379</v>
      </c>
      <c r="AC101" s="80">
        <f>'Returns per Gal.'!AB108</f>
        <v>0</v>
      </c>
      <c r="AD101" s="15">
        <f>'Returns per Gal.'!AC108</f>
        <v>0</v>
      </c>
      <c r="AE101" s="81">
        <f>'Returns per Gal.'!AD108</f>
        <v>0</v>
      </c>
      <c r="AF101" s="93">
        <f>'Returns per Gal.'!AE108</f>
        <v>0.6454091432961967</v>
      </c>
      <c r="AG101" s="93">
        <f>'Returns per Gal.'!AF108</f>
        <v>1.3040145985401459</v>
      </c>
      <c r="AH101" s="93">
        <f>'Returns per Gal.'!AG108</f>
        <v>1.9494237418363425</v>
      </c>
      <c r="AI101" s="105">
        <f>'Returns per Gal.'!AH108</f>
        <v>0</v>
      </c>
      <c r="AJ101" s="104">
        <f>'Returns per Gal.'!AI108</f>
        <v>0</v>
      </c>
      <c r="AK101" s="93">
        <f>'Returns per Gal.'!AJ108</f>
        <v>2.3251237418363422</v>
      </c>
      <c r="AL101" s="93">
        <f>'Returns per Gal.'!AK108</f>
        <v>2.5213697539575541</v>
      </c>
      <c r="AM101" s="105">
        <f>'Returns per Gal.'!AL108</f>
        <v>0</v>
      </c>
      <c r="AN101" s="104"/>
      <c r="AO101" s="93">
        <f>'Returns per Gal.'!AN108</f>
        <v>0.86437014439438631</v>
      </c>
      <c r="AP101" s="93">
        <f>'Returns per Gal.'!AO108</f>
        <v>0.66812413227317435</v>
      </c>
      <c r="AQ101" s="93">
        <f>'Returns per Gal.'!AP108</f>
        <v>0.25422289499506379</v>
      </c>
      <c r="AR101" s="93">
        <f>'Returns per Gal.'!AQ108</f>
        <v>0.41390123727811057</v>
      </c>
      <c r="AS101" s="52"/>
      <c r="AU101" s="177">
        <f>'Returns per Bu.'!G108</f>
        <v>6.7354761904761915</v>
      </c>
      <c r="AV101" s="166">
        <f>'Returns per Bu.'!N108</f>
        <v>9.0900575757575766</v>
      </c>
      <c r="AW101" s="166">
        <f>'Returns per Bu.'!O108</f>
        <v>7.4600114412121226</v>
      </c>
      <c r="AX101" s="169">
        <f>'Returns per Bu.'!Z108</f>
        <v>0.22063049770692594</v>
      </c>
      <c r="AY101" s="162">
        <f>'Returns per Bu.'!AF108</f>
        <v>5.5558576642335762</v>
      </c>
      <c r="AZ101" s="165" t="e">
        <f>'Returns per Bu.'!#REF!</f>
        <v>#REF!</v>
      </c>
      <c r="BA101" s="15">
        <f t="shared" si="3"/>
        <v>3.7164416058394156</v>
      </c>
      <c r="BB101" s="93">
        <f>'Returns per Bu.'!AD108</f>
        <v>1.8394160583941606</v>
      </c>
      <c r="BC101" s="93">
        <f t="shared" si="5"/>
        <v>1.3040145985401459</v>
      </c>
    </row>
    <row r="102" spans="1:55" hidden="1" x14ac:dyDescent="0.2">
      <c r="A102" s="8">
        <v>41395</v>
      </c>
      <c r="C102" s="53"/>
      <c r="D102" s="255">
        <v>2.5499999999999998</v>
      </c>
      <c r="E102" s="256">
        <v>223.10227272727272</v>
      </c>
      <c r="F102" s="326"/>
      <c r="G102" s="15">
        <v>7.03</v>
      </c>
      <c r="H102" s="257">
        <v>5.35</v>
      </c>
      <c r="I102" s="184"/>
      <c r="J102" s="12"/>
      <c r="K102" s="93">
        <f>'Returns per Gal.'!J109</f>
        <v>2.5499999999999998</v>
      </c>
      <c r="L102" s="93">
        <f>'Returns per Gal.'!K109</f>
        <v>0.66147866826156299</v>
      </c>
      <c r="M102" s="93"/>
      <c r="N102" s="93">
        <f>'Returns per Gal.'!M109</f>
        <v>3.211478668261563</v>
      </c>
      <c r="O102" s="110">
        <f>'Returns per Gal.'!N109</f>
        <v>0</v>
      </c>
      <c r="P102" s="108">
        <f>'Returns per Gal.'!O109</f>
        <v>0</v>
      </c>
      <c r="Q102" s="93">
        <f>'Returns per Gal.'!P109</f>
        <v>2.4666666666666668</v>
      </c>
      <c r="R102" s="93">
        <f>'Returns per Gal.'!Q109</f>
        <v>0.1605</v>
      </c>
      <c r="S102" s="93">
        <f>'Returns per Gal.'!R109</f>
        <v>0.21939999999999998</v>
      </c>
      <c r="T102" s="93">
        <f>'Returns per Gal.'!S109</f>
        <v>2.8465666666666665</v>
      </c>
      <c r="U102" s="93">
        <f>'Returns per Gal.'!T109</f>
        <v>0.19624601212121212</v>
      </c>
      <c r="V102" s="93">
        <f>'Returns per Gal.'!U109</f>
        <v>3.0428126787878784</v>
      </c>
      <c r="W102" s="93">
        <f>'Returns per Gal.'!V109</f>
        <v>2.3813340105263157</v>
      </c>
      <c r="X102" s="105"/>
      <c r="Y102" s="93">
        <f>'Returns per Gal.'!V109</f>
        <v>2.3813340105263157</v>
      </c>
      <c r="Z102" s="93">
        <f>'Returns per Gal.'!Y109</f>
        <v>0.54581200159489629</v>
      </c>
      <c r="AA102" s="93">
        <f>'Returns per Gal.'!Z109</f>
        <v>0.36491200159489656</v>
      </c>
      <c r="AB102" s="93">
        <f>'Returns per Gal.'!AA109</f>
        <v>0.16866598947368461</v>
      </c>
      <c r="AC102" s="80">
        <f>'Returns per Gal.'!AB109</f>
        <v>0</v>
      </c>
      <c r="AD102" s="15">
        <f>'Returns per Gal.'!AC109</f>
        <v>0</v>
      </c>
      <c r="AE102" s="81">
        <f>'Returns per Gal.'!AD109</f>
        <v>0</v>
      </c>
      <c r="AF102" s="93">
        <f>'Returns per Gal.'!AE109</f>
        <v>0.6454091432961967</v>
      </c>
      <c r="AG102" s="93">
        <f>'Returns per Gal.'!AF109</f>
        <v>1.3040145985401459</v>
      </c>
      <c r="AH102" s="93">
        <f>'Returns per Gal.'!AG109</f>
        <v>1.9494237418363425</v>
      </c>
      <c r="AI102" s="105">
        <f>'Returns per Gal.'!AH109</f>
        <v>0</v>
      </c>
      <c r="AJ102" s="104">
        <f>'Returns per Gal.'!AI109</f>
        <v>0</v>
      </c>
      <c r="AK102" s="93">
        <f>'Returns per Gal.'!AJ109</f>
        <v>2.3293237418363422</v>
      </c>
      <c r="AL102" s="93">
        <f>'Returns per Gal.'!AK109</f>
        <v>2.5255697539575541</v>
      </c>
      <c r="AM102" s="105">
        <f>'Returns per Gal.'!AL109</f>
        <v>0</v>
      </c>
      <c r="AN102" s="104"/>
      <c r="AO102" s="93">
        <f>'Returns per Gal.'!AN109</f>
        <v>0.88215492642522086</v>
      </c>
      <c r="AP102" s="93">
        <f>'Returns per Gal.'!AO109</f>
        <v>0.68590891430400891</v>
      </c>
      <c r="AQ102" s="93">
        <f>'Returns per Gal.'!AP109</f>
        <v>0.16866598947368461</v>
      </c>
      <c r="AR102" s="93">
        <f>'Returns per Gal.'!AQ109</f>
        <v>0.5172429248303243</v>
      </c>
      <c r="AS102" s="52"/>
      <c r="AU102" s="177">
        <f>'Returns per Bu.'!G109</f>
        <v>7.03</v>
      </c>
      <c r="AV102" s="166">
        <f>'Returns per Bu.'!N109</f>
        <v>9.1527142045454539</v>
      </c>
      <c r="AW102" s="166">
        <f>'Returns per Bu.'!O109</f>
        <v>7.5106980699999992</v>
      </c>
      <c r="AX102" s="169">
        <f>'Returns per Bu.'!Z109</f>
        <v>0.14637887435170854</v>
      </c>
      <c r="AY102" s="162">
        <f>'Returns per Bu.'!AF109</f>
        <v>5.5558576642335762</v>
      </c>
      <c r="AZ102" s="165" t="e">
        <f>'Returns per Bu.'!#REF!</f>
        <v>#REF!</v>
      </c>
      <c r="BA102" s="15">
        <f t="shared" si="3"/>
        <v>3.7164416058394156</v>
      </c>
      <c r="BB102" s="93">
        <f>'Returns per Bu.'!AD109</f>
        <v>1.8394160583941606</v>
      </c>
      <c r="BC102" s="93">
        <f t="shared" si="5"/>
        <v>1.3040145985401459</v>
      </c>
    </row>
    <row r="103" spans="1:55" hidden="1" x14ac:dyDescent="0.2">
      <c r="A103" s="8">
        <v>41426</v>
      </c>
      <c r="C103" s="53"/>
      <c r="D103" s="255">
        <v>2.57</v>
      </c>
      <c r="E103" s="256">
        <v>229.875</v>
      </c>
      <c r="F103" s="326"/>
      <c r="G103" s="15">
        <v>7.17</v>
      </c>
      <c r="H103" s="257">
        <v>5.39</v>
      </c>
      <c r="I103" s="184"/>
      <c r="J103" s="12"/>
      <c r="K103" s="93">
        <f>'Returns per Gal.'!J110</f>
        <v>2.57</v>
      </c>
      <c r="L103" s="93">
        <f>'Returns per Gal.'!K110</f>
        <v>0.68155921052631574</v>
      </c>
      <c r="M103" s="93"/>
      <c r="N103" s="93">
        <f>'Returns per Gal.'!M110</f>
        <v>3.2515592105263158</v>
      </c>
      <c r="O103" s="110">
        <f>'Returns per Gal.'!N110</f>
        <v>0</v>
      </c>
      <c r="P103" s="108">
        <f>'Returns per Gal.'!O110</f>
        <v>0</v>
      </c>
      <c r="Q103" s="93">
        <f>'Returns per Gal.'!P110</f>
        <v>2.5157894736842104</v>
      </c>
      <c r="R103" s="93">
        <f>'Returns per Gal.'!Q110</f>
        <v>0.16169999999999998</v>
      </c>
      <c r="S103" s="93">
        <f>'Returns per Gal.'!R110</f>
        <v>0.21939999999999998</v>
      </c>
      <c r="T103" s="93">
        <f>'Returns per Gal.'!S110</f>
        <v>2.8968894736842103</v>
      </c>
      <c r="U103" s="93">
        <f>'Returns per Gal.'!T110</f>
        <v>0.19624601212121212</v>
      </c>
      <c r="V103" s="93">
        <f>'Returns per Gal.'!U110</f>
        <v>3.0931354858054223</v>
      </c>
      <c r="W103" s="93">
        <f>'Returns per Gal.'!V110</f>
        <v>2.4115762752791063</v>
      </c>
      <c r="X103" s="105"/>
      <c r="Y103" s="93">
        <f>'Returns per Gal.'!V110</f>
        <v>2.4115762752791063</v>
      </c>
      <c r="Z103" s="93">
        <f>'Returns per Gal.'!Y110</f>
        <v>0.53556973684210551</v>
      </c>
      <c r="AA103" s="93">
        <f>'Returns per Gal.'!Z110</f>
        <v>0.35466973684210545</v>
      </c>
      <c r="AB103" s="93">
        <f>'Returns per Gal.'!AA110</f>
        <v>0.1584237247208935</v>
      </c>
      <c r="AC103" s="80">
        <f>'Returns per Gal.'!AB110</f>
        <v>0</v>
      </c>
      <c r="AD103" s="15">
        <f>'Returns per Gal.'!AC110</f>
        <v>0</v>
      </c>
      <c r="AE103" s="81">
        <f>'Returns per Gal.'!AD110</f>
        <v>0</v>
      </c>
      <c r="AF103" s="93">
        <f>'Returns per Gal.'!AE110</f>
        <v>0.6454091432961967</v>
      </c>
      <c r="AG103" s="93">
        <f>'Returns per Gal.'!AF110</f>
        <v>1.3040145985401459</v>
      </c>
      <c r="AH103" s="93">
        <f>'Returns per Gal.'!AG110</f>
        <v>1.9494237418363425</v>
      </c>
      <c r="AI103" s="105">
        <f>'Returns per Gal.'!AH110</f>
        <v>0</v>
      </c>
      <c r="AJ103" s="104">
        <f>'Returns per Gal.'!AI110</f>
        <v>0</v>
      </c>
      <c r="AK103" s="93">
        <f>'Returns per Gal.'!AJ110</f>
        <v>2.3305237418363425</v>
      </c>
      <c r="AL103" s="93">
        <f>'Returns per Gal.'!AK110</f>
        <v>2.5267697539575544</v>
      </c>
      <c r="AM103" s="105">
        <f>'Returns per Gal.'!AL110</f>
        <v>0</v>
      </c>
      <c r="AN103" s="104"/>
      <c r="AO103" s="93">
        <f>'Returns per Gal.'!AN110</f>
        <v>0.92103546868997332</v>
      </c>
      <c r="AP103" s="93">
        <f>'Returns per Gal.'!AO110</f>
        <v>0.72478945656876137</v>
      </c>
      <c r="AQ103" s="93">
        <f>'Returns per Gal.'!AP110</f>
        <v>0.1584237247208935</v>
      </c>
      <c r="AR103" s="93">
        <f>'Returns per Gal.'!AQ110</f>
        <v>0.56636573184786787</v>
      </c>
      <c r="AS103" s="52"/>
      <c r="AU103" s="177">
        <f>'Returns per Bu.'!G110</f>
        <v>7.17</v>
      </c>
      <c r="AV103" s="166">
        <f>'Returns per Bu.'!N110</f>
        <v>9.2669437499999994</v>
      </c>
      <c r="AW103" s="166">
        <f>'Returns per Bu.'!O110</f>
        <v>7.6215076154545436</v>
      </c>
      <c r="AX103" s="169">
        <f>'Returns per Bu.'!Z110</f>
        <v>0.13748999764334466</v>
      </c>
      <c r="AY103" s="162">
        <f>'Returns per Bu.'!AF110</f>
        <v>5.5558576642335762</v>
      </c>
      <c r="AZ103" s="165" t="e">
        <f>'Returns per Bu.'!#REF!</f>
        <v>#REF!</v>
      </c>
      <c r="BA103" s="15">
        <f t="shared" si="3"/>
        <v>3.7164416058394156</v>
      </c>
      <c r="BB103" s="93">
        <f>'Returns per Bu.'!AD110</f>
        <v>1.8394160583941606</v>
      </c>
      <c r="BC103" s="93">
        <f t="shared" si="5"/>
        <v>1.3040145985401459</v>
      </c>
    </row>
    <row r="104" spans="1:55" hidden="1" x14ac:dyDescent="0.2">
      <c r="A104" s="8">
        <v>41456</v>
      </c>
      <c r="C104" s="53"/>
      <c r="D104" s="255">
        <v>2.4321739130434779</v>
      </c>
      <c r="E104" s="256">
        <v>233.36363636363637</v>
      </c>
      <c r="F104" s="326"/>
      <c r="G104" s="15">
        <v>6.7066761363636367</v>
      </c>
      <c r="H104" s="257">
        <v>4.8499999999999996</v>
      </c>
      <c r="I104" s="184"/>
      <c r="J104" s="12"/>
      <c r="K104" s="93">
        <f>'Returns per Gal.'!J111</f>
        <v>2.4321739130434779</v>
      </c>
      <c r="L104" s="93">
        <f>'Returns per Gal.'!K111</f>
        <v>0.69190271132376391</v>
      </c>
      <c r="M104" s="93"/>
      <c r="N104" s="93">
        <f>'Returns per Gal.'!M111</f>
        <v>3.124076624367242</v>
      </c>
      <c r="O104" s="110">
        <f>'Returns per Gal.'!N111</f>
        <v>0</v>
      </c>
      <c r="P104" s="108">
        <f>'Returns per Gal.'!O111</f>
        <v>0</v>
      </c>
      <c r="Q104" s="93">
        <f>'Returns per Gal.'!P111</f>
        <v>2.3532196969696968</v>
      </c>
      <c r="R104" s="93">
        <f>'Returns per Gal.'!Q111</f>
        <v>0.14549999999999999</v>
      </c>
      <c r="S104" s="93">
        <f>'Returns per Gal.'!R111</f>
        <v>0.21939999999999998</v>
      </c>
      <c r="T104" s="93">
        <f>'Returns per Gal.'!S111</f>
        <v>2.7181196969696968</v>
      </c>
      <c r="U104" s="93">
        <f>'Returns per Gal.'!T111</f>
        <v>0.19624601212121212</v>
      </c>
      <c r="V104" s="93">
        <f>'Returns per Gal.'!U111</f>
        <v>2.9143657090909088</v>
      </c>
      <c r="W104" s="93">
        <f>'Returns per Gal.'!V111</f>
        <v>2.2224629977671446</v>
      </c>
      <c r="X104" s="105"/>
      <c r="Y104" s="93">
        <f>'Returns per Gal.'!V111</f>
        <v>2.2224629977671446</v>
      </c>
      <c r="Z104" s="93">
        <f>'Returns per Gal.'!Y111</f>
        <v>0.58685692739754525</v>
      </c>
      <c r="AA104" s="93">
        <f>'Returns per Gal.'!Z111</f>
        <v>0.40595692739754519</v>
      </c>
      <c r="AB104" s="93">
        <f>'Returns per Gal.'!AA111</f>
        <v>0.20971091527633323</v>
      </c>
      <c r="AC104" s="80">
        <f>'Returns per Gal.'!AB111</f>
        <v>0</v>
      </c>
      <c r="AD104" s="15">
        <f>'Returns per Gal.'!AC111</f>
        <v>0</v>
      </c>
      <c r="AE104" s="81">
        <f>'Returns per Gal.'!AD111</f>
        <v>0</v>
      </c>
      <c r="AF104" s="93">
        <f>'Returns per Gal.'!AE111</f>
        <v>0.6454091432961967</v>
      </c>
      <c r="AG104" s="93">
        <f>'Returns per Gal.'!AF111</f>
        <v>1.3040145985401459</v>
      </c>
      <c r="AH104" s="93">
        <f>'Returns per Gal.'!AG111</f>
        <v>1.9494237418363425</v>
      </c>
      <c r="AI104" s="105">
        <f>'Returns per Gal.'!AH111</f>
        <v>0</v>
      </c>
      <c r="AJ104" s="104">
        <f>'Returns per Gal.'!AI111</f>
        <v>0</v>
      </c>
      <c r="AK104" s="93">
        <f>'Returns per Gal.'!AJ111</f>
        <v>2.3143237418363425</v>
      </c>
      <c r="AL104" s="93">
        <f>'Returns per Gal.'!AK111</f>
        <v>2.5105697539575544</v>
      </c>
      <c r="AM104" s="105">
        <f>'Returns per Gal.'!AL111</f>
        <v>0</v>
      </c>
      <c r="AN104" s="104"/>
      <c r="AO104" s="93">
        <f>'Returns per Gal.'!AN111</f>
        <v>0.8097528825308995</v>
      </c>
      <c r="AP104" s="93">
        <f>'Returns per Gal.'!AO111</f>
        <v>0.61350687040968754</v>
      </c>
      <c r="AQ104" s="93">
        <f>'Returns per Gal.'!AP111</f>
        <v>0.20971091527633323</v>
      </c>
      <c r="AR104" s="93">
        <f>'Returns per Gal.'!AQ111</f>
        <v>0.40379595513335431</v>
      </c>
      <c r="AS104" s="52"/>
      <c r="AU104" s="177">
        <f>'Returns per Bu.'!G111</f>
        <v>6.7066761363636367</v>
      </c>
      <c r="AV104" s="166">
        <f>'Returns per Bu.'!N111</f>
        <v>8.9036183794466393</v>
      </c>
      <c r="AW104" s="166">
        <f>'Returns per Bu.'!O111</f>
        <v>7.3043522449011853</v>
      </c>
      <c r="AX104" s="169">
        <f>'Returns per Bu.'!Z111</f>
        <v>0.1820002231226685</v>
      </c>
      <c r="AY104" s="162">
        <f>'Returns per Bu.'!AF111</f>
        <v>5.5558576642335762</v>
      </c>
      <c r="AZ104" s="165" t="e">
        <f>'Returns per Bu.'!#REF!</f>
        <v>#REF!</v>
      </c>
      <c r="BA104" s="15">
        <f t="shared" si="3"/>
        <v>3.7164416058394156</v>
      </c>
      <c r="BB104" s="93">
        <f>'Returns per Bu.'!AD111</f>
        <v>1.8394160583941606</v>
      </c>
      <c r="BC104" s="93">
        <f t="shared" si="5"/>
        <v>1.3040145985401459</v>
      </c>
    </row>
    <row r="105" spans="1:55" hidden="1" x14ac:dyDescent="0.2">
      <c r="A105" s="8">
        <v>41487</v>
      </c>
      <c r="C105" s="53"/>
      <c r="D105" s="255">
        <v>2.2865909090909091</v>
      </c>
      <c r="E105" s="256">
        <v>224.73863636363637</v>
      </c>
      <c r="F105" s="326"/>
      <c r="G105" s="15">
        <v>6.0741761363636382</v>
      </c>
      <c r="H105" s="257">
        <v>4.84</v>
      </c>
      <c r="I105" s="184"/>
      <c r="K105" s="93">
        <f>'Returns per Gal.'!J112</f>
        <v>2.2865909090909091</v>
      </c>
      <c r="L105" s="93">
        <f>'Returns per Gal.'!K112</f>
        <v>0.6663303429027112</v>
      </c>
      <c r="M105" s="93"/>
      <c r="N105" s="93">
        <f>'Returns per Gal.'!M112</f>
        <v>2.9529212519936205</v>
      </c>
      <c r="O105" s="110">
        <f>'Returns per Gal.'!N112</f>
        <v>0</v>
      </c>
      <c r="P105" s="108">
        <f>'Returns per Gal.'!O112</f>
        <v>0</v>
      </c>
      <c r="Q105" s="93">
        <f>'Returns per Gal.'!P112</f>
        <v>2.1312898724082938</v>
      </c>
      <c r="R105" s="93">
        <f>'Returns per Gal.'!Q112</f>
        <v>0.1452</v>
      </c>
      <c r="S105" s="93">
        <f>'Returns per Gal.'!R112</f>
        <v>0.21939999999999998</v>
      </c>
      <c r="T105" s="93">
        <f>'Returns per Gal.'!S112</f>
        <v>2.4958898724082936</v>
      </c>
      <c r="U105" s="93">
        <f>'Returns per Gal.'!T112</f>
        <v>0.19624601212121212</v>
      </c>
      <c r="V105" s="93">
        <f>'Returns per Gal.'!U112</f>
        <v>2.6921358845295056</v>
      </c>
      <c r="W105" s="93">
        <f>'Returns per Gal.'!V112</f>
        <v>2.0258055416267942</v>
      </c>
      <c r="X105" s="105"/>
      <c r="Y105" s="93">
        <f>'Returns per Gal.'!V112</f>
        <v>2.0258055416267942</v>
      </c>
      <c r="Z105" s="93">
        <f>'Returns per Gal.'!Y112</f>
        <v>0.63793137958532675</v>
      </c>
      <c r="AA105" s="93">
        <f>'Returns per Gal.'!Z112</f>
        <v>0.45703137958532691</v>
      </c>
      <c r="AB105" s="93">
        <f>'Returns per Gal.'!AA112</f>
        <v>0.26078536746411496</v>
      </c>
      <c r="AC105" s="80">
        <f>'Returns per Gal.'!AB112</f>
        <v>0</v>
      </c>
      <c r="AD105" s="15">
        <f>'Returns per Gal.'!AC112</f>
        <v>0</v>
      </c>
      <c r="AE105" s="81">
        <f>'Returns per Gal.'!AD112</f>
        <v>0</v>
      </c>
      <c r="AF105" s="93">
        <f>'Returns per Gal.'!AE112</f>
        <v>0.6454091432961967</v>
      </c>
      <c r="AG105" s="93">
        <f>'Returns per Gal.'!AF112</f>
        <v>1.3040145985401459</v>
      </c>
      <c r="AH105" s="93">
        <f>'Returns per Gal.'!AG112</f>
        <v>1.9494237418363425</v>
      </c>
      <c r="AI105" s="105">
        <f>'Returns per Gal.'!AH112</f>
        <v>0</v>
      </c>
      <c r="AJ105" s="104">
        <f>'Returns per Gal.'!AI112</f>
        <v>0</v>
      </c>
      <c r="AK105" s="93">
        <f>'Returns per Gal.'!AJ112</f>
        <v>2.3140237418363423</v>
      </c>
      <c r="AL105" s="93">
        <f>'Returns per Gal.'!AK112</f>
        <v>2.5102697539575543</v>
      </c>
      <c r="AM105" s="105">
        <f>'Returns per Gal.'!AL112</f>
        <v>0</v>
      </c>
      <c r="AN105" s="104"/>
      <c r="AO105" s="93">
        <f>'Returns per Gal.'!AN112</f>
        <v>0.63889751015727825</v>
      </c>
      <c r="AP105" s="93">
        <f>'Returns per Gal.'!AO112</f>
        <v>0.44265149803606629</v>
      </c>
      <c r="AQ105" s="93">
        <f>'Returns per Gal.'!AP112</f>
        <v>0.26078536746411496</v>
      </c>
      <c r="AR105" s="93">
        <f>'Returns per Gal.'!AQ112</f>
        <v>0.18186613057195133</v>
      </c>
      <c r="AS105" s="52"/>
      <c r="AU105" s="177">
        <f>'Returns per Bu.'!G112</f>
        <v>6.0741761363636382</v>
      </c>
      <c r="AV105" s="166">
        <f>'Returns per Bu.'!N112</f>
        <v>8.4158255681818179</v>
      </c>
      <c r="AW105" s="166">
        <f>'Returns per Bu.'!O112</f>
        <v>6.8174144336363636</v>
      </c>
      <c r="AX105" s="169">
        <f>'Returns per Bu.'!Z112</f>
        <v>0.22632582096670847</v>
      </c>
      <c r="AY105" s="162">
        <f>'Returns per Bu.'!AF112</f>
        <v>5.5558576642335762</v>
      </c>
      <c r="AZ105" s="165" t="e">
        <f>'Returns per Bu.'!#REF!</f>
        <v>#REF!</v>
      </c>
      <c r="BA105" s="15">
        <f t="shared" si="3"/>
        <v>3.7164416058394156</v>
      </c>
      <c r="BB105" s="93">
        <f>'Returns per Bu.'!AD112</f>
        <v>1.8394160583941606</v>
      </c>
      <c r="BC105" s="93">
        <f t="shared" si="5"/>
        <v>1.3040145985401459</v>
      </c>
    </row>
    <row r="106" spans="1:55" hidden="1" x14ac:dyDescent="0.2">
      <c r="A106" s="8">
        <v>41518</v>
      </c>
      <c r="C106" s="53"/>
      <c r="D106" s="255">
        <v>2.3583333333333334</v>
      </c>
      <c r="E106" s="256">
        <v>218.7</v>
      </c>
      <c r="F106" s="326"/>
      <c r="G106" s="15">
        <v>5.1482374999999996</v>
      </c>
      <c r="H106" s="257">
        <v>4.99</v>
      </c>
      <c r="I106" s="184"/>
      <c r="K106" s="93">
        <f>'Returns per Gal.'!J113</f>
        <v>2.3583333333333334</v>
      </c>
      <c r="L106" s="93">
        <f>'Returns per Gal.'!K113</f>
        <v>0.64842631578947363</v>
      </c>
      <c r="M106" s="93"/>
      <c r="N106" s="93">
        <f>'Returns per Gal.'!M113</f>
        <v>3.0067596491228068</v>
      </c>
      <c r="O106" s="110">
        <f>'Returns per Gal.'!N113</f>
        <v>0</v>
      </c>
      <c r="P106" s="108">
        <f>'Returns per Gal.'!O113</f>
        <v>0</v>
      </c>
      <c r="Q106" s="93">
        <f>'Returns per Gal.'!P113</f>
        <v>1.8063991228070173</v>
      </c>
      <c r="R106" s="93">
        <f>'Returns per Gal.'!Q113</f>
        <v>0.14970000000000003</v>
      </c>
      <c r="S106" s="93">
        <f>'Returns per Gal.'!R113</f>
        <v>0.21939999999999998</v>
      </c>
      <c r="T106" s="93">
        <f>'Returns per Gal.'!S113</f>
        <v>2.1754991228070173</v>
      </c>
      <c r="U106" s="93">
        <f>'Returns per Gal.'!T113</f>
        <v>0.19624601212121212</v>
      </c>
      <c r="V106" s="93">
        <f>'Returns per Gal.'!U113</f>
        <v>2.3717451349282292</v>
      </c>
      <c r="W106" s="93">
        <f>'Returns per Gal.'!V113</f>
        <v>1.7233188191387556</v>
      </c>
      <c r="X106" s="105"/>
      <c r="Y106" s="93">
        <f>'Returns per Gal.'!V113</f>
        <v>1.7233188191387556</v>
      </c>
      <c r="Z106" s="93">
        <f>'Returns per Gal.'!Y113</f>
        <v>1.0121605263157896</v>
      </c>
      <c r="AA106" s="93">
        <f>'Returns per Gal.'!Z113</f>
        <v>0.83126052631578951</v>
      </c>
      <c r="AB106" s="93">
        <f>'Returns per Gal.'!AA113</f>
        <v>0.63501451419457755</v>
      </c>
      <c r="AC106" s="80">
        <f>'Returns per Gal.'!AB113</f>
        <v>0</v>
      </c>
      <c r="AD106" s="15">
        <f>'Returns per Gal.'!AC113</f>
        <v>0</v>
      </c>
      <c r="AE106" s="81">
        <f>'Returns per Gal.'!AD113</f>
        <v>0</v>
      </c>
      <c r="AF106" s="93">
        <f>'Returns per Gal.'!AE113</f>
        <v>0.57766367137355579</v>
      </c>
      <c r="AG106" s="93">
        <f>'Returns per Gal.'!AF113</f>
        <v>1.1173855370132646</v>
      </c>
      <c r="AH106" s="93">
        <f>'Returns per Gal.'!AG113</f>
        <v>1.6950492083868205</v>
      </c>
      <c r="AI106" s="105">
        <f>'Returns per Gal.'!AH113</f>
        <v>0</v>
      </c>
      <c r="AJ106" s="104">
        <f>'Returns per Gal.'!AI113</f>
        <v>0</v>
      </c>
      <c r="AK106" s="93">
        <f>'Returns per Gal.'!AJ113</f>
        <v>2.0641492083868203</v>
      </c>
      <c r="AL106" s="93">
        <f>'Returns per Gal.'!AK113</f>
        <v>2.2603952205080322</v>
      </c>
      <c r="AM106" s="105">
        <f>'Returns per Gal.'!AL113</f>
        <v>0</v>
      </c>
      <c r="AN106" s="104"/>
      <c r="AO106" s="93">
        <f>'Returns per Gal.'!AN113</f>
        <v>0.94261044073598654</v>
      </c>
      <c r="AP106" s="93">
        <f>'Returns per Gal.'!AO113</f>
        <v>0.74636442861477459</v>
      </c>
      <c r="AQ106" s="93">
        <f>'Returns per Gal.'!AP113</f>
        <v>0.63501451419457777</v>
      </c>
      <c r="AR106" s="93">
        <f>'Returns per Gal.'!AQ113</f>
        <v>0.11134991442019682</v>
      </c>
      <c r="AS106" s="52"/>
      <c r="AU106" s="177">
        <f>'Returns per Bu.'!G113</f>
        <v>5.1482374999999996</v>
      </c>
      <c r="AV106" s="166">
        <f>'Returns per Bu.'!N113</f>
        <v>8.5692649999999997</v>
      </c>
      <c r="AW106" s="166">
        <f>'Returns per Bu.'!O113</f>
        <v>6.9580288654545459</v>
      </c>
      <c r="AX106" s="169">
        <f>'Returns per Bu.'!Z113</f>
        <v>0.55110523511500398</v>
      </c>
      <c r="AY106" s="162">
        <f>'Returns per Bu.'!AF113</f>
        <v>4.8308902439024388</v>
      </c>
      <c r="AZ106" s="165" t="e">
        <f>'Returns per Bu.'!#REF!</f>
        <v>#REF!</v>
      </c>
      <c r="BA106" s="15">
        <f t="shared" si="3"/>
        <v>3.1845487804878045</v>
      </c>
      <c r="BB106" s="93">
        <f>'Returns per Bu.'!AD113</f>
        <v>1.6463414634146341</v>
      </c>
      <c r="BC106" s="93">
        <f t="shared" si="5"/>
        <v>1.1173855370132646</v>
      </c>
    </row>
    <row r="107" spans="1:55" hidden="1" x14ac:dyDescent="0.2">
      <c r="A107" s="8">
        <v>41548</v>
      </c>
      <c r="C107" s="53"/>
      <c r="D107" s="255">
        <v>2.0538461538461541</v>
      </c>
      <c r="E107" s="256">
        <v>202</v>
      </c>
      <c r="F107" s="326"/>
      <c r="G107" s="15">
        <v>4.4284999999999997</v>
      </c>
      <c r="H107" s="257">
        <v>5.05</v>
      </c>
      <c r="I107" s="184"/>
      <c r="K107" s="93">
        <f>'Returns per Gal.'!J114</f>
        <v>2.0538461538461541</v>
      </c>
      <c r="L107" s="93">
        <f>'Returns per Gal.'!K114</f>
        <v>0.59891228070175428</v>
      </c>
      <c r="M107" s="93"/>
      <c r="N107" s="93">
        <f>'Returns per Gal.'!M114</f>
        <v>2.6527584345479083</v>
      </c>
      <c r="O107" s="110">
        <f>'Returns per Gal.'!N114</f>
        <v>0</v>
      </c>
      <c r="P107" s="108">
        <f>'Returns per Gal.'!O114</f>
        <v>0</v>
      </c>
      <c r="Q107" s="93">
        <f>'Returns per Gal.'!P114</f>
        <v>1.5538596491228069</v>
      </c>
      <c r="R107" s="93">
        <f>'Returns per Gal.'!Q114</f>
        <v>0.1515</v>
      </c>
      <c r="S107" s="93">
        <f>'Returns per Gal.'!R114</f>
        <v>0.21939999999999998</v>
      </c>
      <c r="T107" s="93">
        <f>'Returns per Gal.'!S114</f>
        <v>1.9247596491228069</v>
      </c>
      <c r="U107" s="93">
        <f>'Returns per Gal.'!T114</f>
        <v>0.19624601212121212</v>
      </c>
      <c r="V107" s="93">
        <f>'Returns per Gal.'!U114</f>
        <v>2.1210056612440189</v>
      </c>
      <c r="W107" s="93">
        <f>'Returns per Gal.'!V114</f>
        <v>1.5220933805422647</v>
      </c>
      <c r="X107" s="105"/>
      <c r="Y107" s="93">
        <f>'Returns per Gal.'!V114</f>
        <v>1.5220933805422647</v>
      </c>
      <c r="Z107" s="93">
        <f>'Returns per Gal.'!Y114</f>
        <v>0.90889878542510139</v>
      </c>
      <c r="AA107" s="93">
        <f>'Returns per Gal.'!Z114</f>
        <v>0.72799878542510132</v>
      </c>
      <c r="AB107" s="93">
        <f>'Returns per Gal.'!AA114</f>
        <v>0.53175277330388937</v>
      </c>
      <c r="AC107" s="80">
        <f>'Returns per Gal.'!AB114</f>
        <v>0</v>
      </c>
      <c r="AD107" s="15">
        <f>'Returns per Gal.'!AC114</f>
        <v>0</v>
      </c>
      <c r="AE107" s="81">
        <f>'Returns per Gal.'!AD114</f>
        <v>0</v>
      </c>
      <c r="AF107" s="93">
        <f>'Returns per Gal.'!AE114</f>
        <v>0.57766367137355579</v>
      </c>
      <c r="AG107" s="93">
        <f>'Returns per Gal.'!AF114</f>
        <v>1.1173855370132646</v>
      </c>
      <c r="AH107" s="93">
        <f>'Returns per Gal.'!AG114</f>
        <v>1.6950492083868205</v>
      </c>
      <c r="AI107" s="105">
        <f>'Returns per Gal.'!AH114</f>
        <v>0</v>
      </c>
      <c r="AJ107" s="104">
        <f>'Returns per Gal.'!AI114</f>
        <v>0</v>
      </c>
      <c r="AK107" s="93">
        <f>'Returns per Gal.'!AJ114</f>
        <v>2.0659492083868205</v>
      </c>
      <c r="AL107" s="93">
        <f>'Returns per Gal.'!AK114</f>
        <v>2.2621952205080325</v>
      </c>
      <c r="AM107" s="105">
        <f>'Returns per Gal.'!AL114</f>
        <v>0</v>
      </c>
      <c r="AN107" s="104"/>
      <c r="AO107" s="93">
        <f>'Returns per Gal.'!AN114</f>
        <v>0.58680922616108777</v>
      </c>
      <c r="AP107" s="93">
        <f>'Returns per Gal.'!AO114</f>
        <v>0.39056321403987582</v>
      </c>
      <c r="AQ107" s="93">
        <f>'Returns per Gal.'!AP114</f>
        <v>0.53175277330388937</v>
      </c>
      <c r="AR107" s="93">
        <f>'Returns per Gal.'!AQ114</f>
        <v>-0.14118955926401355</v>
      </c>
      <c r="AS107" s="52"/>
      <c r="AU107" s="177">
        <f>'Returns per Bu.'!G114</f>
        <v>4.4284999999999997</v>
      </c>
      <c r="AV107" s="166">
        <f>'Returns per Bu.'!N114</f>
        <v>7.5603615384615397</v>
      </c>
      <c r="AW107" s="166">
        <f>'Returns per Bu.'!O114</f>
        <v>5.9439954039160856</v>
      </c>
      <c r="AX107" s="169">
        <f>'Returns per Bu.'!Z114</f>
        <v>0.46148825043217878</v>
      </c>
      <c r="AY107" s="162">
        <f>'Returns per Bu.'!AF114</f>
        <v>4.8308902439024388</v>
      </c>
      <c r="AZ107" s="165" t="e">
        <f>'Returns per Bu.'!#REF!</f>
        <v>#REF!</v>
      </c>
      <c r="BA107" s="15">
        <f t="shared" si="3"/>
        <v>3.1845487804878045</v>
      </c>
      <c r="BB107" s="93">
        <f>'Returns per Bu.'!AD114</f>
        <v>1.6463414634146341</v>
      </c>
      <c r="BC107" s="93">
        <f t="shared" si="5"/>
        <v>1.1173855370132646</v>
      </c>
    </row>
    <row r="108" spans="1:55" hidden="1" x14ac:dyDescent="0.2">
      <c r="A108" s="8">
        <v>41579</v>
      </c>
      <c r="C108" s="53"/>
      <c r="D108" s="255">
        <v>1.9611904761904764</v>
      </c>
      <c r="E108" s="256">
        <v>206.44736842105263</v>
      </c>
      <c r="F108" s="326"/>
      <c r="G108" s="15">
        <v>4.3354605263157904</v>
      </c>
      <c r="H108" s="257">
        <v>5.58</v>
      </c>
      <c r="I108" s="184"/>
      <c r="J108" s="12"/>
      <c r="K108" s="93">
        <f>'Returns per Gal.'!J115</f>
        <v>1.9611904761904764</v>
      </c>
      <c r="L108" s="93">
        <f>'Returns per Gal.'!K115</f>
        <v>0.61209833795013846</v>
      </c>
      <c r="M108" s="93"/>
      <c r="N108" s="93">
        <f>'Returns per Gal.'!M115</f>
        <v>2.5732888141406147</v>
      </c>
      <c r="O108" s="110">
        <f>'Returns per Gal.'!N115</f>
        <v>0</v>
      </c>
      <c r="P108" s="108">
        <f>'Returns per Gal.'!O115</f>
        <v>0</v>
      </c>
      <c r="Q108" s="93">
        <f>'Returns per Gal.'!P115</f>
        <v>1.5212142197599263</v>
      </c>
      <c r="R108" s="93">
        <f>'Returns per Gal.'!Q115</f>
        <v>0.16739999999999999</v>
      </c>
      <c r="S108" s="93">
        <f>'Returns per Gal.'!R115</f>
        <v>0.21939999999999998</v>
      </c>
      <c r="T108" s="93">
        <f>'Returns per Gal.'!S115</f>
        <v>1.9080142197599264</v>
      </c>
      <c r="U108" s="93">
        <f>'Returns per Gal.'!T115</f>
        <v>0.19624601212121212</v>
      </c>
      <c r="V108" s="93">
        <f>'Returns per Gal.'!U115</f>
        <v>2.1042602318811383</v>
      </c>
      <c r="W108" s="93">
        <f>'Returns per Gal.'!V115</f>
        <v>1.4921618939309997</v>
      </c>
      <c r="X108" s="105"/>
      <c r="Y108" s="93">
        <f>'Returns per Gal.'!V115</f>
        <v>1.4921618939309997</v>
      </c>
      <c r="Z108" s="93">
        <f>'Returns per Gal.'!Y115</f>
        <v>0.84617459438068843</v>
      </c>
      <c r="AA108" s="93">
        <f>'Returns per Gal.'!Z115</f>
        <v>0.66527459438068837</v>
      </c>
      <c r="AB108" s="93">
        <f>'Returns per Gal.'!AA115</f>
        <v>0.46902858225947641</v>
      </c>
      <c r="AC108" s="80">
        <f>'Returns per Gal.'!AB115</f>
        <v>0</v>
      </c>
      <c r="AD108" s="15">
        <f>'Returns per Gal.'!AC115</f>
        <v>0</v>
      </c>
      <c r="AE108" s="81">
        <f>'Returns per Gal.'!AD115</f>
        <v>0</v>
      </c>
      <c r="AF108" s="93">
        <f>'Returns per Gal.'!AE115</f>
        <v>0.57766367137355579</v>
      </c>
      <c r="AG108" s="93">
        <f>'Returns per Gal.'!AF115</f>
        <v>1.1173855370132646</v>
      </c>
      <c r="AH108" s="93">
        <f>'Returns per Gal.'!AG115</f>
        <v>1.6950492083868205</v>
      </c>
      <c r="AI108" s="105">
        <f>'Returns per Gal.'!AH115</f>
        <v>0</v>
      </c>
      <c r="AJ108" s="104">
        <f>'Returns per Gal.'!AI115</f>
        <v>0</v>
      </c>
      <c r="AK108" s="93">
        <f>'Returns per Gal.'!AJ115</f>
        <v>2.0818492083868203</v>
      </c>
      <c r="AL108" s="93">
        <f>'Returns per Gal.'!AK115</f>
        <v>2.2780952205080323</v>
      </c>
      <c r="AM108" s="105">
        <f>'Returns per Gal.'!AL115</f>
        <v>0</v>
      </c>
      <c r="AN108" s="104"/>
      <c r="AO108" s="93">
        <f>'Returns per Gal.'!AN115</f>
        <v>0.49143960575379442</v>
      </c>
      <c r="AP108" s="93">
        <f>'Returns per Gal.'!AO115</f>
        <v>0.29519359363258246</v>
      </c>
      <c r="AQ108" s="93">
        <f>'Returns per Gal.'!AP115</f>
        <v>0.46902858225947663</v>
      </c>
      <c r="AR108" s="93">
        <f>'Returns per Gal.'!AQ115</f>
        <v>-0.17383498862689417</v>
      </c>
      <c r="AS108" s="52"/>
      <c r="AU108" s="177">
        <f>'Returns per Bu.'!G115</f>
        <v>4.3354605263157904</v>
      </c>
      <c r="AV108" s="166">
        <f>'Returns per Bu.'!N115</f>
        <v>7.333873120300753</v>
      </c>
      <c r="AW108" s="166">
        <f>'Returns per Bu.'!O115</f>
        <v>5.6721919857552985</v>
      </c>
      <c r="AX108" s="169">
        <f>'Returns per Bu.'!Z115</f>
        <v>0.40705228199329396</v>
      </c>
      <c r="AY108" s="162">
        <f>'Returns per Bu.'!AF115</f>
        <v>4.8308902439024388</v>
      </c>
      <c r="AZ108" s="165" t="e">
        <f>'Returns per Bu.'!#REF!</f>
        <v>#REF!</v>
      </c>
      <c r="BA108" s="15">
        <f t="shared" si="3"/>
        <v>3.1845487804878045</v>
      </c>
      <c r="BB108" s="93">
        <f>'Returns per Bu.'!AD115</f>
        <v>1.6463414634146341</v>
      </c>
      <c r="BC108" s="93">
        <f t="shared" si="5"/>
        <v>1.1173855370132646</v>
      </c>
    </row>
    <row r="109" spans="1:55" hidden="1" x14ac:dyDescent="0.2">
      <c r="A109" s="68">
        <v>41609</v>
      </c>
      <c r="B109" s="29"/>
      <c r="C109" s="56"/>
      <c r="D109" s="97">
        <v>2.3029545454545461</v>
      </c>
      <c r="E109" s="258">
        <v>212.1904761904762</v>
      </c>
      <c r="F109" s="327"/>
      <c r="G109" s="65">
        <v>4.34547619047619</v>
      </c>
      <c r="H109" s="259">
        <v>5.98</v>
      </c>
      <c r="I109" s="187"/>
      <c r="J109" s="188"/>
      <c r="K109" s="97">
        <f>'Returns per Gal.'!J116</f>
        <v>2.3029545454545461</v>
      </c>
      <c r="L109" s="97">
        <f>'Returns per Gal.'!K116</f>
        <v>0.62912614870509609</v>
      </c>
      <c r="M109" s="97"/>
      <c r="N109" s="97">
        <f>'Returns per Gal.'!M116</f>
        <v>2.9320806941596422</v>
      </c>
      <c r="O109" s="113">
        <f>'Returns per Gal.'!N116</f>
        <v>0</v>
      </c>
      <c r="P109" s="111">
        <f>'Returns per Gal.'!O116</f>
        <v>0</v>
      </c>
      <c r="Q109" s="97">
        <f>'Returns per Gal.'!P116</f>
        <v>1.5247284878863825</v>
      </c>
      <c r="R109" s="97">
        <f>'Returns per Gal.'!Q116</f>
        <v>0.1794</v>
      </c>
      <c r="S109" s="97">
        <f>'Returns per Gal.'!R116</f>
        <v>0.21939999999999998</v>
      </c>
      <c r="T109" s="97">
        <f>'Returns per Gal.'!S116</f>
        <v>1.9235284878863825</v>
      </c>
      <c r="U109" s="97">
        <f>'Returns per Gal.'!T116</f>
        <v>0.19624601212121212</v>
      </c>
      <c r="V109" s="97">
        <f>'Returns per Gal.'!U116</f>
        <v>2.1197745000075945</v>
      </c>
      <c r="W109" s="97">
        <f>'Returns per Gal.'!V116</f>
        <v>1.4906483513024984</v>
      </c>
      <c r="X109" s="107"/>
      <c r="Y109" s="97">
        <f>'Returns per Gal.'!V116</f>
        <v>1.4906483513024984</v>
      </c>
      <c r="Z109" s="97">
        <f>'Returns per Gal.'!Y116</f>
        <v>1.1894522062732598</v>
      </c>
      <c r="AA109" s="97">
        <f>'Returns per Gal.'!Z116</f>
        <v>1.0085522062732597</v>
      </c>
      <c r="AB109" s="97">
        <f>'Returns per Gal.'!AA116</f>
        <v>0.81230619415204774</v>
      </c>
      <c r="AC109" s="82">
        <f>'Returns per Gal.'!AB116</f>
        <v>0</v>
      </c>
      <c r="AD109" s="65">
        <f>'Returns per Gal.'!AC116</f>
        <v>0</v>
      </c>
      <c r="AE109" s="83">
        <f>'Returns per Gal.'!AD116</f>
        <v>0</v>
      </c>
      <c r="AF109" s="97">
        <f>'Returns per Gal.'!AE116</f>
        <v>0.57766367137355579</v>
      </c>
      <c r="AG109" s="97">
        <f>'Returns per Gal.'!AF116</f>
        <v>1.1173855370132646</v>
      </c>
      <c r="AH109" s="97">
        <f>'Returns per Gal.'!AG116</f>
        <v>1.6950492083868205</v>
      </c>
      <c r="AI109" s="107">
        <f>'Returns per Gal.'!AH116</f>
        <v>0</v>
      </c>
      <c r="AJ109" s="106">
        <f>'Returns per Gal.'!AI116</f>
        <v>0</v>
      </c>
      <c r="AK109" s="97">
        <f>'Returns per Gal.'!AJ116</f>
        <v>2.0938492083868203</v>
      </c>
      <c r="AL109" s="97">
        <f>'Returns per Gal.'!AK116</f>
        <v>2.2900952205080323</v>
      </c>
      <c r="AM109" s="107">
        <f>'Returns per Gal.'!AL116</f>
        <v>0</v>
      </c>
      <c r="AN109" s="106"/>
      <c r="AO109" s="97">
        <f>'Returns per Gal.'!AN116</f>
        <v>0.83823148577282192</v>
      </c>
      <c r="AP109" s="97">
        <f>'Returns per Gal.'!AO116</f>
        <v>0.64198547365160996</v>
      </c>
      <c r="AQ109" s="97">
        <f>'Returns per Gal.'!AP116</f>
        <v>0.81230619415204797</v>
      </c>
      <c r="AR109" s="97">
        <f>'Returns per Gal.'!AQ116</f>
        <v>-0.17032072050043801</v>
      </c>
      <c r="AS109" s="64"/>
      <c r="AT109" s="29"/>
      <c r="AU109" s="178">
        <f>'Returns per Bu.'!G116</f>
        <v>4.34547619047619</v>
      </c>
      <c r="AV109" s="167">
        <f>'Returns per Bu.'!N116</f>
        <v>8.3564299783549814</v>
      </c>
      <c r="AW109" s="167">
        <f>'Returns per Bu.'!O116</f>
        <v>6.6605488438095275</v>
      </c>
      <c r="AX109" s="170">
        <f>'Returns per Bu.'!Z116</f>
        <v>0.70497002211254522</v>
      </c>
      <c r="AY109" s="163">
        <f>'Returns per Bu.'!AF116</f>
        <v>4.8308902439024388</v>
      </c>
      <c r="AZ109" s="164" t="e">
        <f>'Returns per Bu.'!#REF!</f>
        <v>#REF!</v>
      </c>
      <c r="BA109" s="15">
        <f t="shared" si="3"/>
        <v>3.1845487804878045</v>
      </c>
      <c r="BB109" s="93">
        <f>'Returns per Bu.'!AD116</f>
        <v>1.6463414634146341</v>
      </c>
      <c r="BC109" s="93">
        <f t="shared" si="5"/>
        <v>1.1173855370132646</v>
      </c>
    </row>
    <row r="110" spans="1:55" hidden="1" x14ac:dyDescent="0.2">
      <c r="A110" s="21">
        <v>41640</v>
      </c>
      <c r="C110" s="53"/>
      <c r="D110" s="93">
        <v>2.0704545454545444</v>
      </c>
      <c r="E110" s="95">
        <v>168.16666666666666</v>
      </c>
      <c r="F110" s="323"/>
      <c r="G110" s="93">
        <v>4.2671422619047616</v>
      </c>
      <c r="H110" s="266">
        <v>7.2</v>
      </c>
      <c r="I110" s="184"/>
      <c r="J110" s="12"/>
      <c r="K110" s="93">
        <f>'Returns per Gal.'!J117</f>
        <v>2.0704545454545444</v>
      </c>
      <c r="L110" s="93">
        <f>'Returns per Gal.'!K117</f>
        <v>0.49859941520467832</v>
      </c>
      <c r="M110" s="93"/>
      <c r="N110" s="93">
        <f>'Returns per Gal.'!M117</f>
        <v>2.5690539606592226</v>
      </c>
      <c r="O110" s="110">
        <f>'Returns per Gal.'!N117</f>
        <v>0</v>
      </c>
      <c r="P110" s="108">
        <f>'Returns per Gal.'!O117</f>
        <v>0</v>
      </c>
      <c r="Q110" s="93">
        <f>'Returns per Gal.'!P117</f>
        <v>1.4972428989139515</v>
      </c>
      <c r="R110" s="93">
        <f>'Returns per Gal.'!Q117</f>
        <v>0.216</v>
      </c>
      <c r="S110" s="93">
        <f>'Returns per Gal.'!R117</f>
        <v>0.21939999999999998</v>
      </c>
      <c r="T110" s="93">
        <f>'Returns per Gal.'!S117</f>
        <v>1.9326428989139515</v>
      </c>
      <c r="U110" s="93">
        <f>'Returns per Gal.'!T117</f>
        <v>0.19624601212121212</v>
      </c>
      <c r="V110" s="93">
        <f>'Returns per Gal.'!U117</f>
        <v>2.1288889110351636</v>
      </c>
      <c r="W110" s="93">
        <f>'Returns per Gal.'!V117</f>
        <v>1.6302894958304854</v>
      </c>
      <c r="X110" s="105"/>
      <c r="Y110" s="93">
        <f>'Returns per Gal.'!V117</f>
        <v>1.6302894958304854</v>
      </c>
      <c r="Z110" s="93">
        <f>'Returns per Gal.'!Y117</f>
        <v>0.81731106174527124</v>
      </c>
      <c r="AA110" s="93">
        <f>'Returns per Gal.'!Z117</f>
        <v>0.63641106174527118</v>
      </c>
      <c r="AB110" s="93">
        <f>'Returns per Gal.'!AA117</f>
        <v>0.440165049624059</v>
      </c>
      <c r="AC110" s="80">
        <f>'Returns per Gal.'!AB117</f>
        <v>0</v>
      </c>
      <c r="AD110" s="15">
        <f>'Returns per Gal.'!AC117</f>
        <v>0</v>
      </c>
      <c r="AE110" s="81">
        <f>'Returns per Gal.'!AD117</f>
        <v>0</v>
      </c>
      <c r="AF110" s="93">
        <f>'Returns per Gal.'!AE117</f>
        <v>0.57766367137355579</v>
      </c>
      <c r="AG110" s="93">
        <f>'Returns per Gal.'!AF117</f>
        <v>1.1173855370132646</v>
      </c>
      <c r="AH110" s="93">
        <f>'Returns per Gal.'!AG117</f>
        <v>1.6950492083868205</v>
      </c>
      <c r="AI110" s="105">
        <f>'Returns per Gal.'!AH117</f>
        <v>0</v>
      </c>
      <c r="AJ110" s="104">
        <f>'Returns per Gal.'!AI117</f>
        <v>0</v>
      </c>
      <c r="AK110" s="93">
        <f>'Returns per Gal.'!AJ117</f>
        <v>2.1304492083868203</v>
      </c>
      <c r="AL110" s="93">
        <f>'Returns per Gal.'!AK117</f>
        <v>2.3266952205080322</v>
      </c>
      <c r="AM110" s="105">
        <f>'Returns per Gal.'!AL117</f>
        <v>0</v>
      </c>
      <c r="AN110" s="104"/>
      <c r="AO110" s="93">
        <f>'Returns per Gal.'!AN117</f>
        <v>0.43860475227240237</v>
      </c>
      <c r="AP110" s="93">
        <f>'Returns per Gal.'!AO117</f>
        <v>0.24235874015119041</v>
      </c>
      <c r="AQ110" s="93">
        <f>'Returns per Gal.'!AP117</f>
        <v>0.44016504962405945</v>
      </c>
      <c r="AR110" s="93">
        <f>'Returns per Gal.'!AQ117</f>
        <v>-0.19780630947286904</v>
      </c>
      <c r="AS110" s="52"/>
      <c r="AU110" s="177">
        <f>'Returns per Bu.'!G117</f>
        <v>4.2671422619047616</v>
      </c>
      <c r="AV110" s="166">
        <f>'Returns per Bu.'!N117</f>
        <v>7.3218037878787845</v>
      </c>
      <c r="AW110" s="166">
        <f>'Returns per Bu.'!O117</f>
        <v>5.5216126533333307</v>
      </c>
      <c r="AX110" s="169">
        <f>'Returns per Bu.'!Z117</f>
        <v>0.38200270661553004</v>
      </c>
      <c r="AY110" s="162">
        <f>'Returns per Bu.'!AF117</f>
        <v>4.8308902439024388</v>
      </c>
      <c r="AZ110" s="165" t="e">
        <f>'Returns per Bu.'!#REF!</f>
        <v>#REF!</v>
      </c>
      <c r="BA110" s="15">
        <f t="shared" si="3"/>
        <v>3.1845487804878045</v>
      </c>
      <c r="BB110" s="93">
        <f>'Returns per Bu.'!AD117</f>
        <v>1.6463414634146341</v>
      </c>
      <c r="BC110" s="93">
        <f t="shared" si="5"/>
        <v>1.1173855370132646</v>
      </c>
    </row>
    <row r="111" spans="1:55" hidden="1" x14ac:dyDescent="0.2">
      <c r="A111" s="8">
        <v>41671</v>
      </c>
      <c r="C111" s="53"/>
      <c r="D111" s="93">
        <v>1.9445000000000001</v>
      </c>
      <c r="E111" s="95">
        <v>202.13157894736841</v>
      </c>
      <c r="F111" s="323"/>
      <c r="G111" s="93">
        <v>4.4448355263157904</v>
      </c>
      <c r="H111" s="266">
        <v>8.77</v>
      </c>
      <c r="I111" s="184"/>
      <c r="K111" s="93">
        <f>'Returns per Gal.'!J118</f>
        <v>1.9445000000000001</v>
      </c>
      <c r="L111" s="93">
        <f>'Returns per Gal.'!K118</f>
        <v>0.59930240073868879</v>
      </c>
      <c r="M111" s="93"/>
      <c r="N111" s="93">
        <f>'Returns per Gal.'!M118</f>
        <v>2.5438024007386888</v>
      </c>
      <c r="O111" s="110">
        <f>'Returns per Gal.'!N118</f>
        <v>0</v>
      </c>
      <c r="P111" s="108">
        <f>'Returns per Gal.'!O118</f>
        <v>0</v>
      </c>
      <c r="Q111" s="93">
        <f>'Returns per Gal.'!P118</f>
        <v>1.5595914127423824</v>
      </c>
      <c r="R111" s="93">
        <f>'Returns per Gal.'!Q118</f>
        <v>0.2631</v>
      </c>
      <c r="S111" s="93">
        <f>'Returns per Gal.'!R118</f>
        <v>0.21939999999999998</v>
      </c>
      <c r="T111" s="93">
        <f>'Returns per Gal.'!S118</f>
        <v>2.0420914127423822</v>
      </c>
      <c r="U111" s="93">
        <f>'Returns per Gal.'!T118</f>
        <v>0.19624601212121212</v>
      </c>
      <c r="V111" s="93">
        <f>'Returns per Gal.'!U118</f>
        <v>2.2383374248635941</v>
      </c>
      <c r="W111" s="93">
        <f>'Returns per Gal.'!V118</f>
        <v>1.6390350241249054</v>
      </c>
      <c r="X111" s="105"/>
      <c r="Y111" s="93">
        <f>'Returns per Gal.'!V118</f>
        <v>1.6390350241249054</v>
      </c>
      <c r="Z111" s="93">
        <f>'Returns per Gal.'!Y118</f>
        <v>0.68261098799630637</v>
      </c>
      <c r="AA111" s="93">
        <f>'Returns per Gal.'!Z118</f>
        <v>0.50171098799630665</v>
      </c>
      <c r="AB111" s="93">
        <f>'Returns per Gal.'!AA118</f>
        <v>0.30546497587509469</v>
      </c>
      <c r="AC111" s="80">
        <f>'Returns per Gal.'!AB118</f>
        <v>0</v>
      </c>
      <c r="AD111" s="15">
        <f>'Returns per Gal.'!AC118</f>
        <v>0</v>
      </c>
      <c r="AE111" s="81">
        <f>'Returns per Gal.'!AD118</f>
        <v>0</v>
      </c>
      <c r="AF111" s="93">
        <f>'Returns per Gal.'!AE118</f>
        <v>0.57766367137355579</v>
      </c>
      <c r="AG111" s="93">
        <f>'Returns per Gal.'!AF118</f>
        <v>1.1173855370132646</v>
      </c>
      <c r="AH111" s="93">
        <f>'Returns per Gal.'!AG118</f>
        <v>1.6950492083868205</v>
      </c>
      <c r="AI111" s="105">
        <f>'Returns per Gal.'!AH118</f>
        <v>0</v>
      </c>
      <c r="AJ111" s="104">
        <f>'Returns per Gal.'!AI118</f>
        <v>0</v>
      </c>
      <c r="AK111" s="93">
        <f>'Returns per Gal.'!AJ118</f>
        <v>2.1775492083868202</v>
      </c>
      <c r="AL111" s="93">
        <f>'Returns per Gal.'!AK118</f>
        <v>2.3737952205080322</v>
      </c>
      <c r="AM111" s="105">
        <f>'Returns per Gal.'!AL118</f>
        <v>0</v>
      </c>
      <c r="AN111" s="104"/>
      <c r="AO111" s="93">
        <f>'Returns per Gal.'!AN118</f>
        <v>0.3662531923518686</v>
      </c>
      <c r="AP111" s="93">
        <f>'Returns per Gal.'!AO118</f>
        <v>0.17000718023065664</v>
      </c>
      <c r="AQ111" s="93">
        <f>'Returns per Gal.'!AP118</f>
        <v>0.30546497587509469</v>
      </c>
      <c r="AR111" s="93">
        <f>'Returns per Gal.'!AQ118</f>
        <v>-0.13545779564443805</v>
      </c>
      <c r="AS111" s="52"/>
      <c r="AU111" s="177">
        <f>'Returns per Bu.'!G118</f>
        <v>4.4448355263157904</v>
      </c>
      <c r="AV111" s="166">
        <f>'Returns per Bu.'!N118</f>
        <v>7.249836842105263</v>
      </c>
      <c r="AW111" s="166">
        <f>'Returns per Bu.'!O118</f>
        <v>5.3154107075598089</v>
      </c>
      <c r="AX111" s="169">
        <f>'Returns per Bu.'!Z118</f>
        <v>0.26510157419403485</v>
      </c>
      <c r="AY111" s="162">
        <f>'Returns per Bu.'!AF118</f>
        <v>4.8308902439024388</v>
      </c>
      <c r="AZ111" s="165" t="e">
        <f>'Returns per Bu.'!#REF!</f>
        <v>#REF!</v>
      </c>
      <c r="BA111" s="15">
        <f t="shared" si="3"/>
        <v>3.1845487804878045</v>
      </c>
      <c r="BB111" s="93">
        <f>'Returns per Bu.'!AD118</f>
        <v>1.6463414634146341</v>
      </c>
      <c r="BC111" s="93">
        <f t="shared" si="5"/>
        <v>1.1173855370132646</v>
      </c>
    </row>
    <row r="112" spans="1:55" hidden="1" x14ac:dyDescent="0.2">
      <c r="A112" s="8">
        <v>41699</v>
      </c>
      <c r="C112" s="53"/>
      <c r="D112" s="93">
        <v>2.4778571428571428</v>
      </c>
      <c r="E112" s="95">
        <v>236.13095238095238</v>
      </c>
      <c r="F112" s="323"/>
      <c r="G112" s="93">
        <v>4.6688095238095242</v>
      </c>
      <c r="H112" s="266">
        <v>8.8699999999999992</v>
      </c>
      <c r="I112" s="184"/>
      <c r="K112" s="93">
        <f>'Returns per Gal.'!J119</f>
        <v>2.4778571428571428</v>
      </c>
      <c r="L112" s="93">
        <f>'Returns per Gal.'!K119</f>
        <v>0.70010756056808676</v>
      </c>
      <c r="M112" s="93"/>
      <c r="N112" s="93">
        <f>'Returns per Gal.'!M119</f>
        <v>3.1779647034252294</v>
      </c>
      <c r="O112" s="110">
        <f>'Returns per Gal.'!N119</f>
        <v>0</v>
      </c>
      <c r="P112" s="108">
        <f>'Returns per Gal.'!O119</f>
        <v>0</v>
      </c>
      <c r="Q112" s="93">
        <f>'Returns per Gal.'!P119</f>
        <v>1.6381787802840435</v>
      </c>
      <c r="R112" s="93">
        <f>'Returns per Gal.'!Q119</f>
        <v>0.2661</v>
      </c>
      <c r="S112" s="93">
        <f>'Returns per Gal.'!R119</f>
        <v>0.21939999999999998</v>
      </c>
      <c r="T112" s="93">
        <f>'Returns per Gal.'!S119</f>
        <v>2.1236787802840436</v>
      </c>
      <c r="U112" s="93">
        <f>'Returns per Gal.'!T119</f>
        <v>0.19624601212121212</v>
      </c>
      <c r="V112" s="93">
        <f>'Returns per Gal.'!U119</f>
        <v>2.3199247924052555</v>
      </c>
      <c r="W112" s="93">
        <f>'Returns per Gal.'!V119</f>
        <v>1.6198172318371689</v>
      </c>
      <c r="X112" s="105"/>
      <c r="Y112" s="93">
        <f>'Returns per Gal.'!V119</f>
        <v>1.6198172318371689</v>
      </c>
      <c r="Z112" s="93">
        <f>'Returns per Gal.'!Y119</f>
        <v>1.2351859231411859</v>
      </c>
      <c r="AA112" s="93">
        <f>'Returns per Gal.'!Z119</f>
        <v>1.0542859231411859</v>
      </c>
      <c r="AB112" s="93">
        <f>'Returns per Gal.'!AA119</f>
        <v>0.8580399110199739</v>
      </c>
      <c r="AC112" s="80">
        <f>'Returns per Gal.'!AB119</f>
        <v>0</v>
      </c>
      <c r="AD112" s="15">
        <f>'Returns per Gal.'!AC119</f>
        <v>0</v>
      </c>
      <c r="AE112" s="81">
        <f>'Returns per Gal.'!AD119</f>
        <v>0</v>
      </c>
      <c r="AF112" s="93">
        <f>'Returns per Gal.'!AE119</f>
        <v>0.57766367137355579</v>
      </c>
      <c r="AG112" s="93">
        <f>'Returns per Gal.'!AF119</f>
        <v>1.1173855370132646</v>
      </c>
      <c r="AH112" s="93">
        <f>'Returns per Gal.'!AG119</f>
        <v>1.6950492083868205</v>
      </c>
      <c r="AI112" s="105">
        <f>'Returns per Gal.'!AH119</f>
        <v>0</v>
      </c>
      <c r="AJ112" s="104">
        <f>'Returns per Gal.'!AI119</f>
        <v>0</v>
      </c>
      <c r="AK112" s="93">
        <f>'Returns per Gal.'!AJ119</f>
        <v>2.1805492083868203</v>
      </c>
      <c r="AL112" s="93">
        <f>'Returns per Gal.'!AK119</f>
        <v>2.3767952205080323</v>
      </c>
      <c r="AM112" s="105">
        <f>'Returns per Gal.'!AL119</f>
        <v>0</v>
      </c>
      <c r="AN112" s="104"/>
      <c r="AO112" s="93">
        <f>'Returns per Gal.'!AN119</f>
        <v>0.99741549503840909</v>
      </c>
      <c r="AP112" s="93">
        <f>'Returns per Gal.'!AO119</f>
        <v>0.80116948291719714</v>
      </c>
      <c r="AQ112" s="93">
        <f>'Returns per Gal.'!AP119</f>
        <v>0.85803991101997412</v>
      </c>
      <c r="AR112" s="93">
        <f>'Returns per Gal.'!AQ119</f>
        <v>-5.6870428102776982E-2</v>
      </c>
      <c r="AS112" s="52"/>
      <c r="AU112" s="177">
        <f>'Returns per Bu.'!G119</f>
        <v>4.6688095238095242</v>
      </c>
      <c r="AV112" s="166">
        <f>'Returns per Bu.'!N119</f>
        <v>9.0571994047619047</v>
      </c>
      <c r="AW112" s="166">
        <f>'Returns per Bu.'!O119</f>
        <v>7.114223270216451</v>
      </c>
      <c r="AX112" s="169">
        <f>'Returns per Bu.'!Z119</f>
        <v>0.74466059645973026</v>
      </c>
      <c r="AY112" s="162">
        <f>'Returns per Bu.'!AF119</f>
        <v>4.8308902439024388</v>
      </c>
      <c r="AZ112" s="165"/>
      <c r="BA112" s="15">
        <f t="shared" si="3"/>
        <v>3.1845487804878045</v>
      </c>
      <c r="BB112" s="93">
        <f>'Returns per Bu.'!AD119</f>
        <v>1.6463414634146341</v>
      </c>
      <c r="BC112" s="93">
        <f t="shared" si="5"/>
        <v>1.1173855370132646</v>
      </c>
    </row>
    <row r="113" spans="1:55" hidden="1" x14ac:dyDescent="0.2">
      <c r="A113" s="8">
        <v>41730</v>
      </c>
      <c r="C113" s="53"/>
      <c r="D113" s="93">
        <v>2.7863636363636357</v>
      </c>
      <c r="E113" s="95">
        <v>233.0952380952381</v>
      </c>
      <c r="F113" s="323"/>
      <c r="G113" s="93">
        <v>4.8590119047619051</v>
      </c>
      <c r="H113" s="266">
        <v>7.91</v>
      </c>
      <c r="I113" s="184"/>
      <c r="K113" s="93">
        <f>'Returns per Gal.'!J120</f>
        <v>2.7863636363636357</v>
      </c>
      <c r="L113" s="93">
        <f>'Returns per Gal.'!K120</f>
        <v>0.69110693400167078</v>
      </c>
      <c r="M113" s="93"/>
      <c r="N113" s="93">
        <f>'Returns per Gal.'!M120</f>
        <v>3.4774705703653064</v>
      </c>
      <c r="O113" s="110">
        <f>'Returns per Gal.'!N120</f>
        <v>0</v>
      </c>
      <c r="P113" s="108">
        <f>'Returns per Gal.'!O120</f>
        <v>0</v>
      </c>
      <c r="Q113" s="93">
        <f>'Returns per Gal.'!P120</f>
        <v>1.7049164578111948</v>
      </c>
      <c r="R113" s="93">
        <f>'Returns per Gal.'!Q120</f>
        <v>0.23730000000000001</v>
      </c>
      <c r="S113" s="93">
        <f>'Returns per Gal.'!R120</f>
        <v>0.21939999999999998</v>
      </c>
      <c r="T113" s="93">
        <f>'Returns per Gal.'!S120</f>
        <v>2.1616164578111947</v>
      </c>
      <c r="U113" s="93">
        <f>'Returns per Gal.'!T120</f>
        <v>0.19624601212121212</v>
      </c>
      <c r="V113" s="93">
        <f>'Returns per Gal.'!U120</f>
        <v>2.3578624699324067</v>
      </c>
      <c r="W113" s="93">
        <f>'Returns per Gal.'!V120</f>
        <v>1.666755535930736</v>
      </c>
      <c r="X113" s="105"/>
      <c r="Y113" s="93">
        <f>'Returns per Gal.'!V120</f>
        <v>1.666755535930736</v>
      </c>
      <c r="Z113" s="93">
        <f>'Returns per Gal.'!Y120</f>
        <v>1.4967541125541115</v>
      </c>
      <c r="AA113" s="93">
        <f>'Returns per Gal.'!Z120</f>
        <v>1.3158541125541117</v>
      </c>
      <c r="AB113" s="93">
        <f>'Returns per Gal.'!AA120</f>
        <v>1.1196081004328997</v>
      </c>
      <c r="AC113" s="80">
        <f>'Returns per Gal.'!AB120</f>
        <v>0</v>
      </c>
      <c r="AD113" s="15">
        <f>'Returns per Gal.'!AC120</f>
        <v>0</v>
      </c>
      <c r="AE113" s="81">
        <f>'Returns per Gal.'!AD120</f>
        <v>0</v>
      </c>
      <c r="AF113" s="93">
        <f>'Returns per Gal.'!AE120</f>
        <v>0.57766367137355579</v>
      </c>
      <c r="AG113" s="93">
        <f>'Returns per Gal.'!AF120</f>
        <v>1.1173855370132646</v>
      </c>
      <c r="AH113" s="93">
        <f>'Returns per Gal.'!AG120</f>
        <v>1.6950492083868205</v>
      </c>
      <c r="AI113" s="105">
        <f>'Returns per Gal.'!AH120</f>
        <v>0</v>
      </c>
      <c r="AJ113" s="104">
        <f>'Returns per Gal.'!AI120</f>
        <v>0</v>
      </c>
      <c r="AK113" s="93">
        <f>'Returns per Gal.'!AJ120</f>
        <v>2.1517492083868204</v>
      </c>
      <c r="AL113" s="93">
        <f>'Returns per Gal.'!AK120</f>
        <v>2.3479952205080323</v>
      </c>
      <c r="AM113" s="105">
        <f>'Returns per Gal.'!AL120</f>
        <v>0</v>
      </c>
      <c r="AN113" s="104"/>
      <c r="AO113" s="93">
        <f>'Returns per Gal.'!AN120</f>
        <v>1.325721361978486</v>
      </c>
      <c r="AP113" s="93">
        <f>'Returns per Gal.'!AO120</f>
        <v>1.129475349857274</v>
      </c>
      <c r="AQ113" s="93">
        <f>'Returns per Gal.'!AP120</f>
        <v>1.1196081004328997</v>
      </c>
      <c r="AR113" s="93">
        <f>'Returns per Gal.'!AQ120</f>
        <v>9.8672494243743358E-3</v>
      </c>
      <c r="AS113" s="52"/>
      <c r="AU113" s="177">
        <f>'Returns per Bu.'!G120</f>
        <v>4.8590119047619051</v>
      </c>
      <c r="AV113" s="166">
        <f>'Returns per Bu.'!N120</f>
        <v>9.9107911255411238</v>
      </c>
      <c r="AW113" s="166">
        <f>'Returns per Bu.'!O120</f>
        <v>8.0498949909956696</v>
      </c>
      <c r="AX113" s="169">
        <f>'Returns per Bu.'!Z120</f>
        <v>0.97166579917994089</v>
      </c>
      <c r="AY113" s="162">
        <f>'Returns per Bu.'!AF120</f>
        <v>4.8308902439024388</v>
      </c>
      <c r="AZ113" s="165"/>
      <c r="BA113" s="15">
        <f t="shared" si="3"/>
        <v>3.1845487804878045</v>
      </c>
      <c r="BB113" s="93">
        <f>'Returns per Bu.'!AD120</f>
        <v>1.6463414634146341</v>
      </c>
      <c r="BC113" s="93">
        <f t="shared" si="5"/>
        <v>1.1173855370132646</v>
      </c>
    </row>
    <row r="114" spans="1:55" hidden="1" x14ac:dyDescent="0.2">
      <c r="A114" s="8">
        <v>41760</v>
      </c>
      <c r="C114" s="53"/>
      <c r="D114" s="93">
        <v>2.2397727272727264</v>
      </c>
      <c r="E114" s="95">
        <v>213.92857142857142</v>
      </c>
      <c r="F114" s="323"/>
      <c r="G114" s="93">
        <v>4.7784523809523813</v>
      </c>
      <c r="H114" s="266">
        <v>7.78</v>
      </c>
      <c r="I114" s="184"/>
      <c r="J114" s="12"/>
      <c r="K114" s="93">
        <f>'Returns per Gal.'!J121</f>
        <v>2.2397727272727264</v>
      </c>
      <c r="L114" s="93">
        <f>'Returns per Gal.'!K121</f>
        <v>0.63427944862155372</v>
      </c>
      <c r="M114" s="93"/>
      <c r="N114" s="93">
        <f>'Returns per Gal.'!M121</f>
        <v>2.8740521758942803</v>
      </c>
      <c r="O114" s="110">
        <f>'Returns per Gal.'!N121</f>
        <v>0</v>
      </c>
      <c r="P114" s="108">
        <f>'Returns per Gal.'!O121</f>
        <v>0</v>
      </c>
      <c r="Q114" s="93">
        <f>'Returns per Gal.'!P121</f>
        <v>1.6766499582289056</v>
      </c>
      <c r="R114" s="93">
        <f>'Returns per Gal.'!Q121</f>
        <v>0.23340000000000002</v>
      </c>
      <c r="S114" s="93">
        <f>'Returns per Gal.'!R121</f>
        <v>0.21939999999999998</v>
      </c>
      <c r="T114" s="93">
        <f>'Returns per Gal.'!S121</f>
        <v>2.1294499582289057</v>
      </c>
      <c r="U114" s="93">
        <f>'Returns per Gal.'!T121</f>
        <v>0.19624601212121212</v>
      </c>
      <c r="V114" s="93">
        <f>'Returns per Gal.'!U121</f>
        <v>2.3256959703501177</v>
      </c>
      <c r="W114" s="93">
        <f>'Returns per Gal.'!V121</f>
        <v>1.6914165217285639</v>
      </c>
      <c r="X114" s="105"/>
      <c r="Y114" s="93">
        <f>'Returns per Gal.'!V121</f>
        <v>1.6914165217285639</v>
      </c>
      <c r="Z114" s="93">
        <f>'Returns per Gal.'!Y121</f>
        <v>0.92550221766537466</v>
      </c>
      <c r="AA114" s="93">
        <f>'Returns per Gal.'!Z121</f>
        <v>0.7446022176653746</v>
      </c>
      <c r="AB114" s="93">
        <f>'Returns per Gal.'!AA121</f>
        <v>0.54835620554416264</v>
      </c>
      <c r="AC114" s="80">
        <f>'Returns per Gal.'!AB121</f>
        <v>0</v>
      </c>
      <c r="AD114" s="15">
        <f>'Returns per Gal.'!AC121</f>
        <v>0</v>
      </c>
      <c r="AE114" s="81">
        <f>'Returns per Gal.'!AD121</f>
        <v>0</v>
      </c>
      <c r="AF114" s="93">
        <f>'Returns per Gal.'!AE121</f>
        <v>0.57766367137355579</v>
      </c>
      <c r="AG114" s="93">
        <f>'Returns per Gal.'!AF121</f>
        <v>1.1173855370132646</v>
      </c>
      <c r="AH114" s="93">
        <f>'Returns per Gal.'!AG121</f>
        <v>1.6950492083868205</v>
      </c>
      <c r="AI114" s="105">
        <f>'Returns per Gal.'!AH121</f>
        <v>0</v>
      </c>
      <c r="AJ114" s="104">
        <f>'Returns per Gal.'!AI121</f>
        <v>0</v>
      </c>
      <c r="AK114" s="93">
        <f>'Returns per Gal.'!AJ121</f>
        <v>2.1478492083868206</v>
      </c>
      <c r="AL114" s="93">
        <f>'Returns per Gal.'!AK121</f>
        <v>2.3440952205080325</v>
      </c>
      <c r="AM114" s="105">
        <f>'Returns per Gal.'!AL121</f>
        <v>0</v>
      </c>
      <c r="AN114" s="104"/>
      <c r="AO114" s="93">
        <f>'Returns per Gal.'!AN121</f>
        <v>0.72620296750745972</v>
      </c>
      <c r="AP114" s="93">
        <f>'Returns per Gal.'!AO121</f>
        <v>0.52995695538624776</v>
      </c>
      <c r="AQ114" s="93">
        <f>'Returns per Gal.'!AP121</f>
        <v>0.54835620554416264</v>
      </c>
      <c r="AR114" s="93">
        <f>'Returns per Gal.'!AQ121</f>
        <v>-1.8399250157914881E-2</v>
      </c>
      <c r="AS114" s="52"/>
      <c r="AU114" s="177">
        <f>'Returns per Bu.'!G121</f>
        <v>4.7784523809523813</v>
      </c>
      <c r="AV114" s="166">
        <f>'Returns per Bu.'!N121</f>
        <v>8.1910487012986994</v>
      </c>
      <c r="AW114" s="166">
        <f>'Returns per Bu.'!O121</f>
        <v>6.3412675667532454</v>
      </c>
      <c r="AX114" s="169">
        <f>'Returns per Bu.'!Z121</f>
        <v>0.47589774537119989</v>
      </c>
      <c r="AY114" s="162">
        <f>'Returns per Bu.'!AF121</f>
        <v>4.8308902439024388</v>
      </c>
      <c r="AZ114" s="165"/>
      <c r="BA114" s="15">
        <f t="shared" si="3"/>
        <v>3.1845487804878045</v>
      </c>
      <c r="BB114" s="93">
        <f>'Returns per Bu.'!AD121</f>
        <v>1.6463414634146341</v>
      </c>
      <c r="BC114" s="93">
        <f t="shared" si="5"/>
        <v>1.1173855370132646</v>
      </c>
    </row>
    <row r="115" spans="1:55" hidden="1" x14ac:dyDescent="0.2">
      <c r="A115" s="8">
        <v>41791</v>
      </c>
      <c r="C115" s="53"/>
      <c r="D115" s="93">
        <v>2.2238095238095239</v>
      </c>
      <c r="E115" s="95">
        <v>167.21428571428572</v>
      </c>
      <c r="F115" s="323"/>
      <c r="G115" s="93">
        <v>4.4533869047619055</v>
      </c>
      <c r="H115" s="266">
        <v>8.66</v>
      </c>
      <c r="I115" s="184"/>
      <c r="J115" s="12"/>
      <c r="K115" s="93">
        <f>'Returns per Gal.'!J122</f>
        <v>2.2238095238095239</v>
      </c>
      <c r="L115" s="93">
        <f>'Returns per Gal.'!K122</f>
        <v>0.49577568922305765</v>
      </c>
      <c r="M115" s="93"/>
      <c r="N115" s="93">
        <f>'Returns per Gal.'!M122</f>
        <v>2.7195852130325817</v>
      </c>
      <c r="O115" s="110">
        <f>'Returns per Gal.'!N122</f>
        <v>0</v>
      </c>
      <c r="P115" s="108">
        <f>'Returns per Gal.'!O122</f>
        <v>0</v>
      </c>
      <c r="Q115" s="93">
        <f>'Returns per Gal.'!P122</f>
        <v>1.5625918964076861</v>
      </c>
      <c r="R115" s="93">
        <f>'Returns per Gal.'!Q122</f>
        <v>0.25979999999999998</v>
      </c>
      <c r="S115" s="93">
        <f>'Returns per Gal.'!R122</f>
        <v>0.21939999999999998</v>
      </c>
      <c r="T115" s="93">
        <f>'Returns per Gal.'!S122</f>
        <v>2.0417918964076862</v>
      </c>
      <c r="U115" s="93">
        <f>'Returns per Gal.'!T122</f>
        <v>0.19624601212121212</v>
      </c>
      <c r="V115" s="93">
        <f>'Returns per Gal.'!U122</f>
        <v>2.2380379085288982</v>
      </c>
      <c r="W115" s="93">
        <f>'Returns per Gal.'!V122</f>
        <v>1.7422622193058406</v>
      </c>
      <c r="X115" s="105"/>
      <c r="Y115" s="93">
        <f>'Returns per Gal.'!V122</f>
        <v>1.7422622193058406</v>
      </c>
      <c r="Z115" s="93">
        <f>'Returns per Gal.'!Y122</f>
        <v>0.85869331662489556</v>
      </c>
      <c r="AA115" s="93">
        <f>'Returns per Gal.'!Z122</f>
        <v>0.6777933166248955</v>
      </c>
      <c r="AB115" s="93">
        <f>'Returns per Gal.'!AA122</f>
        <v>0.48154730450368355</v>
      </c>
      <c r="AC115" s="80">
        <f>'Returns per Gal.'!AB122</f>
        <v>0</v>
      </c>
      <c r="AD115" s="15">
        <f>'Returns per Gal.'!AC122</f>
        <v>0</v>
      </c>
      <c r="AE115" s="81">
        <f>'Returns per Gal.'!AD122</f>
        <v>0</v>
      </c>
      <c r="AF115" s="93">
        <f>'Returns per Gal.'!AE122</f>
        <v>0.57766367137355579</v>
      </c>
      <c r="AG115" s="93">
        <f>'Returns per Gal.'!AF122</f>
        <v>1.1173855370132646</v>
      </c>
      <c r="AH115" s="93">
        <f>'Returns per Gal.'!AG122</f>
        <v>1.6950492083868205</v>
      </c>
      <c r="AI115" s="105">
        <f>'Returns per Gal.'!AH122</f>
        <v>0</v>
      </c>
      <c r="AJ115" s="104">
        <f>'Returns per Gal.'!AI122</f>
        <v>0</v>
      </c>
      <c r="AK115" s="93">
        <f>'Returns per Gal.'!AJ122</f>
        <v>2.1742492083868203</v>
      </c>
      <c r="AL115" s="93">
        <f>'Returns per Gal.'!AK122</f>
        <v>2.3704952205080323</v>
      </c>
      <c r="AM115" s="105">
        <f>'Returns per Gal.'!AL122</f>
        <v>0</v>
      </c>
      <c r="AN115" s="104"/>
      <c r="AO115" s="93">
        <f>'Returns per Gal.'!AN122</f>
        <v>0.54533600464576137</v>
      </c>
      <c r="AP115" s="93">
        <f>'Returns per Gal.'!AO122</f>
        <v>0.34908999252454942</v>
      </c>
      <c r="AQ115" s="93">
        <f>'Returns per Gal.'!AP122</f>
        <v>0.48154730450368377</v>
      </c>
      <c r="AR115" s="93">
        <f>'Returns per Gal.'!AQ122</f>
        <v>-0.13245731197913435</v>
      </c>
      <c r="AS115" s="52"/>
      <c r="AU115" s="177">
        <f>'Returns per Bu.'!G122</f>
        <v>4.4533869047619055</v>
      </c>
      <c r="AV115" s="166">
        <f>'Returns per Bu.'!N122</f>
        <v>7.7508178571428576</v>
      </c>
      <c r="AW115" s="166">
        <f>'Returns per Bu.'!O122</f>
        <v>5.8257967225974037</v>
      </c>
      <c r="AX115" s="169">
        <f>'Returns per Bu.'!Z122</f>
        <v>0.4179168106166809</v>
      </c>
      <c r="AY115" s="162">
        <f>'Returns per Bu.'!AF122</f>
        <v>4.8308902439024388</v>
      </c>
      <c r="AZ115" s="165"/>
      <c r="BA115" s="15">
        <f t="shared" si="3"/>
        <v>3.1845487804878045</v>
      </c>
      <c r="BB115" s="93">
        <f>'Returns per Bu.'!AD122</f>
        <v>1.6463414634146341</v>
      </c>
      <c r="BC115" s="93">
        <f t="shared" si="5"/>
        <v>1.1173855370132646</v>
      </c>
    </row>
    <row r="116" spans="1:55" hidden="1" x14ac:dyDescent="0.2">
      <c r="A116" s="8">
        <v>41821</v>
      </c>
      <c r="C116" s="53"/>
      <c r="D116" s="93">
        <v>2.0961363636363632</v>
      </c>
      <c r="E116" s="95">
        <v>129.56818181818181</v>
      </c>
      <c r="F116" s="323"/>
      <c r="G116" s="93">
        <v>3.7986363636363638</v>
      </c>
      <c r="H116" s="266">
        <v>7.6</v>
      </c>
      <c r="I116" s="184"/>
      <c r="J116" s="12"/>
      <c r="K116" s="93">
        <f>'Returns per Gal.'!J123</f>
        <v>2.0961363636363632</v>
      </c>
      <c r="L116" s="93">
        <f>'Returns per Gal.'!K123</f>
        <v>0.38415829346092495</v>
      </c>
      <c r="M116" s="93"/>
      <c r="N116" s="93">
        <f>'Returns per Gal.'!M123</f>
        <v>2.4802946570972884</v>
      </c>
      <c r="O116" s="110">
        <f>'Returns per Gal.'!N123</f>
        <v>0</v>
      </c>
      <c r="P116" s="108">
        <f>'Returns per Gal.'!O123</f>
        <v>0</v>
      </c>
      <c r="Q116" s="93">
        <f>'Returns per Gal.'!P123</f>
        <v>1.3328548644338118</v>
      </c>
      <c r="R116" s="93">
        <f>'Returns per Gal.'!Q123</f>
        <v>0.22800000000000001</v>
      </c>
      <c r="S116" s="93">
        <f>'Returns per Gal.'!R123</f>
        <v>0.21939999999999998</v>
      </c>
      <c r="T116" s="93">
        <f>'Returns per Gal.'!S123</f>
        <v>1.7802548644338119</v>
      </c>
      <c r="U116" s="93">
        <f>'Returns per Gal.'!T123</f>
        <v>0.19624601212121212</v>
      </c>
      <c r="V116" s="93">
        <f>'Returns per Gal.'!U123</f>
        <v>1.976500876555024</v>
      </c>
      <c r="W116" s="93">
        <f>'Returns per Gal.'!V123</f>
        <v>1.5923425830940992</v>
      </c>
      <c r="X116" s="105"/>
      <c r="Y116" s="93">
        <f>'Returns per Gal.'!V123</f>
        <v>1.5923425830940992</v>
      </c>
      <c r="Z116" s="93">
        <f>'Returns per Gal.'!Y123</f>
        <v>0.88093979266347655</v>
      </c>
      <c r="AA116" s="93">
        <f>'Returns per Gal.'!Z123</f>
        <v>0.70003979266347649</v>
      </c>
      <c r="AB116" s="93">
        <f>'Returns per Gal.'!AA123</f>
        <v>0.50379378054226431</v>
      </c>
      <c r="AC116" s="80">
        <f>'Returns per Gal.'!AB123</f>
        <v>0</v>
      </c>
      <c r="AD116" s="15">
        <f>'Returns per Gal.'!AC123</f>
        <v>0</v>
      </c>
      <c r="AE116" s="81">
        <f>'Returns per Gal.'!AD123</f>
        <v>0</v>
      </c>
      <c r="AF116" s="93">
        <f>'Returns per Gal.'!AE123</f>
        <v>0.57766367137355579</v>
      </c>
      <c r="AG116" s="93">
        <f>'Returns per Gal.'!AF123</f>
        <v>1.1173855370132646</v>
      </c>
      <c r="AH116" s="93">
        <f>'Returns per Gal.'!AG123</f>
        <v>1.6950492083868205</v>
      </c>
      <c r="AI116" s="105">
        <f>'Returns per Gal.'!AH123</f>
        <v>0</v>
      </c>
      <c r="AJ116" s="104">
        <f>'Returns per Gal.'!AI123</f>
        <v>0</v>
      </c>
      <c r="AK116" s="93">
        <f>'Returns per Gal.'!AJ123</f>
        <v>2.1424492083868203</v>
      </c>
      <c r="AL116" s="93">
        <f>'Returns per Gal.'!AK123</f>
        <v>2.3386952205080322</v>
      </c>
      <c r="AM116" s="105">
        <f>'Returns per Gal.'!AL123</f>
        <v>0</v>
      </c>
      <c r="AN116" s="104"/>
      <c r="AO116" s="93">
        <f>'Returns per Gal.'!AN123</f>
        <v>0.33784544871046807</v>
      </c>
      <c r="AP116" s="93">
        <f>'Returns per Gal.'!AO123</f>
        <v>0.14159943658925611</v>
      </c>
      <c r="AQ116" s="93">
        <f>'Returns per Gal.'!AP123</f>
        <v>0.50379378054226476</v>
      </c>
      <c r="AR116" s="93">
        <f>'Returns per Gal.'!AQ123</f>
        <v>-0.36219434395300865</v>
      </c>
      <c r="AS116" s="52"/>
      <c r="AU116" s="177">
        <f>'Returns per Bu.'!G123</f>
        <v>3.7986363636363638</v>
      </c>
      <c r="AV116" s="166">
        <f>'Returns per Bu.'!N123</f>
        <v>7.068839772727272</v>
      </c>
      <c r="AW116" s="166">
        <f>'Returns per Bu.'!O123</f>
        <v>5.234448638181818</v>
      </c>
      <c r="AX116" s="169">
        <f>'Returns per Bu.'!Z123</f>
        <v>0.43722369122124899</v>
      </c>
      <c r="AY116" s="162">
        <f>'Returns per Bu.'!AF123</f>
        <v>4.8308902439024388</v>
      </c>
      <c r="AZ116" s="165"/>
      <c r="BA116" s="15">
        <f t="shared" si="3"/>
        <v>3.1845487804878045</v>
      </c>
      <c r="BB116" s="93">
        <f>'Returns per Bu.'!AD123</f>
        <v>1.6463414634146341</v>
      </c>
      <c r="BC116" s="93">
        <f t="shared" si="5"/>
        <v>1.1173855370132646</v>
      </c>
    </row>
    <row r="117" spans="1:55" hidden="1" x14ac:dyDescent="0.2">
      <c r="A117" s="8">
        <v>41852</v>
      </c>
      <c r="C117" s="53"/>
      <c r="D117" s="255">
        <v>2.0964285714285715</v>
      </c>
      <c r="E117" s="256">
        <v>107.91666666666667</v>
      </c>
      <c r="F117" s="326"/>
      <c r="G117" s="15">
        <v>3.5396428571428582</v>
      </c>
      <c r="H117" s="266">
        <v>8</v>
      </c>
      <c r="I117" s="184"/>
      <c r="K117" s="93">
        <f>'Returns per Gal.'!J124</f>
        <v>2.0964285714285715</v>
      </c>
      <c r="L117" s="93">
        <f>'Returns per Gal.'!K124</f>
        <v>0.31996345029239764</v>
      </c>
      <c r="M117" s="93"/>
      <c r="N117" s="93">
        <f>'Returns per Gal.'!M124</f>
        <v>2.4163920217209691</v>
      </c>
      <c r="O117" s="110">
        <f>'Returns per Gal.'!N124</f>
        <v>0</v>
      </c>
      <c r="P117" s="108">
        <f>'Returns per Gal.'!O124</f>
        <v>0</v>
      </c>
      <c r="Q117" s="93">
        <f>'Returns per Gal.'!P124</f>
        <v>1.2419799498746871</v>
      </c>
      <c r="R117" s="93">
        <f>'Returns per Gal.'!Q124</f>
        <v>0.24</v>
      </c>
      <c r="S117" s="93">
        <f>'Returns per Gal.'!R124</f>
        <v>0.21939999999999998</v>
      </c>
      <c r="T117" s="93">
        <f>'Returns per Gal.'!S124</f>
        <v>1.7013799498746871</v>
      </c>
      <c r="U117" s="93">
        <f>'Returns per Gal.'!T124</f>
        <v>0.19624601212121212</v>
      </c>
      <c r="V117" s="93">
        <f>'Returns per Gal.'!U124</f>
        <v>1.8976259619958993</v>
      </c>
      <c r="W117" s="93">
        <f>'Returns per Gal.'!V124</f>
        <v>1.5776625117035017</v>
      </c>
      <c r="X117" s="105"/>
      <c r="Y117" s="93">
        <f>'Returns per Gal.'!V124</f>
        <v>1.5776625117035017</v>
      </c>
      <c r="Z117" s="93">
        <f>'Returns per Gal.'!Y124</f>
        <v>0.89591207184628208</v>
      </c>
      <c r="AA117" s="93">
        <f>'Returns per Gal.'!Z124</f>
        <v>0.71501207184628202</v>
      </c>
      <c r="AB117" s="93">
        <f>'Returns per Gal.'!AA124</f>
        <v>0.51876605972506984</v>
      </c>
      <c r="AC117" s="80">
        <f>'Returns per Gal.'!AB124</f>
        <v>0</v>
      </c>
      <c r="AD117" s="15">
        <f>'Returns per Gal.'!AC124</f>
        <v>0</v>
      </c>
      <c r="AE117" s="81">
        <f>'Returns per Gal.'!AD124</f>
        <v>0</v>
      </c>
      <c r="AF117" s="93">
        <f>'Returns per Gal.'!AE124</f>
        <v>0.57766367137355579</v>
      </c>
      <c r="AG117" s="93">
        <f>'Returns per Gal.'!AF124</f>
        <v>1.1173855370132646</v>
      </c>
      <c r="AH117" s="93">
        <f>'Returns per Gal.'!AG124</f>
        <v>1.6950492083868205</v>
      </c>
      <c r="AI117" s="105">
        <f>'Returns per Gal.'!AH124</f>
        <v>0</v>
      </c>
      <c r="AJ117" s="104">
        <f>'Returns per Gal.'!AI124</f>
        <v>0</v>
      </c>
      <c r="AK117" s="93">
        <f>'Returns per Gal.'!AJ124</f>
        <v>2.1544492083868203</v>
      </c>
      <c r="AL117" s="93">
        <f>'Returns per Gal.'!AK124</f>
        <v>2.3506952205080323</v>
      </c>
      <c r="AM117" s="105">
        <f>'Returns per Gal.'!AL124</f>
        <v>0</v>
      </c>
      <c r="AN117" s="104"/>
      <c r="AO117" s="93">
        <f>'Returns per Gal.'!AN124</f>
        <v>0.26194281333414882</v>
      </c>
      <c r="AP117" s="93">
        <f>'Returns per Gal.'!AO124</f>
        <v>6.5696801212936862E-2</v>
      </c>
      <c r="AQ117" s="93">
        <f>'Returns per Gal.'!AP124</f>
        <v>0.51876605972507028</v>
      </c>
      <c r="AR117" s="93">
        <f>'Returns per Gal.'!AQ124</f>
        <v>-0.45306925851213342</v>
      </c>
      <c r="AS117" s="52"/>
      <c r="AU117" s="177">
        <f>'Returns per Bu.'!G124</f>
        <v>3.5396428571428582</v>
      </c>
      <c r="AV117" s="166">
        <f>'Returns per Bu.'!N124</f>
        <v>6.8867172619047627</v>
      </c>
      <c r="AW117" s="166">
        <f>'Returns per Bu.'!O124</f>
        <v>5.0181261273593094</v>
      </c>
      <c r="AX117" s="169">
        <f>'Returns per Bu.'!Z124</f>
        <v>0.45021756971505511</v>
      </c>
      <c r="AY117" s="162">
        <f>'Returns per Bu.'!AF124</f>
        <v>4.8308902439024388</v>
      </c>
      <c r="AZ117" s="165"/>
      <c r="BA117" s="15">
        <f t="shared" ref="BA117:BA122" si="6">AY117-BB117</f>
        <v>3.1845487804878045</v>
      </c>
      <c r="BB117" s="93">
        <f>'Returns per Bu.'!AD124</f>
        <v>1.6463414634146341</v>
      </c>
      <c r="BC117" s="93">
        <f t="shared" si="5"/>
        <v>1.1173855370132646</v>
      </c>
    </row>
    <row r="118" spans="1:55" hidden="1" x14ac:dyDescent="0.2">
      <c r="A118" s="8">
        <v>41883</v>
      </c>
      <c r="C118" s="53"/>
      <c r="D118" s="255">
        <v>1.8397727272727267</v>
      </c>
      <c r="E118" s="256">
        <v>121.72619047619048</v>
      </c>
      <c r="F118" s="326"/>
      <c r="G118" s="15">
        <v>3.3420357142857129</v>
      </c>
      <c r="H118" s="266">
        <v>7.8</v>
      </c>
      <c r="I118" s="184"/>
      <c r="K118" s="93">
        <f>'Returns per Gal.'!J125</f>
        <v>1.8397727272727267</v>
      </c>
      <c r="L118" s="93">
        <f>'Returns per Gal.'!K125</f>
        <v>0.36090747702589804</v>
      </c>
      <c r="M118" s="93"/>
      <c r="N118" s="93">
        <f>'Returns per Gal.'!M125</f>
        <v>2.2006802042986249</v>
      </c>
      <c r="O118" s="110">
        <f>'Returns per Gal.'!N125</f>
        <v>0</v>
      </c>
      <c r="P118" s="108">
        <f>'Returns per Gal.'!O125</f>
        <v>0</v>
      </c>
      <c r="Q118" s="93">
        <f>'Returns per Gal.'!P125</f>
        <v>1.1726441102756886</v>
      </c>
      <c r="R118" s="93">
        <f>'Returns per Gal.'!Q125</f>
        <v>0.23399999999999999</v>
      </c>
      <c r="S118" s="93">
        <f>'Returns per Gal.'!R125</f>
        <v>0.21939999999999998</v>
      </c>
      <c r="T118" s="93">
        <f>'Returns per Gal.'!S125</f>
        <v>1.6260441102756886</v>
      </c>
      <c r="U118" s="93">
        <f>'Returns per Gal.'!T125</f>
        <v>0.19624601212121212</v>
      </c>
      <c r="V118" s="93">
        <f>'Returns per Gal.'!U125</f>
        <v>1.8222901223969008</v>
      </c>
      <c r="W118" s="93">
        <f>'Returns per Gal.'!V125</f>
        <v>1.4613826453710028</v>
      </c>
      <c r="X118" s="105"/>
      <c r="Y118" s="93">
        <f>'Returns per Gal.'!V125</f>
        <v>1.4613826453710028</v>
      </c>
      <c r="Z118" s="93">
        <f>'Returns per Gal.'!Y125</f>
        <v>0.75553609402293631</v>
      </c>
      <c r="AA118" s="93">
        <f>'Returns per Gal.'!Z125</f>
        <v>0.57463609402293625</v>
      </c>
      <c r="AB118" s="93">
        <f>'Returns per Gal.'!AA125</f>
        <v>0.37839008190172407</v>
      </c>
      <c r="AC118" s="80">
        <f>'Returns per Gal.'!AB125</f>
        <v>0</v>
      </c>
      <c r="AD118" s="15">
        <f>'Returns per Gal.'!AC125</f>
        <v>0</v>
      </c>
      <c r="AE118" s="81">
        <f>'Returns per Gal.'!AD125</f>
        <v>0</v>
      </c>
      <c r="AF118" s="93">
        <f>'Returns per Gal.'!AE125</f>
        <v>0.51251724817662137</v>
      </c>
      <c r="AG118" s="93">
        <f>'Returns per Gal.'!AF125</f>
        <v>0.99393356987975556</v>
      </c>
      <c r="AH118" s="93">
        <f>'Returns per Gal.'!AG125</f>
        <v>1.5064508180563769</v>
      </c>
      <c r="AI118" s="105">
        <f>'Returns per Gal.'!AH125</f>
        <v>0</v>
      </c>
      <c r="AJ118" s="104">
        <f>'Returns per Gal.'!AI125</f>
        <v>0</v>
      </c>
      <c r="AK118" s="93">
        <f>'Returns per Gal.'!AJ125</f>
        <v>1.959850818056377</v>
      </c>
      <c r="AL118" s="93">
        <f>'Returns per Gal.'!AK125</f>
        <v>2.1560968301775891</v>
      </c>
      <c r="AM118" s="105">
        <f>'Returns per Gal.'!AL125</f>
        <v>0</v>
      </c>
      <c r="AN118" s="104"/>
      <c r="AO118" s="93">
        <f>'Returns per Gal.'!AN125</f>
        <v>0.24082938624224792</v>
      </c>
      <c r="AP118" s="93">
        <f>'Returns per Gal.'!AO125</f>
        <v>4.4583374121035746E-2</v>
      </c>
      <c r="AQ118" s="93">
        <f>'Returns per Gal.'!AP125</f>
        <v>0.37839008190172407</v>
      </c>
      <c r="AR118" s="93">
        <f>'Returns per Gal.'!AQ125</f>
        <v>-0.33380670778068833</v>
      </c>
      <c r="AS118" s="52"/>
      <c r="AU118" s="177">
        <f>'Returns per Bu.'!G125</f>
        <v>3.3420357142857129</v>
      </c>
      <c r="AV118" s="166">
        <f>'Returns per Bu.'!N125</f>
        <v>6.2719385822510798</v>
      </c>
      <c r="AW118" s="166">
        <f>'Returns per Bu.'!O125</f>
        <v>4.4204474477056266</v>
      </c>
      <c r="AX118" s="169">
        <f>'Returns per Bu.'!Z125</f>
        <v>0.32839053342918983</v>
      </c>
      <c r="AY118" s="162">
        <f>'Returns per Bu.'!AF125</f>
        <v>4.2933848314606742</v>
      </c>
      <c r="AZ118" s="165"/>
      <c r="BA118" s="15">
        <f t="shared" si="6"/>
        <v>2.8327106741573034</v>
      </c>
      <c r="BB118" s="93">
        <f>'Returns per Bu.'!AD125</f>
        <v>1.4606741573033708</v>
      </c>
      <c r="BC118" s="93">
        <f t="shared" si="5"/>
        <v>0.99393356987975556</v>
      </c>
    </row>
    <row r="119" spans="1:55" hidden="1" x14ac:dyDescent="0.2">
      <c r="A119" s="8">
        <v>41913</v>
      </c>
      <c r="C119" s="53"/>
      <c r="D119" s="255">
        <v>1.5606521739130437</v>
      </c>
      <c r="E119" s="256">
        <v>102.86363636363636</v>
      </c>
      <c r="F119" s="326"/>
      <c r="G119" s="15">
        <v>3.2640909090909087</v>
      </c>
      <c r="H119" s="266">
        <v>6.67</v>
      </c>
      <c r="I119" s="184"/>
      <c r="K119" s="93">
        <f>'Returns per Gal.'!J126</f>
        <v>1.5606521739130437</v>
      </c>
      <c r="L119" s="93">
        <f>'Returns per Gal.'!K126</f>
        <v>0.30498165869218502</v>
      </c>
      <c r="M119" s="93"/>
      <c r="N119" s="93">
        <f>'Returns per Gal.'!M126</f>
        <v>1.8656338326052286</v>
      </c>
      <c r="O119" s="110">
        <f>'Returns per Gal.'!N126</f>
        <v>0</v>
      </c>
      <c r="P119" s="108">
        <f>'Returns per Gal.'!O126</f>
        <v>0</v>
      </c>
      <c r="Q119" s="93">
        <f>'Returns per Gal.'!P126</f>
        <v>1.1452950558213715</v>
      </c>
      <c r="R119" s="93">
        <f>'Returns per Gal.'!Q126</f>
        <v>0.2001</v>
      </c>
      <c r="S119" s="93">
        <f>'Returns per Gal.'!R126</f>
        <v>0.21939999999999998</v>
      </c>
      <c r="T119" s="93">
        <f>'Returns per Gal.'!S126</f>
        <v>1.5647950558213715</v>
      </c>
      <c r="U119" s="93">
        <f>'Returns per Gal.'!T126</f>
        <v>0.19624601212121212</v>
      </c>
      <c r="V119" s="93">
        <f>'Returns per Gal.'!U126</f>
        <v>1.7610410679425836</v>
      </c>
      <c r="W119" s="93">
        <f>'Returns per Gal.'!V126</f>
        <v>1.4560594092503987</v>
      </c>
      <c r="X119" s="105"/>
      <c r="Y119" s="93">
        <f>'Returns per Gal.'!V126</f>
        <v>1.4560594092503987</v>
      </c>
      <c r="Z119" s="93">
        <f>'Returns per Gal.'!Y126</f>
        <v>0.48173877678385724</v>
      </c>
      <c r="AA119" s="93">
        <f>'Returns per Gal.'!Z126</f>
        <v>0.30083877678385718</v>
      </c>
      <c r="AB119" s="93">
        <f>'Returns per Gal.'!AA126</f>
        <v>0.104592764662645</v>
      </c>
      <c r="AC119" s="80">
        <f>'Returns per Gal.'!AB126</f>
        <v>0</v>
      </c>
      <c r="AD119" s="15">
        <f>'Returns per Gal.'!AC126</f>
        <v>0</v>
      </c>
      <c r="AE119" s="81">
        <f>'Returns per Gal.'!AD126</f>
        <v>0</v>
      </c>
      <c r="AF119" s="93">
        <f>'Returns per Gal.'!AE126</f>
        <v>0.51251724817662137</v>
      </c>
      <c r="AG119" s="93">
        <f>'Returns per Gal.'!AF126</f>
        <v>0.99393356987975556</v>
      </c>
      <c r="AH119" s="93">
        <f>'Returns per Gal.'!AG126</f>
        <v>1.5064508180563769</v>
      </c>
      <c r="AI119" s="105">
        <f>'Returns per Gal.'!AH126</f>
        <v>0</v>
      </c>
      <c r="AJ119" s="104">
        <f>'Returns per Gal.'!AI126</f>
        <v>0</v>
      </c>
      <c r="AK119" s="93">
        <f>'Returns per Gal.'!AJ126</f>
        <v>1.9259508180563769</v>
      </c>
      <c r="AL119" s="93">
        <f>'Returns per Gal.'!AK126</f>
        <v>2.1221968301775891</v>
      </c>
      <c r="AM119" s="105">
        <f>'Returns per Gal.'!AL126</f>
        <v>0</v>
      </c>
      <c r="AN119" s="104"/>
      <c r="AO119" s="93">
        <f>'Returns per Gal.'!AN126</f>
        <v>-6.0316985451148275E-2</v>
      </c>
      <c r="AP119" s="93">
        <f>'Returns per Gal.'!AO126</f>
        <v>-0.25656299757236045</v>
      </c>
      <c r="AQ119" s="93">
        <f>'Returns per Gal.'!AP126</f>
        <v>0.104592764662645</v>
      </c>
      <c r="AR119" s="93">
        <f>'Returns per Gal.'!AQ126</f>
        <v>-0.36115576223500545</v>
      </c>
      <c r="AS119" s="52"/>
      <c r="AU119" s="177">
        <f>'Returns per Bu.'!G126</f>
        <v>3.2640909090909087</v>
      </c>
      <c r="AV119" s="166">
        <f>'Returns per Bu.'!N126</f>
        <v>5.3170564229249013</v>
      </c>
      <c r="AW119" s="166">
        <f>'Returns per Bu.'!O126</f>
        <v>3.5621802883794471</v>
      </c>
      <c r="AX119" s="169">
        <f>'Returns per Bu.'!Z126</f>
        <v>9.0772130199016282E-2</v>
      </c>
      <c r="AY119" s="162">
        <f>'Returns per Bu.'!AF126</f>
        <v>4.2933848314606742</v>
      </c>
      <c r="AZ119" s="165"/>
      <c r="BA119" s="15">
        <f t="shared" si="6"/>
        <v>2.8327106741573034</v>
      </c>
      <c r="BB119" s="93">
        <f>'Returns per Bu.'!AD126</f>
        <v>1.4606741573033708</v>
      </c>
      <c r="BC119" s="93">
        <f t="shared" si="5"/>
        <v>0.99393356987975556</v>
      </c>
    </row>
    <row r="120" spans="1:55" hidden="1" x14ac:dyDescent="0.2">
      <c r="A120" s="8">
        <v>41944</v>
      </c>
      <c r="C120" s="53"/>
      <c r="D120" s="255">
        <v>2.0038888888888886</v>
      </c>
      <c r="E120" s="256">
        <v>108.33823529411765</v>
      </c>
      <c r="F120" s="326"/>
      <c r="G120" s="15">
        <v>3.5112500000000004</v>
      </c>
      <c r="H120" s="266">
        <v>6.49</v>
      </c>
      <c r="I120" s="184"/>
      <c r="J120" s="12"/>
      <c r="K120" s="93">
        <f>'Returns per Gal.'!J127</f>
        <v>2.0038888888888886</v>
      </c>
      <c r="L120" s="93">
        <f>'Returns per Gal.'!K127</f>
        <v>0.32121336429308561</v>
      </c>
      <c r="M120" s="93"/>
      <c r="N120" s="93">
        <f>'Returns per Gal.'!M127</f>
        <v>2.3251022531819743</v>
      </c>
      <c r="O120" s="110">
        <f>'Returns per Gal.'!N127</f>
        <v>0</v>
      </c>
      <c r="P120" s="108">
        <f>'Returns per Gal.'!O127</f>
        <v>0</v>
      </c>
      <c r="Q120" s="93">
        <f>'Returns per Gal.'!P127</f>
        <v>1.2320175438596492</v>
      </c>
      <c r="R120" s="93">
        <f>'Returns per Gal.'!Q127</f>
        <v>0.19470000000000001</v>
      </c>
      <c r="S120" s="93">
        <f>'Returns per Gal.'!R127</f>
        <v>0.21939999999999998</v>
      </c>
      <c r="T120" s="93">
        <f>'Returns per Gal.'!S127</f>
        <v>1.6461175438596494</v>
      </c>
      <c r="U120" s="93">
        <f>'Returns per Gal.'!T127</f>
        <v>0.19624601212121212</v>
      </c>
      <c r="V120" s="93">
        <f>'Returns per Gal.'!U127</f>
        <v>1.8423635559808615</v>
      </c>
      <c r="W120" s="93">
        <f>'Returns per Gal.'!V127</f>
        <v>1.5211501916877759</v>
      </c>
      <c r="X120" s="105"/>
      <c r="Y120" s="93">
        <f>'Returns per Gal.'!V127</f>
        <v>1.5211501916877759</v>
      </c>
      <c r="Z120" s="93">
        <f>'Returns per Gal.'!Y127</f>
        <v>0.85988470932232508</v>
      </c>
      <c r="AA120" s="93">
        <f>'Returns per Gal.'!Z127</f>
        <v>0.67898470932232491</v>
      </c>
      <c r="AB120" s="93">
        <f>'Returns per Gal.'!AA127</f>
        <v>0.48273869720111273</v>
      </c>
      <c r="AC120" s="80">
        <f>'Returns per Gal.'!AB127</f>
        <v>0</v>
      </c>
      <c r="AD120" s="15">
        <f>'Returns per Gal.'!AC127</f>
        <v>0</v>
      </c>
      <c r="AE120" s="81">
        <f>'Returns per Gal.'!AD127</f>
        <v>0</v>
      </c>
      <c r="AF120" s="93">
        <f>'Returns per Gal.'!AE127</f>
        <v>0.51251724817662137</v>
      </c>
      <c r="AG120" s="93">
        <f>'Returns per Gal.'!AF127</f>
        <v>0.99393356987975556</v>
      </c>
      <c r="AH120" s="93">
        <f>'Returns per Gal.'!AG127</f>
        <v>1.5064508180563769</v>
      </c>
      <c r="AI120" s="105">
        <f>'Returns per Gal.'!AH127</f>
        <v>0</v>
      </c>
      <c r="AJ120" s="104">
        <f>'Returns per Gal.'!AI127</f>
        <v>0</v>
      </c>
      <c r="AK120" s="93">
        <f>'Returns per Gal.'!AJ127</f>
        <v>1.9205508180563771</v>
      </c>
      <c r="AL120" s="93">
        <f>'Returns per Gal.'!AK127</f>
        <v>2.1167968301775892</v>
      </c>
      <c r="AM120" s="105">
        <f>'Returns per Gal.'!AL127</f>
        <v>0</v>
      </c>
      <c r="AN120" s="104"/>
      <c r="AO120" s="93">
        <f>'Returns per Gal.'!AN127</f>
        <v>0.40455143512559721</v>
      </c>
      <c r="AP120" s="93">
        <f>'Returns per Gal.'!AO127</f>
        <v>0.20830542300438504</v>
      </c>
      <c r="AQ120" s="93">
        <f>'Returns per Gal.'!AP127</f>
        <v>0.48273869720111273</v>
      </c>
      <c r="AR120" s="93">
        <f>'Returns per Gal.'!AQ127</f>
        <v>-0.27443327419672769</v>
      </c>
      <c r="AS120" s="52"/>
      <c r="AU120" s="177">
        <f>'Returns per Bu.'!G127</f>
        <v>3.5112500000000004</v>
      </c>
      <c r="AV120" s="166">
        <f>'Returns per Bu.'!N127</f>
        <v>6.6265414215686267</v>
      </c>
      <c r="AW120" s="166">
        <f>'Returns per Bu.'!O127</f>
        <v>4.8870552870231725</v>
      </c>
      <c r="AX120" s="169">
        <f>'Returns per Bu.'!Z127</f>
        <v>0.41895077557016536</v>
      </c>
      <c r="AY120" s="162">
        <f>'Returns per Bu.'!AF127</f>
        <v>4.2933848314606742</v>
      </c>
      <c r="AZ120" s="165"/>
      <c r="BA120" s="15">
        <f t="shared" si="6"/>
        <v>2.8327106741573034</v>
      </c>
      <c r="BB120" s="93">
        <f>'Returns per Bu.'!AD127</f>
        <v>1.4606741573033708</v>
      </c>
      <c r="BC120" s="93">
        <f t="shared" si="5"/>
        <v>0.99393356987975556</v>
      </c>
    </row>
    <row r="121" spans="1:55" hidden="1" x14ac:dyDescent="0.2">
      <c r="A121" s="68">
        <v>41974</v>
      </c>
      <c r="B121" s="29"/>
      <c r="C121" s="56"/>
      <c r="D121" s="97">
        <v>2.0152380952380944</v>
      </c>
      <c r="E121" s="258">
        <v>138.26190476190476</v>
      </c>
      <c r="F121" s="327"/>
      <c r="G121" s="65">
        <v>3.774791666666665</v>
      </c>
      <c r="H121" s="259">
        <v>6.91</v>
      </c>
      <c r="I121" s="187"/>
      <c r="J121" s="188"/>
      <c r="K121" s="97">
        <f>'Returns per Gal.'!J128</f>
        <v>2.0152380952380944</v>
      </c>
      <c r="L121" s="97">
        <f>'Returns per Gal.'!K128</f>
        <v>0.40993441938178776</v>
      </c>
      <c r="M121" s="97"/>
      <c r="N121" s="97">
        <f>'Returns per Gal.'!M128</f>
        <v>2.4251725146198821</v>
      </c>
      <c r="O121" s="113">
        <f>'Returns per Gal.'!N128</f>
        <v>0</v>
      </c>
      <c r="P121" s="111">
        <f>'Returns per Gal.'!O128</f>
        <v>0</v>
      </c>
      <c r="Q121" s="97">
        <f>'Returns per Gal.'!P128</f>
        <v>1.3244883040935667</v>
      </c>
      <c r="R121" s="97">
        <f>'Returns per Gal.'!Q128</f>
        <v>0.20730000000000001</v>
      </c>
      <c r="S121" s="97">
        <f>'Returns per Gal.'!R128</f>
        <v>0.21939999999999998</v>
      </c>
      <c r="T121" s="97">
        <f>'Returns per Gal.'!S128</f>
        <v>1.7511883040935667</v>
      </c>
      <c r="U121" s="97">
        <f>'Returns per Gal.'!T128</f>
        <v>0.19624601212121212</v>
      </c>
      <c r="V121" s="97">
        <f>'Returns per Gal.'!U128</f>
        <v>1.9474343162147789</v>
      </c>
      <c r="W121" s="97">
        <f>'Returns per Gal.'!V128</f>
        <v>1.5374998968329912</v>
      </c>
      <c r="X121" s="107"/>
      <c r="Y121" s="97">
        <f>'Returns per Gal.'!V128</f>
        <v>1.5374998968329912</v>
      </c>
      <c r="Z121" s="97">
        <f>'Returns per Gal.'!Y128</f>
        <v>0.85488421052631547</v>
      </c>
      <c r="AA121" s="97">
        <f>'Returns per Gal.'!Z128</f>
        <v>0.67398421052631541</v>
      </c>
      <c r="AB121" s="97">
        <f>'Returns per Gal.'!AA128</f>
        <v>0.47773819840510323</v>
      </c>
      <c r="AC121" s="82">
        <f>'Returns per Gal.'!AB128</f>
        <v>0</v>
      </c>
      <c r="AD121" s="65">
        <f>'Returns per Gal.'!AC128</f>
        <v>0</v>
      </c>
      <c r="AE121" s="83">
        <f>'Returns per Gal.'!AD128</f>
        <v>0</v>
      </c>
      <c r="AF121" s="97">
        <f>'Returns per Gal.'!AE128</f>
        <v>0.51251724817662137</v>
      </c>
      <c r="AG121" s="97">
        <f>'Returns per Gal.'!AF128</f>
        <v>0.99393356987975556</v>
      </c>
      <c r="AH121" s="97">
        <f>'Returns per Gal.'!AG128</f>
        <v>1.5064508180563769</v>
      </c>
      <c r="AI121" s="107">
        <f>'Returns per Gal.'!AH128</f>
        <v>0</v>
      </c>
      <c r="AJ121" s="106">
        <f>'Returns per Gal.'!AI128</f>
        <v>0</v>
      </c>
      <c r="AK121" s="97">
        <f>'Returns per Gal.'!AJ128</f>
        <v>1.933150818056377</v>
      </c>
      <c r="AL121" s="97">
        <f>'Returns per Gal.'!AK128</f>
        <v>2.1293968301775892</v>
      </c>
      <c r="AM121" s="107">
        <f>'Returns per Gal.'!AL128</f>
        <v>0</v>
      </c>
      <c r="AN121" s="106"/>
      <c r="AO121" s="97">
        <f>'Returns per Gal.'!AN128</f>
        <v>0.49202169656350514</v>
      </c>
      <c r="AP121" s="97">
        <f>'Returns per Gal.'!AO128</f>
        <v>0.29577568444229296</v>
      </c>
      <c r="AQ121" s="97">
        <f>'Returns per Gal.'!AP128</f>
        <v>0.47773819840510323</v>
      </c>
      <c r="AR121" s="97">
        <f>'Returns per Gal.'!AQ128</f>
        <v>-0.18196251396281027</v>
      </c>
      <c r="AS121" s="64"/>
      <c r="AT121" s="29"/>
      <c r="AU121" s="178">
        <f>'Returns per Bu.'!G128</f>
        <v>3.774791666666665</v>
      </c>
      <c r="AV121" s="167">
        <f>'Returns per Bu.'!N128</f>
        <v>6.9117416666666642</v>
      </c>
      <c r="AW121" s="167">
        <f>'Returns per Bu.'!O128</f>
        <v>5.1363455321212097</v>
      </c>
      <c r="AX121" s="170">
        <f>'Returns per Bu.'!Z128</f>
        <v>0.41461103056738791</v>
      </c>
      <c r="AY121" s="163">
        <f>'Returns per Bu.'!AF128</f>
        <v>4.2933848314606742</v>
      </c>
      <c r="AZ121" s="164"/>
      <c r="BA121" s="15">
        <f t="shared" si="6"/>
        <v>2.8327106741573034</v>
      </c>
      <c r="BB121" s="93">
        <f>'Returns per Bu.'!AD128</f>
        <v>1.4606741573033708</v>
      </c>
      <c r="BC121" s="93">
        <f t="shared" si="5"/>
        <v>0.99393356987975556</v>
      </c>
    </row>
    <row r="122" spans="1:55" hidden="1" x14ac:dyDescent="0.2">
      <c r="A122" s="21">
        <v>42005</v>
      </c>
      <c r="C122" s="53"/>
      <c r="D122" s="93">
        <v>1.3817500000000009</v>
      </c>
      <c r="E122" s="95">
        <v>172.5625</v>
      </c>
      <c r="F122" s="323"/>
      <c r="G122" s="93">
        <v>3.7328750000000013</v>
      </c>
      <c r="H122" s="266">
        <v>6.42</v>
      </c>
      <c r="I122" s="184"/>
      <c r="J122" s="12"/>
      <c r="K122" s="93">
        <f>'Returns per Gal.'!J129</f>
        <v>1.3817500000000009</v>
      </c>
      <c r="L122" s="93">
        <f>'Returns per Gal.'!K129</f>
        <v>0.51163267543859647</v>
      </c>
      <c r="M122" s="93"/>
      <c r="N122" s="93">
        <f>'Returns per Gal.'!M129</f>
        <v>1.8933826754385974</v>
      </c>
      <c r="O122" s="110">
        <f>'Returns per Gal.'!N129</f>
        <v>0</v>
      </c>
      <c r="P122" s="108">
        <f>'Returns per Gal.'!O129</f>
        <v>0</v>
      </c>
      <c r="Q122" s="93">
        <f>'Returns per Gal.'!P129</f>
        <v>1.3097807017543863</v>
      </c>
      <c r="R122" s="93">
        <f>'Returns per Gal.'!Q129</f>
        <v>0.19260000000000002</v>
      </c>
      <c r="S122" s="93">
        <f>'Returns per Gal.'!R129</f>
        <v>0.21939999999999998</v>
      </c>
      <c r="T122" s="93">
        <f>'Returns per Gal.'!S129</f>
        <v>1.7217807017543865</v>
      </c>
      <c r="U122" s="93">
        <f>'Returns per Gal.'!T129</f>
        <v>0.19624601212121212</v>
      </c>
      <c r="V122" s="93">
        <f>'Returns per Gal.'!U129</f>
        <v>1.9180267138755986</v>
      </c>
      <c r="W122" s="93">
        <f>'Returns per Gal.'!V129</f>
        <v>1.4063940384370022</v>
      </c>
      <c r="X122" s="105"/>
      <c r="Y122" s="93">
        <f>'Returns per Gal.'!V129</f>
        <v>1.4063940384370022</v>
      </c>
      <c r="Z122" s="93">
        <f>'Returns per Gal.'!Y129</f>
        <v>0.3525019736842111</v>
      </c>
      <c r="AA122" s="93">
        <f>'Returns per Gal.'!Z129</f>
        <v>0.17160197368421093</v>
      </c>
      <c r="AB122" s="93">
        <f>'Returns per Gal.'!AA129</f>
        <v>-2.4644038437001248E-2</v>
      </c>
      <c r="AC122" s="80">
        <f>'Returns per Gal.'!AB129</f>
        <v>0</v>
      </c>
      <c r="AD122" s="15">
        <f>'Returns per Gal.'!AC129</f>
        <v>0</v>
      </c>
      <c r="AE122" s="81">
        <f>'Returns per Gal.'!AD129</f>
        <v>0</v>
      </c>
      <c r="AF122" s="93">
        <f>'Returns per Gal.'!AE129</f>
        <v>0.51251724817662137</v>
      </c>
      <c r="AG122" s="93">
        <f>'Returns per Gal.'!AF129</f>
        <v>0.99393356987975556</v>
      </c>
      <c r="AH122" s="93">
        <f>'Returns per Gal.'!AG129</f>
        <v>1.5064508180563769</v>
      </c>
      <c r="AI122" s="105">
        <f>'Returns per Gal.'!AH129</f>
        <v>0</v>
      </c>
      <c r="AJ122" s="104">
        <f>'Returns per Gal.'!AI129</f>
        <v>0</v>
      </c>
      <c r="AK122" s="93">
        <f>'Returns per Gal.'!AJ129</f>
        <v>1.9184508180563771</v>
      </c>
      <c r="AL122" s="93">
        <f>'Returns per Gal.'!AK129</f>
        <v>2.1146968301775892</v>
      </c>
      <c r="AM122" s="105">
        <f>'Returns per Gal.'!AL129</f>
        <v>0</v>
      </c>
      <c r="AN122" s="104"/>
      <c r="AO122" s="93">
        <f>'Returns per Gal.'!AN129</f>
        <v>-2.5068142617779676E-2</v>
      </c>
      <c r="AP122" s="93">
        <f>'Returns per Gal.'!AO129</f>
        <v>-0.22131415473899185</v>
      </c>
      <c r="AQ122" s="93">
        <f>'Returns per Gal.'!AP129</f>
        <v>-2.4644038437001248E-2</v>
      </c>
      <c r="AR122" s="93">
        <f>'Returns per Gal.'!AQ129</f>
        <v>-0.19667011630199061</v>
      </c>
      <c r="AS122" s="52"/>
      <c r="AU122" s="177">
        <f>'Returns per Bu.'!G129</f>
        <v>3.7328750000000013</v>
      </c>
      <c r="AV122" s="166">
        <f>'Returns per Bu.'!N129</f>
        <v>5.3961406250000028</v>
      </c>
      <c r="AW122" s="166">
        <f>'Returns per Bu.'!O129</f>
        <v>3.662639490454549</v>
      </c>
      <c r="AX122" s="169">
        <f>'Returns per Bu.'!Z129</f>
        <v>-2.1387634917656342E-2</v>
      </c>
      <c r="AY122" s="162">
        <f>'Returns per Bu.'!AF129</f>
        <v>4.2933848314606742</v>
      </c>
      <c r="AZ122" s="165"/>
      <c r="BA122" s="15">
        <f t="shared" si="6"/>
        <v>2.8327106741573034</v>
      </c>
      <c r="BB122" s="93">
        <f>'Returns per Bu.'!AD129</f>
        <v>1.4606741573033708</v>
      </c>
      <c r="BC122" s="93">
        <f t="shared" si="5"/>
        <v>0.99393356987975556</v>
      </c>
    </row>
    <row r="123" spans="1:55" hidden="1" x14ac:dyDescent="0.2">
      <c r="A123" s="8">
        <v>42036</v>
      </c>
      <c r="C123" s="53"/>
      <c r="D123" s="93">
        <v>1.3131578947368425</v>
      </c>
      <c r="E123" s="95">
        <v>170.98684210526315</v>
      </c>
      <c r="F123" s="323"/>
      <c r="G123" s="93">
        <v>3.7432894736842113</v>
      </c>
      <c r="H123" s="266">
        <v>5.65</v>
      </c>
      <c r="I123" s="184"/>
      <c r="K123" s="93">
        <f>'Returns per Gal.'!J130</f>
        <v>1.3131578947368425</v>
      </c>
      <c r="L123" s="93">
        <f>'Returns per Gal.'!K130</f>
        <v>0.50696098799630651</v>
      </c>
      <c r="M123" s="93"/>
      <c r="N123" s="93">
        <f>'Returns per Gal.'!M130</f>
        <v>1.8201188827331491</v>
      </c>
      <c r="O123" s="110">
        <f>'Returns per Gal.'!N130</f>
        <v>0</v>
      </c>
      <c r="P123" s="108">
        <f>'Returns per Gal.'!O130</f>
        <v>0</v>
      </c>
      <c r="Q123" s="93">
        <f>'Returns per Gal.'!P130</f>
        <v>1.3134349030470915</v>
      </c>
      <c r="R123" s="93">
        <f>'Returns per Gal.'!Q130</f>
        <v>0.16950000000000001</v>
      </c>
      <c r="S123" s="93">
        <f>'Returns per Gal.'!R130</f>
        <v>0.21939999999999998</v>
      </c>
      <c r="T123" s="93">
        <f>'Returns per Gal.'!S130</f>
        <v>1.7023349030470916</v>
      </c>
      <c r="U123" s="93">
        <f>'Returns per Gal.'!T130</f>
        <v>0.19624601212121212</v>
      </c>
      <c r="V123" s="93">
        <f>'Returns per Gal.'!U130</f>
        <v>1.8985809151683037</v>
      </c>
      <c r="W123" s="93">
        <f>'Returns per Gal.'!V130</f>
        <v>1.3916199271719973</v>
      </c>
      <c r="X123" s="105"/>
      <c r="Y123" s="93">
        <f>'Returns per Gal.'!V130</f>
        <v>1.3916199271719973</v>
      </c>
      <c r="Z123" s="93">
        <f>'Returns per Gal.'!Y130</f>
        <v>0.29868397968605764</v>
      </c>
      <c r="AA123" s="93">
        <f>'Returns per Gal.'!Z130</f>
        <v>0.11778397968605758</v>
      </c>
      <c r="AB123" s="93">
        <f>'Returns per Gal.'!AA130</f>
        <v>-7.8462032435154594E-2</v>
      </c>
      <c r="AC123" s="80">
        <f>'Returns per Gal.'!AB130</f>
        <v>0</v>
      </c>
      <c r="AD123" s="15">
        <f>'Returns per Gal.'!AC130</f>
        <v>0</v>
      </c>
      <c r="AE123" s="81">
        <f>'Returns per Gal.'!AD130</f>
        <v>0</v>
      </c>
      <c r="AF123" s="93">
        <f>'Returns per Gal.'!AE130</f>
        <v>0.51251724817662137</v>
      </c>
      <c r="AG123" s="93">
        <f>'Returns per Gal.'!AF130</f>
        <v>0.99393356987975556</v>
      </c>
      <c r="AH123" s="93">
        <f>'Returns per Gal.'!AG130</f>
        <v>1.5064508180563769</v>
      </c>
      <c r="AI123" s="105">
        <f>'Returns per Gal.'!AH130</f>
        <v>0</v>
      </c>
      <c r="AJ123" s="104">
        <f>'Returns per Gal.'!AI130</f>
        <v>0</v>
      </c>
      <c r="AK123" s="93">
        <f>'Returns per Gal.'!AJ130</f>
        <v>1.895350818056377</v>
      </c>
      <c r="AL123" s="93">
        <f>'Returns per Gal.'!AK130</f>
        <v>2.0915968301775889</v>
      </c>
      <c r="AM123" s="105">
        <f>'Returns per Gal.'!AL130</f>
        <v>0</v>
      </c>
      <c r="AN123" s="104"/>
      <c r="AO123" s="93">
        <f>'Returns per Gal.'!AN130</f>
        <v>-7.5231935323227805E-2</v>
      </c>
      <c r="AP123" s="93">
        <f>'Returns per Gal.'!AO130</f>
        <v>-0.27147794744443976</v>
      </c>
      <c r="AQ123" s="93">
        <f>'Returns per Gal.'!AP130</f>
        <v>-7.8462032435154372E-2</v>
      </c>
      <c r="AR123" s="93">
        <f>'Returns per Gal.'!AQ130</f>
        <v>-0.19301591500928539</v>
      </c>
      <c r="AS123" s="52"/>
      <c r="AU123" s="177">
        <f>'Returns per Bu.'!G130</f>
        <v>3.7432894736842113</v>
      </c>
      <c r="AV123" s="166">
        <f>'Returns per Bu.'!N130</f>
        <v>5.1873388157894755</v>
      </c>
      <c r="AW123" s="166">
        <f>'Returns per Bu.'!O130</f>
        <v>3.5196726812440216</v>
      </c>
      <c r="AX123" s="169">
        <f>'Returns per Bu.'!Z130</f>
        <v>-6.8094249605650983E-2</v>
      </c>
      <c r="AY123" s="162">
        <f>'Returns per Bu.'!AF130</f>
        <v>4.2933848314606742</v>
      </c>
      <c r="AZ123" s="165"/>
      <c r="BA123" s="15">
        <f t="shared" ref="BA123" si="7">AY123-BB123</f>
        <v>2.8327106741573034</v>
      </c>
      <c r="BB123" s="93">
        <f>'Returns per Bu.'!AD130</f>
        <v>1.4606741573033708</v>
      </c>
      <c r="BC123" s="93">
        <f t="shared" si="5"/>
        <v>0.99393356987975556</v>
      </c>
    </row>
    <row r="124" spans="1:55" hidden="1" x14ac:dyDescent="0.2">
      <c r="A124" s="8">
        <v>42064</v>
      </c>
      <c r="C124" s="53"/>
      <c r="D124" s="93">
        <v>1.3863636363636365</v>
      </c>
      <c r="E124" s="95">
        <v>174.5</v>
      </c>
      <c r="F124" s="323"/>
      <c r="G124" s="93">
        <v>3.7748011363636351</v>
      </c>
      <c r="H124" s="266">
        <v>5.69</v>
      </c>
      <c r="I124" s="184"/>
      <c r="K124" s="93">
        <f>'Returns per Gal.'!J131</f>
        <v>1.3863636363636365</v>
      </c>
      <c r="L124" s="93">
        <f>'Returns per Gal.'!K131</f>
        <v>0.5173771929824561</v>
      </c>
      <c r="M124" s="93"/>
      <c r="N124" s="93">
        <f>'Returns per Gal.'!M131</f>
        <v>1.9037408293460927</v>
      </c>
      <c r="O124" s="110">
        <f>'Returns per Gal.'!N131</f>
        <v>0</v>
      </c>
      <c r="P124" s="108">
        <f>'Returns per Gal.'!O131</f>
        <v>0</v>
      </c>
      <c r="Q124" s="93">
        <f>'Returns per Gal.'!P131</f>
        <v>1.3244916267942579</v>
      </c>
      <c r="R124" s="93">
        <f>'Returns per Gal.'!Q131</f>
        <v>0.17070000000000002</v>
      </c>
      <c r="S124" s="93">
        <f>'Returns per Gal.'!R131</f>
        <v>0.21939999999999998</v>
      </c>
      <c r="T124" s="93">
        <f>'Returns per Gal.'!S131</f>
        <v>1.714591626794258</v>
      </c>
      <c r="U124" s="93">
        <f>'Returns per Gal.'!T131</f>
        <v>0.19624601212121212</v>
      </c>
      <c r="V124" s="93">
        <f>'Returns per Gal.'!U131</f>
        <v>1.9108376389154702</v>
      </c>
      <c r="W124" s="93">
        <f>'Returns per Gal.'!V131</f>
        <v>1.3934604459330142</v>
      </c>
      <c r="X124" s="105"/>
      <c r="Y124" s="93">
        <f>'Returns per Gal.'!V131</f>
        <v>1.3934604459330142</v>
      </c>
      <c r="Z124" s="93">
        <f>'Returns per Gal.'!Y131</f>
        <v>0.37004920255183477</v>
      </c>
      <c r="AA124" s="93">
        <f>'Returns per Gal.'!Z131</f>
        <v>0.18914920255183465</v>
      </c>
      <c r="AB124" s="93">
        <f>'Returns per Gal.'!AA131</f>
        <v>-7.0968095693775268E-3</v>
      </c>
      <c r="AC124" s="80">
        <f>'Returns per Gal.'!AB131</f>
        <v>0</v>
      </c>
      <c r="AD124" s="15">
        <f>'Returns per Gal.'!AC131</f>
        <v>0</v>
      </c>
      <c r="AE124" s="81">
        <f>'Returns per Gal.'!AD131</f>
        <v>0</v>
      </c>
      <c r="AF124" s="93">
        <f>'Returns per Gal.'!AE131</f>
        <v>0.51251724817662137</v>
      </c>
      <c r="AG124" s="93">
        <f>'Returns per Gal.'!AF131</f>
        <v>0.99393356987975556</v>
      </c>
      <c r="AH124" s="93">
        <f>'Returns per Gal.'!AG131</f>
        <v>1.5064508180563769</v>
      </c>
      <c r="AI124" s="105">
        <f>'Returns per Gal.'!AH131</f>
        <v>0</v>
      </c>
      <c r="AJ124" s="104">
        <f>'Returns per Gal.'!AI131</f>
        <v>0</v>
      </c>
      <c r="AK124" s="93">
        <f>'Returns per Gal.'!AJ131</f>
        <v>1.896550818056377</v>
      </c>
      <c r="AL124" s="93">
        <f>'Returns per Gal.'!AK131</f>
        <v>2.0927968301775892</v>
      </c>
      <c r="AM124" s="105">
        <f>'Returns per Gal.'!AL131</f>
        <v>0</v>
      </c>
      <c r="AN124" s="104"/>
      <c r="AO124" s="93">
        <f>'Returns per Gal.'!AN131</f>
        <v>7.1900112897156365E-3</v>
      </c>
      <c r="AP124" s="93">
        <f>'Returns per Gal.'!AO131</f>
        <v>-0.18905600083149654</v>
      </c>
      <c r="AQ124" s="93">
        <f>'Returns per Gal.'!AP131</f>
        <v>-7.0968095693775268E-3</v>
      </c>
      <c r="AR124" s="93">
        <f>'Returns per Gal.'!AQ131</f>
        <v>-0.18195919126211901</v>
      </c>
      <c r="AS124" s="52"/>
      <c r="AU124" s="177">
        <f>'Returns per Bu.'!G131</f>
        <v>3.7748011363636351</v>
      </c>
      <c r="AV124" s="166">
        <f>'Returns per Bu.'!N131</f>
        <v>5.4256613636363635</v>
      </c>
      <c r="AW124" s="166">
        <f>'Returns per Bu.'!O131</f>
        <v>3.7545752290909098</v>
      </c>
      <c r="AX124" s="169">
        <f>'Returns per Bu.'!Z131</f>
        <v>-6.159054350527297E-3</v>
      </c>
      <c r="AY124" s="162">
        <f>'Returns per Bu.'!AF131</f>
        <v>4.2933848314606742</v>
      </c>
      <c r="AZ124" s="165"/>
      <c r="BA124" s="15">
        <f t="shared" ref="BA124" si="8">AY124-BB124</f>
        <v>2.8327106741573034</v>
      </c>
      <c r="BB124" s="93">
        <f>'Returns per Bu.'!AD131</f>
        <v>1.4606741573033708</v>
      </c>
      <c r="BC124" s="93">
        <f t="shared" si="5"/>
        <v>0.99393356987975556</v>
      </c>
    </row>
    <row r="125" spans="1:55" hidden="1" x14ac:dyDescent="0.2">
      <c r="A125" s="8">
        <v>42095</v>
      </c>
      <c r="C125" s="53"/>
      <c r="D125" s="93">
        <v>1.4792857142857136</v>
      </c>
      <c r="E125" s="95">
        <v>180.5</v>
      </c>
      <c r="F125" s="323"/>
      <c r="G125" s="93">
        <v>3.68485119047619</v>
      </c>
      <c r="H125" s="266">
        <v>4.4800000000000004</v>
      </c>
      <c r="I125" s="184"/>
      <c r="K125" s="93">
        <f>'Returns per Gal.'!J132</f>
        <v>1.4792857142857136</v>
      </c>
      <c r="L125" s="93">
        <f>'Returns per Gal.'!K132</f>
        <v>0.53516666666666657</v>
      </c>
      <c r="M125" s="93"/>
      <c r="N125" s="93">
        <f>'Returns per Gal.'!M132</f>
        <v>2.0144523809523802</v>
      </c>
      <c r="O125" s="110">
        <f>'Returns per Gal.'!N132</f>
        <v>0</v>
      </c>
      <c r="P125" s="108">
        <f>'Returns per Gal.'!O132</f>
        <v>0</v>
      </c>
      <c r="Q125" s="93">
        <f>'Returns per Gal.'!P132</f>
        <v>1.2929302422723474</v>
      </c>
      <c r="R125" s="93">
        <f>'Returns per Gal.'!Q132</f>
        <v>0.13440000000000002</v>
      </c>
      <c r="S125" s="93">
        <f>'Returns per Gal.'!R132</f>
        <v>0.21939999999999998</v>
      </c>
      <c r="T125" s="93">
        <f>'Returns per Gal.'!S132</f>
        <v>1.6467302422723475</v>
      </c>
      <c r="U125" s="93">
        <f>'Returns per Gal.'!T132</f>
        <v>0.19624601212121212</v>
      </c>
      <c r="V125" s="93">
        <f>'Returns per Gal.'!U132</f>
        <v>1.8429762543935597</v>
      </c>
      <c r="W125" s="93">
        <f>'Returns per Gal.'!V132</f>
        <v>1.3078095877268932</v>
      </c>
      <c r="X125" s="105"/>
      <c r="Y125" s="93">
        <f>'Returns per Gal.'!V132</f>
        <v>1.3078095877268932</v>
      </c>
      <c r="Z125" s="93">
        <f>'Returns per Gal.'!Y132</f>
        <v>0.54862213868003273</v>
      </c>
      <c r="AA125" s="93">
        <f>'Returns per Gal.'!Z132</f>
        <v>0.36772213868003267</v>
      </c>
      <c r="AB125" s="93">
        <f>'Returns per Gal.'!AA132</f>
        <v>0.1714761265588205</v>
      </c>
      <c r="AC125" s="80">
        <f>'Returns per Gal.'!AB132</f>
        <v>0</v>
      </c>
      <c r="AD125" s="15">
        <f>'Returns per Gal.'!AC132</f>
        <v>0</v>
      </c>
      <c r="AE125" s="81">
        <f>'Returns per Gal.'!AD132</f>
        <v>0</v>
      </c>
      <c r="AF125" s="93">
        <f>'Returns per Gal.'!AE132</f>
        <v>0.51251724817662137</v>
      </c>
      <c r="AG125" s="93">
        <f>'Returns per Gal.'!AF132</f>
        <v>0.99393356987975556</v>
      </c>
      <c r="AH125" s="93">
        <f>'Returns per Gal.'!AG132</f>
        <v>1.5064508180563769</v>
      </c>
      <c r="AI125" s="105">
        <f>'Returns per Gal.'!AH132</f>
        <v>0</v>
      </c>
      <c r="AJ125" s="104">
        <f>'Returns per Gal.'!AI132</f>
        <v>0</v>
      </c>
      <c r="AK125" s="93">
        <f>'Returns per Gal.'!AJ132</f>
        <v>1.860250818056377</v>
      </c>
      <c r="AL125" s="93">
        <f>'Returns per Gal.'!AK132</f>
        <v>2.056496830177589</v>
      </c>
      <c r="AM125" s="105">
        <f>'Returns per Gal.'!AL132</f>
        <v>0</v>
      </c>
      <c r="AN125" s="104"/>
      <c r="AO125" s="93">
        <f>'Returns per Gal.'!AN132</f>
        <v>0.15420156289600317</v>
      </c>
      <c r="AP125" s="93">
        <f>'Returns per Gal.'!AO132</f>
        <v>-4.204444922520878E-2</v>
      </c>
      <c r="AQ125" s="93">
        <f>'Returns per Gal.'!AP132</f>
        <v>0.17147612655882072</v>
      </c>
      <c r="AR125" s="93">
        <f>'Returns per Gal.'!AQ132</f>
        <v>-0.2135205757840295</v>
      </c>
      <c r="AS125" s="52"/>
      <c r="AU125" s="177">
        <f>'Returns per Bu.'!G132</f>
        <v>3.68485119047619</v>
      </c>
      <c r="AV125" s="166">
        <f>'Returns per Bu.'!N132</f>
        <v>5.7411892857142837</v>
      </c>
      <c r="AW125" s="166">
        <f>'Returns per Bu.'!O132</f>
        <v>4.1735581511688302</v>
      </c>
      <c r="AX125" s="169">
        <f>'Returns per Bu.'!Z132</f>
        <v>0.14881768673220058</v>
      </c>
      <c r="AY125" s="162">
        <f>'Returns per Bu.'!AF132</f>
        <v>4.2933848314606742</v>
      </c>
      <c r="AZ125" s="165"/>
      <c r="BA125" s="15">
        <f t="shared" ref="BA125" si="9">AY125-BB125</f>
        <v>2.8327106741573034</v>
      </c>
      <c r="BB125" s="93">
        <f>'Returns per Bu.'!AD132</f>
        <v>1.4606741573033708</v>
      </c>
      <c r="BC125" s="93">
        <f t="shared" si="5"/>
        <v>0.99393356987975556</v>
      </c>
    </row>
    <row r="126" spans="1:55" hidden="1" x14ac:dyDescent="0.2">
      <c r="A126" s="8">
        <v>42125</v>
      </c>
      <c r="C126" s="53"/>
      <c r="D126" s="93">
        <v>1.5679999999999994</v>
      </c>
      <c r="E126" s="95">
        <v>169.0625</v>
      </c>
      <c r="F126" s="323"/>
      <c r="G126" s="93">
        <v>3.5542500000000006</v>
      </c>
      <c r="H126" s="266">
        <v>4.7699999999999996</v>
      </c>
      <c r="I126" s="184"/>
      <c r="J126" s="12"/>
      <c r="K126" s="93">
        <f>'Returns per Gal.'!J133</f>
        <v>1.5679999999999994</v>
      </c>
      <c r="L126" s="93">
        <f>'Returns per Gal.'!K133</f>
        <v>0.50125548245614027</v>
      </c>
      <c r="M126" s="93"/>
      <c r="N126" s="93">
        <f>'Returns per Gal.'!M133</f>
        <v>2.0692554824561395</v>
      </c>
      <c r="O126" s="110">
        <f>'Returns per Gal.'!N133</f>
        <v>0</v>
      </c>
      <c r="P126" s="108">
        <f>'Returns per Gal.'!O133</f>
        <v>0</v>
      </c>
      <c r="Q126" s="93">
        <f>'Returns per Gal.'!P133</f>
        <v>1.2471052631578949</v>
      </c>
      <c r="R126" s="93">
        <f>'Returns per Gal.'!Q133</f>
        <v>0.1431</v>
      </c>
      <c r="S126" s="93">
        <f>'Returns per Gal.'!R133</f>
        <v>0.21939999999999998</v>
      </c>
      <c r="T126" s="93">
        <f>'Returns per Gal.'!S133</f>
        <v>1.609605263157895</v>
      </c>
      <c r="U126" s="93">
        <f>'Returns per Gal.'!T133</f>
        <v>0.19624601212121212</v>
      </c>
      <c r="V126" s="93">
        <f>'Returns per Gal.'!U133</f>
        <v>1.8058512752791072</v>
      </c>
      <c r="W126" s="93">
        <f>'Returns per Gal.'!V133</f>
        <v>1.3045957928229668</v>
      </c>
      <c r="X126" s="105"/>
      <c r="Y126" s="93">
        <f>'Returns per Gal.'!V133</f>
        <v>1.3045957928229668</v>
      </c>
      <c r="Z126" s="93">
        <f>'Returns per Gal.'!Y133</f>
        <v>0.64055021929824463</v>
      </c>
      <c r="AA126" s="93">
        <f>'Returns per Gal.'!Z133</f>
        <v>0.45965021929824457</v>
      </c>
      <c r="AB126" s="93">
        <f>'Returns per Gal.'!AA133</f>
        <v>0.26340420717703239</v>
      </c>
      <c r="AC126" s="80">
        <f>'Returns per Gal.'!AB133</f>
        <v>0</v>
      </c>
      <c r="AD126" s="15">
        <f>'Returns per Gal.'!AC133</f>
        <v>0</v>
      </c>
      <c r="AE126" s="81">
        <f>'Returns per Gal.'!AD133</f>
        <v>0</v>
      </c>
      <c r="AF126" s="93">
        <f>'Returns per Gal.'!AE133</f>
        <v>0.51251724817662137</v>
      </c>
      <c r="AG126" s="93">
        <f>'Returns per Gal.'!AF133</f>
        <v>0.99393356987975556</v>
      </c>
      <c r="AH126" s="93">
        <f>'Returns per Gal.'!AG133</f>
        <v>1.5064508180563769</v>
      </c>
      <c r="AI126" s="105">
        <f>'Returns per Gal.'!AH133</f>
        <v>0</v>
      </c>
      <c r="AJ126" s="104">
        <f>'Returns per Gal.'!AI133</f>
        <v>0</v>
      </c>
      <c r="AK126" s="93">
        <f>'Returns per Gal.'!AJ133</f>
        <v>1.868950818056377</v>
      </c>
      <c r="AL126" s="93">
        <f>'Returns per Gal.'!AK133</f>
        <v>2.0651968301775891</v>
      </c>
      <c r="AM126" s="105">
        <f>'Returns per Gal.'!AL133</f>
        <v>0</v>
      </c>
      <c r="AN126" s="104"/>
      <c r="AO126" s="93">
        <f>'Returns per Gal.'!AN133</f>
        <v>0.20030466439976258</v>
      </c>
      <c r="AP126" s="93">
        <f>'Returns per Gal.'!AO133</f>
        <v>4.0586522785504009E-3</v>
      </c>
      <c r="AQ126" s="93">
        <f>'Returns per Gal.'!AP133</f>
        <v>0.26340420717703239</v>
      </c>
      <c r="AR126" s="93">
        <f>'Returns per Gal.'!AQ133</f>
        <v>-0.25934555489848199</v>
      </c>
      <c r="AS126" s="52"/>
      <c r="AU126" s="177">
        <f>'Returns per Bu.'!G133</f>
        <v>3.5542500000000006</v>
      </c>
      <c r="AV126" s="166">
        <f>'Returns per Bu.'!N133</f>
        <v>5.8973781249999977</v>
      </c>
      <c r="AW126" s="166">
        <f>'Returns per Bu.'!O133</f>
        <v>4.3049519904545432</v>
      </c>
      <c r="AX126" s="169">
        <f>'Returns per Bu.'!Z133</f>
        <v>0.22859861354617719</v>
      </c>
      <c r="AY126" s="162">
        <f>'Returns per Bu.'!AF133</f>
        <v>4.2933848314606742</v>
      </c>
      <c r="AZ126" s="165"/>
      <c r="BA126" s="15">
        <f t="shared" ref="BA126" si="10">AY126-BB126</f>
        <v>2.8327106741573034</v>
      </c>
      <c r="BB126" s="93">
        <f>'Returns per Bu.'!AD133</f>
        <v>1.4606741573033708</v>
      </c>
      <c r="BC126" s="93">
        <f t="shared" si="5"/>
        <v>0.99393356987975556</v>
      </c>
    </row>
    <row r="127" spans="1:55" hidden="1" x14ac:dyDescent="0.2">
      <c r="A127" s="8">
        <v>42156</v>
      </c>
      <c r="C127" s="53"/>
      <c r="D127" s="93">
        <v>1.4402272727272736</v>
      </c>
      <c r="E127" s="95">
        <v>148.25</v>
      </c>
      <c r="F127" s="323"/>
      <c r="G127" s="93">
        <v>3.5038715909090898</v>
      </c>
      <c r="H127" s="266">
        <v>4.78</v>
      </c>
      <c r="I127" s="184"/>
      <c r="J127" s="12"/>
      <c r="K127" s="93">
        <f>'Returns per Gal.'!J134</f>
        <v>1.4402272727272736</v>
      </c>
      <c r="L127" s="93">
        <f>'Returns per Gal.'!K134</f>
        <v>0.43954824561403505</v>
      </c>
      <c r="M127" s="93"/>
      <c r="N127" s="93">
        <f>'Returns per Gal.'!M134</f>
        <v>1.8797755183413085</v>
      </c>
      <c r="O127" s="110">
        <f>'Returns per Gal.'!N134</f>
        <v>0</v>
      </c>
      <c r="P127" s="108">
        <f>'Returns per Gal.'!O134</f>
        <v>0</v>
      </c>
      <c r="Q127" s="93">
        <f>'Returns per Gal.'!P134</f>
        <v>1.2294286283891542</v>
      </c>
      <c r="R127" s="93">
        <f>'Returns per Gal.'!Q134</f>
        <v>0.1434</v>
      </c>
      <c r="S127" s="93">
        <f>'Returns per Gal.'!R134</f>
        <v>0.21939999999999998</v>
      </c>
      <c r="T127" s="93">
        <f>'Returns per Gal.'!S134</f>
        <v>1.5922286283891542</v>
      </c>
      <c r="U127" s="93">
        <f>'Returns per Gal.'!T134</f>
        <v>0.19624601212121212</v>
      </c>
      <c r="V127" s="93">
        <f>'Returns per Gal.'!U134</f>
        <v>1.7884746405103664</v>
      </c>
      <c r="W127" s="93">
        <f>'Returns per Gal.'!V134</f>
        <v>1.3489263948963313</v>
      </c>
      <c r="X127" s="105"/>
      <c r="Y127" s="93">
        <f>'Returns per Gal.'!V134</f>
        <v>1.3489263948963313</v>
      </c>
      <c r="Z127" s="93">
        <f>'Returns per Gal.'!Y134</f>
        <v>0.46844688995215433</v>
      </c>
      <c r="AA127" s="93">
        <f>'Returns per Gal.'!Z134</f>
        <v>0.28754688995215427</v>
      </c>
      <c r="AB127" s="93">
        <f>'Returns per Gal.'!AA134</f>
        <v>9.1300877830942095E-2</v>
      </c>
      <c r="AC127" s="80">
        <f>'Returns per Gal.'!AB134</f>
        <v>0</v>
      </c>
      <c r="AD127" s="15">
        <f>'Returns per Gal.'!AC134</f>
        <v>0</v>
      </c>
      <c r="AE127" s="81">
        <f>'Returns per Gal.'!AD134</f>
        <v>0</v>
      </c>
      <c r="AF127" s="93">
        <f>'Returns per Gal.'!AE134</f>
        <v>0.51251724817662137</v>
      </c>
      <c r="AG127" s="93">
        <f>'Returns per Gal.'!AF134</f>
        <v>0.99393356987975556</v>
      </c>
      <c r="AH127" s="93">
        <f>'Returns per Gal.'!AG134</f>
        <v>1.5064508180563769</v>
      </c>
      <c r="AI127" s="105">
        <f>'Returns per Gal.'!AH134</f>
        <v>0</v>
      </c>
      <c r="AJ127" s="104">
        <f>'Returns per Gal.'!AI134</f>
        <v>0</v>
      </c>
      <c r="AK127" s="93">
        <f>'Returns per Gal.'!AJ134</f>
        <v>1.8692508180563769</v>
      </c>
      <c r="AL127" s="93">
        <f>'Returns per Gal.'!AK134</f>
        <v>2.0654968301775889</v>
      </c>
      <c r="AM127" s="105">
        <f>'Returns per Gal.'!AL134</f>
        <v>0</v>
      </c>
      <c r="AN127" s="104"/>
      <c r="AO127" s="93">
        <f>'Returns per Gal.'!AN134</f>
        <v>1.0524700284931576E-2</v>
      </c>
      <c r="AP127" s="93">
        <f>'Returns per Gal.'!AO134</f>
        <v>-0.18572131183628038</v>
      </c>
      <c r="AQ127" s="93">
        <f>'Returns per Gal.'!AP134</f>
        <v>9.1300877830942317E-2</v>
      </c>
      <c r="AR127" s="93">
        <f>'Returns per Gal.'!AQ134</f>
        <v>-0.2770221896672227</v>
      </c>
      <c r="AS127" s="52"/>
      <c r="AU127" s="177">
        <f>'Returns per Bu.'!G134</f>
        <v>3.5038715909090898</v>
      </c>
      <c r="AV127" s="166">
        <f>'Returns per Bu.'!N134</f>
        <v>5.3573602272727303</v>
      </c>
      <c r="AW127" s="166">
        <f>'Returns per Bu.'!O134</f>
        <v>3.7640790927272763</v>
      </c>
      <c r="AX127" s="169">
        <f>'Returns per Bu.'!Z134</f>
        <v>7.9236601083121389E-2</v>
      </c>
      <c r="AY127" s="162">
        <f>'Returns per Bu.'!AF134</f>
        <v>4.2933848314606742</v>
      </c>
      <c r="AZ127" s="165"/>
      <c r="BA127" s="15">
        <f t="shared" ref="BA127" si="11">AY127-BB127</f>
        <v>2.8327106741573034</v>
      </c>
      <c r="BB127" s="93">
        <f>'Returns per Bu.'!AD134</f>
        <v>1.4606741573033708</v>
      </c>
      <c r="BC127" s="93">
        <f t="shared" si="5"/>
        <v>0.99393356987975556</v>
      </c>
    </row>
    <row r="128" spans="1:55" hidden="1" x14ac:dyDescent="0.2">
      <c r="A128" s="8">
        <v>42186</v>
      </c>
      <c r="C128" s="53"/>
      <c r="D128" s="93">
        <v>1.4927272727272729</v>
      </c>
      <c r="E128" s="95">
        <v>141.97727272727272</v>
      </c>
      <c r="F128" s="323"/>
      <c r="G128" s="93">
        <v>3.812727272727273</v>
      </c>
      <c r="H128" s="266">
        <v>5.46</v>
      </c>
      <c r="I128" s="184"/>
      <c r="J128" s="12"/>
      <c r="K128" s="93">
        <f>'Returns per Gal.'!J135</f>
        <v>1.4927272727272729</v>
      </c>
      <c r="L128" s="93">
        <f>'Returns per Gal.'!K135</f>
        <v>0.42095015948963316</v>
      </c>
      <c r="M128" s="93"/>
      <c r="N128" s="93">
        <f>'Returns per Gal.'!M135</f>
        <v>1.9136774322169061</v>
      </c>
      <c r="O128" s="110">
        <f>'Returns per Gal.'!N135</f>
        <v>0</v>
      </c>
      <c r="P128" s="108">
        <f>'Returns per Gal.'!O135</f>
        <v>0</v>
      </c>
      <c r="Q128" s="93">
        <f>'Returns per Gal.'!P135</f>
        <v>1.3377990430622011</v>
      </c>
      <c r="R128" s="93">
        <f>'Returns per Gal.'!Q135</f>
        <v>0.1638</v>
      </c>
      <c r="S128" s="93">
        <f>'Returns per Gal.'!R135</f>
        <v>0.21939999999999998</v>
      </c>
      <c r="T128" s="93">
        <f>'Returns per Gal.'!S135</f>
        <v>1.7209990430622011</v>
      </c>
      <c r="U128" s="93">
        <f>'Returns per Gal.'!T135</f>
        <v>0.19624601212121212</v>
      </c>
      <c r="V128" s="93">
        <f>'Returns per Gal.'!U135</f>
        <v>1.9172450551834133</v>
      </c>
      <c r="W128" s="93">
        <f>'Returns per Gal.'!V135</f>
        <v>1.49629489569378</v>
      </c>
      <c r="X128" s="105"/>
      <c r="Y128" s="93">
        <f>'Returns per Gal.'!V135</f>
        <v>1.49629489569378</v>
      </c>
      <c r="Z128" s="93">
        <f>'Returns per Gal.'!Y135</f>
        <v>0.37357838915470504</v>
      </c>
      <c r="AA128" s="93">
        <f>'Returns per Gal.'!Z135</f>
        <v>0.19267838915470503</v>
      </c>
      <c r="AB128" s="93">
        <f>'Returns per Gal.'!AA135</f>
        <v>-3.5676229665071446E-3</v>
      </c>
      <c r="AC128" s="80">
        <f>'Returns per Gal.'!AB135</f>
        <v>0</v>
      </c>
      <c r="AD128" s="15">
        <f>'Returns per Gal.'!AC135</f>
        <v>0</v>
      </c>
      <c r="AE128" s="81">
        <f>'Returns per Gal.'!AD135</f>
        <v>0</v>
      </c>
      <c r="AF128" s="93">
        <f>'Returns per Gal.'!AE135</f>
        <v>0.51251724817662137</v>
      </c>
      <c r="AG128" s="93">
        <f>'Returns per Gal.'!AF135</f>
        <v>0.99393356987975556</v>
      </c>
      <c r="AH128" s="93">
        <f>'Returns per Gal.'!AG135</f>
        <v>1.5064508180563769</v>
      </c>
      <c r="AI128" s="105">
        <f>'Returns per Gal.'!AH135</f>
        <v>0</v>
      </c>
      <c r="AJ128" s="104">
        <f>'Returns per Gal.'!AI135</f>
        <v>0</v>
      </c>
      <c r="AK128" s="93">
        <f>'Returns per Gal.'!AJ135</f>
        <v>1.8896508180563769</v>
      </c>
      <c r="AL128" s="93">
        <f>'Returns per Gal.'!AK135</f>
        <v>2.0858968301775889</v>
      </c>
      <c r="AM128" s="105">
        <f>'Returns per Gal.'!AL135</f>
        <v>0</v>
      </c>
      <c r="AN128" s="104"/>
      <c r="AO128" s="93">
        <f>'Returns per Gal.'!AN135</f>
        <v>2.4026614160529203E-2</v>
      </c>
      <c r="AP128" s="93">
        <f>'Returns per Gal.'!AO135</f>
        <v>-0.17221939796068275</v>
      </c>
      <c r="AQ128" s="93">
        <f>'Returns per Gal.'!AP135</f>
        <v>-3.5676229665069226E-3</v>
      </c>
      <c r="AR128" s="93">
        <f>'Returns per Gal.'!AQ135</f>
        <v>-0.16865177499417583</v>
      </c>
      <c r="AS128" s="52"/>
      <c r="AU128" s="177">
        <f>'Returns per Bu.'!G135</f>
        <v>3.812727272727273</v>
      </c>
      <c r="AV128" s="166">
        <f>'Returns per Bu.'!N135</f>
        <v>5.453980681818182</v>
      </c>
      <c r="AW128" s="166">
        <f>'Returns per Bu.'!O135</f>
        <v>3.8025595472727276</v>
      </c>
      <c r="AX128" s="169">
        <f>'Returns per Bu.'!Z135</f>
        <v>-3.0962059131079251E-3</v>
      </c>
      <c r="AY128" s="162">
        <f>'Returns per Bu.'!AF135</f>
        <v>4.2933848314606742</v>
      </c>
      <c r="AZ128" s="165"/>
      <c r="BA128" s="15">
        <f t="shared" ref="BA128" si="12">AY128-BB128</f>
        <v>2.8327106741573034</v>
      </c>
      <c r="BB128" s="93">
        <f>'Returns per Bu.'!AD135</f>
        <v>1.4606741573033708</v>
      </c>
      <c r="BC128" s="93">
        <f t="shared" si="5"/>
        <v>0.99393356987975556</v>
      </c>
    </row>
    <row r="129" spans="1:55" hidden="1" x14ac:dyDescent="0.2">
      <c r="A129" s="8">
        <v>42217</v>
      </c>
      <c r="C129" s="53"/>
      <c r="D129" s="93">
        <v>1.4154761904761906</v>
      </c>
      <c r="E129" s="95">
        <v>144.75</v>
      </c>
      <c r="F129" s="323"/>
      <c r="G129" s="93">
        <v>3.5095833333333326</v>
      </c>
      <c r="H129" s="266">
        <v>5.13</v>
      </c>
      <c r="I129" s="184"/>
      <c r="J129" s="12"/>
      <c r="K129" s="93">
        <f>'Returns per Gal.'!J136</f>
        <v>1.4154761904761906</v>
      </c>
      <c r="L129" s="93">
        <f>'Returns per Gal.'!K136</f>
        <v>0.42917105263157884</v>
      </c>
      <c r="M129" s="93"/>
      <c r="N129" s="93">
        <f>'Returns per Gal.'!M136</f>
        <v>1.8446472431077694</v>
      </c>
      <c r="O129" s="110">
        <f>'Returns per Gal.'!N136</f>
        <v>0</v>
      </c>
      <c r="P129" s="108">
        <f>'Returns per Gal.'!O136</f>
        <v>0</v>
      </c>
      <c r="Q129" s="93">
        <f>'Returns per Gal.'!P136</f>
        <v>1.2314327485380114</v>
      </c>
      <c r="R129" s="93">
        <f>'Returns per Gal.'!Q136</f>
        <v>0.15390000000000001</v>
      </c>
      <c r="S129" s="93">
        <f>'Returns per Gal.'!R136</f>
        <v>0.21939999999999998</v>
      </c>
      <c r="T129" s="93">
        <f>'Returns per Gal.'!S136</f>
        <v>1.6047327485380114</v>
      </c>
      <c r="U129" s="93">
        <f>'Returns per Gal.'!T136</f>
        <v>0.19624601212121212</v>
      </c>
      <c r="V129" s="93">
        <f>'Returns per Gal.'!U136</f>
        <v>1.8009787606592236</v>
      </c>
      <c r="W129" s="93">
        <f>'Returns per Gal.'!V136</f>
        <v>1.3718077080276447</v>
      </c>
      <c r="X129" s="105"/>
      <c r="Y129" s="93">
        <f>'Returns per Gal.'!V136</f>
        <v>1.3718077080276447</v>
      </c>
      <c r="Z129" s="93">
        <f>'Returns per Gal.'!Y136</f>
        <v>0.42081449456975795</v>
      </c>
      <c r="AA129" s="93">
        <f>'Returns per Gal.'!Z136</f>
        <v>0.239914494569758</v>
      </c>
      <c r="AB129" s="93">
        <f>'Returns per Gal.'!AA136</f>
        <v>4.366848244854582E-2</v>
      </c>
      <c r="AC129" s="80">
        <f>'Returns per Gal.'!AB136</f>
        <v>0</v>
      </c>
      <c r="AD129" s="15">
        <f>'Returns per Gal.'!AC136</f>
        <v>0</v>
      </c>
      <c r="AE129" s="81">
        <f>'Returns per Gal.'!AD136</f>
        <v>0</v>
      </c>
      <c r="AF129" s="93">
        <f>'Returns per Gal.'!AE136</f>
        <v>0.51251724817662137</v>
      </c>
      <c r="AG129" s="93">
        <f>'Returns per Gal.'!AF136</f>
        <v>0.99393356987975556</v>
      </c>
      <c r="AH129" s="93">
        <f>'Returns per Gal.'!AG136</f>
        <v>1.5064508180563769</v>
      </c>
      <c r="AI129" s="105">
        <f>'Returns per Gal.'!AH136</f>
        <v>0</v>
      </c>
      <c r="AJ129" s="104">
        <f>'Returns per Gal.'!AI136</f>
        <v>0</v>
      </c>
      <c r="AK129" s="93">
        <f>'Returns per Gal.'!AJ136</f>
        <v>1.8797508180563769</v>
      </c>
      <c r="AL129" s="93">
        <f>'Returns per Gal.'!AK136</f>
        <v>2.0759968301775888</v>
      </c>
      <c r="AM129" s="105">
        <f>'Returns per Gal.'!AL136</f>
        <v>0</v>
      </c>
      <c r="AN129" s="104"/>
      <c r="AO129" s="93">
        <f>'Returns per Gal.'!AN136</f>
        <v>-3.5103574948607497E-2</v>
      </c>
      <c r="AP129" s="93">
        <f>'Returns per Gal.'!AO136</f>
        <v>-0.23134958706981945</v>
      </c>
      <c r="AQ129" s="93">
        <f>'Returns per Gal.'!AP136</f>
        <v>4.3668482448546042E-2</v>
      </c>
      <c r="AR129" s="93">
        <f>'Returns per Gal.'!AQ136</f>
        <v>-0.27501806951836549</v>
      </c>
      <c r="AS129" s="52"/>
      <c r="AU129" s="177">
        <f>'Returns per Bu.'!G136</f>
        <v>3.5095833333333326</v>
      </c>
      <c r="AV129" s="166">
        <f>'Returns per Bu.'!N136</f>
        <v>5.2572446428571435</v>
      </c>
      <c r="AW129" s="166">
        <f>'Returns per Bu.'!O136</f>
        <v>3.6340385083116891</v>
      </c>
      <c r="AX129" s="169">
        <f>'Returns per Bu.'!Z136</f>
        <v>3.7898234999314183E-2</v>
      </c>
      <c r="AY129" s="162">
        <f>'Returns per Bu.'!AF136</f>
        <v>4.2933848314606742</v>
      </c>
      <c r="AZ129" s="165"/>
      <c r="BA129" s="15">
        <f t="shared" ref="BA129" si="13">AY129-BB129</f>
        <v>2.8327106741573034</v>
      </c>
      <c r="BB129" s="93">
        <f>'Returns per Bu.'!AD136</f>
        <v>1.4606741573033708</v>
      </c>
      <c r="BC129" s="93">
        <f t="shared" si="5"/>
        <v>0.99393356987975556</v>
      </c>
    </row>
    <row r="130" spans="1:55" hidden="1" x14ac:dyDescent="0.2">
      <c r="A130" s="8">
        <v>42248</v>
      </c>
      <c r="C130" s="53"/>
      <c r="D130" s="93">
        <v>1.4080952380952378</v>
      </c>
      <c r="E130" s="95">
        <v>130.26190476190476</v>
      </c>
      <c r="F130" s="323"/>
      <c r="G130" s="93">
        <v>3.5240476190476202</v>
      </c>
      <c r="H130" s="266">
        <v>6.19</v>
      </c>
      <c r="I130" s="184"/>
      <c r="J130" s="12"/>
      <c r="K130" s="93">
        <f>'Returns per Gal.'!J137</f>
        <v>1.4080952380952378</v>
      </c>
      <c r="L130" s="93">
        <f>'Returns per Gal.'!K137</f>
        <v>0.38621512113617368</v>
      </c>
      <c r="M130" s="93"/>
      <c r="N130" s="93">
        <f>'Returns per Gal.'!M137</f>
        <v>1.7943103592314116</v>
      </c>
      <c r="O130" s="110">
        <f>'Returns per Gal.'!N137</f>
        <v>0</v>
      </c>
      <c r="P130" s="108">
        <f>'Returns per Gal.'!O137</f>
        <v>0</v>
      </c>
      <c r="Q130" s="93">
        <f>'Returns per Gal.'!P137</f>
        <v>1.2365079365079368</v>
      </c>
      <c r="R130" s="93">
        <f>'Returns per Gal.'!Q137</f>
        <v>0.1857</v>
      </c>
      <c r="S130" s="93">
        <f>'Returns per Gal.'!R137</f>
        <v>0.21939999999999998</v>
      </c>
      <c r="T130" s="93">
        <f>'Returns per Gal.'!S137</f>
        <v>1.6416079365079368</v>
      </c>
      <c r="U130" s="93">
        <f>'Returns per Gal.'!T137</f>
        <v>0.19624601212121212</v>
      </c>
      <c r="V130" s="93">
        <f>'Returns per Gal.'!U137</f>
        <v>1.837853948629149</v>
      </c>
      <c r="W130" s="93">
        <f>'Returns per Gal.'!V137</f>
        <v>1.4516388274929752</v>
      </c>
      <c r="X130" s="105"/>
      <c r="Y130" s="93">
        <f>'Returns per Gal.'!V137</f>
        <v>1.4516388274929752</v>
      </c>
      <c r="Z130" s="93">
        <f>'Returns per Gal.'!Y137</f>
        <v>0.33360242272347485</v>
      </c>
      <c r="AA130" s="93">
        <f>'Returns per Gal.'!Z137</f>
        <v>0.15270242272347478</v>
      </c>
      <c r="AB130" s="93">
        <f>'Returns per Gal.'!AA137</f>
        <v>-4.3543589397737392E-2</v>
      </c>
      <c r="AC130" s="80">
        <f>'Returns per Gal.'!AB137</f>
        <v>0</v>
      </c>
      <c r="AD130" s="15">
        <f>'Returns per Gal.'!AC137</f>
        <v>0</v>
      </c>
      <c r="AE130" s="81">
        <f>'Returns per Gal.'!AD137</f>
        <v>0</v>
      </c>
      <c r="AF130" s="93">
        <f>'Returns per Gal.'!AE137</f>
        <v>0.44956140350877194</v>
      </c>
      <c r="AG130" s="93">
        <f>'Returns per Gal.'!AF137</f>
        <v>0.93870614035087707</v>
      </c>
      <c r="AH130" s="93">
        <f>'Returns per Gal.'!AG137</f>
        <v>1.388267543859649</v>
      </c>
      <c r="AI130" s="105">
        <f>'Returns per Gal.'!AH137</f>
        <v>0</v>
      </c>
      <c r="AJ130" s="104">
        <f>'Returns per Gal.'!AI137</f>
        <v>0</v>
      </c>
      <c r="AK130" s="93">
        <f>'Returns per Gal.'!AJ137</f>
        <v>1.793367543859649</v>
      </c>
      <c r="AL130" s="93">
        <f>'Returns per Gal.'!AK137</f>
        <v>1.9896135559808612</v>
      </c>
      <c r="AM130" s="105">
        <f>'Returns per Gal.'!AL137</f>
        <v>0</v>
      </c>
      <c r="AN130" s="104"/>
      <c r="AO130" s="93">
        <f>'Returns per Gal.'!AN137</f>
        <v>9.4281537176255092E-4</v>
      </c>
      <c r="AP130" s="93">
        <f>'Returns per Gal.'!AO137</f>
        <v>-0.19530319674944963</v>
      </c>
      <c r="AQ130" s="93">
        <f>'Returns per Gal.'!AP137</f>
        <v>-4.3543589397737392E-2</v>
      </c>
      <c r="AR130" s="93">
        <f>'Returns per Gal.'!AQ137</f>
        <v>-0.15175960735171223</v>
      </c>
      <c r="AS130" s="52"/>
      <c r="AU130" s="177">
        <f>'Returns per Bu.'!G137</f>
        <v>3.5240476190476202</v>
      </c>
      <c r="AV130" s="166">
        <f>'Returns per Bu.'!N137</f>
        <v>5.1137845238095228</v>
      </c>
      <c r="AW130" s="166">
        <f>'Returns per Bu.'!O137</f>
        <v>3.3999483892640687</v>
      </c>
      <c r="AX130" s="169">
        <f>'Returns per Bu.'!Z137</f>
        <v>-3.7789845013586856E-2</v>
      </c>
      <c r="AY130" s="162">
        <f>'Returns per Bu.'!AF137</f>
        <v>3.9565625</v>
      </c>
      <c r="AZ130" s="165"/>
      <c r="BA130" s="15">
        <f t="shared" ref="BA130:BA131" si="14">AY130-BB130</f>
        <v>2.6753125</v>
      </c>
      <c r="BB130" s="93">
        <f>'Returns per Bu.'!AD137</f>
        <v>1.28125</v>
      </c>
      <c r="BC130" s="93">
        <f t="shared" si="5"/>
        <v>0.93870614035087707</v>
      </c>
    </row>
    <row r="131" spans="1:55" hidden="1" x14ac:dyDescent="0.2">
      <c r="A131" s="8">
        <v>42278</v>
      </c>
      <c r="C131" s="53"/>
      <c r="D131" s="93">
        <v>1.4723809523809526</v>
      </c>
      <c r="E131" s="95">
        <v>110.61904761904762</v>
      </c>
      <c r="F131" s="323"/>
      <c r="G131" s="93">
        <v>3.5657142857142854</v>
      </c>
      <c r="H131" s="266">
        <v>4.57</v>
      </c>
      <c r="I131" s="184"/>
      <c r="J131" s="12"/>
      <c r="K131" s="93">
        <f>'Returns per Gal.'!J138</f>
        <v>1.4723809523809526</v>
      </c>
      <c r="L131" s="93">
        <f>'Returns per Gal.'!K138</f>
        <v>0.32797577276524642</v>
      </c>
      <c r="M131" s="93"/>
      <c r="N131" s="93">
        <f>'Returns per Gal.'!M138</f>
        <v>1.8003567251461989</v>
      </c>
      <c r="O131" s="110">
        <f>'Returns per Gal.'!N138</f>
        <v>0</v>
      </c>
      <c r="P131" s="108">
        <f>'Returns per Gal.'!O138</f>
        <v>0</v>
      </c>
      <c r="Q131" s="93">
        <f>'Returns per Gal.'!P138</f>
        <v>1.251127819548872</v>
      </c>
      <c r="R131" s="93">
        <f>'Returns per Gal.'!Q138</f>
        <v>0.1371</v>
      </c>
      <c r="S131" s="93">
        <f>'Returns per Gal.'!R138</f>
        <v>0.21939999999999998</v>
      </c>
      <c r="T131" s="93">
        <f>'Returns per Gal.'!S138</f>
        <v>1.607627819548872</v>
      </c>
      <c r="U131" s="93">
        <f>'Returns per Gal.'!T138</f>
        <v>0.19624601212121212</v>
      </c>
      <c r="V131" s="93">
        <f>'Returns per Gal.'!U138</f>
        <v>1.8038738316700842</v>
      </c>
      <c r="W131" s="93">
        <f>'Returns per Gal.'!V138</f>
        <v>1.4758980589048378</v>
      </c>
      <c r="X131" s="105"/>
      <c r="Y131" s="93">
        <f>'Returns per Gal.'!V138</f>
        <v>1.4758980589048378</v>
      </c>
      <c r="Z131" s="93">
        <f>'Returns per Gal.'!Y138</f>
        <v>0.37362890559732698</v>
      </c>
      <c r="AA131" s="93">
        <f>'Returns per Gal.'!Z138</f>
        <v>0.19272890559732692</v>
      </c>
      <c r="AB131" s="93">
        <f>'Returns per Gal.'!AA138</f>
        <v>-3.5171065238852606E-3</v>
      </c>
      <c r="AC131" s="80">
        <f>'Returns per Gal.'!AB138</f>
        <v>0</v>
      </c>
      <c r="AD131" s="15">
        <f>'Returns per Gal.'!AC138</f>
        <v>0</v>
      </c>
      <c r="AE131" s="81">
        <f>'Returns per Gal.'!AD138</f>
        <v>0</v>
      </c>
      <c r="AF131" s="93">
        <f>'Returns per Gal.'!AE138</f>
        <v>0.44956140350877194</v>
      </c>
      <c r="AG131" s="93">
        <f>'Returns per Gal.'!AF138</f>
        <v>0.93870614035087707</v>
      </c>
      <c r="AH131" s="93">
        <f>'Returns per Gal.'!AG138</f>
        <v>1.388267543859649</v>
      </c>
      <c r="AI131" s="105">
        <f>'Returns per Gal.'!AH138</f>
        <v>0</v>
      </c>
      <c r="AJ131" s="104">
        <f>'Returns per Gal.'!AI138</f>
        <v>0</v>
      </c>
      <c r="AK131" s="93">
        <f>'Returns per Gal.'!AJ138</f>
        <v>1.7447675438596491</v>
      </c>
      <c r="AL131" s="93">
        <f>'Returns per Gal.'!AK138</f>
        <v>1.9410135559808612</v>
      </c>
      <c r="AM131" s="105">
        <f>'Returns per Gal.'!AL138</f>
        <v>0</v>
      </c>
      <c r="AN131" s="104"/>
      <c r="AO131" s="93">
        <f>'Returns per Gal.'!AN138</f>
        <v>5.5589181286549882E-2</v>
      </c>
      <c r="AP131" s="93">
        <f>'Returns per Gal.'!AO138</f>
        <v>-0.14065683083466229</v>
      </c>
      <c r="AQ131" s="93">
        <f>'Returns per Gal.'!AP138</f>
        <v>-3.5171065238852606E-3</v>
      </c>
      <c r="AR131" s="93">
        <f>'Returns per Gal.'!AQ138</f>
        <v>-0.13713972431077703</v>
      </c>
      <c r="AS131" s="52"/>
      <c r="AU131" s="177">
        <f>'Returns per Bu.'!G138</f>
        <v>3.5657142857142854</v>
      </c>
      <c r="AV131" s="166">
        <f>'Returns per Bu.'!N138</f>
        <v>5.1310166666666666</v>
      </c>
      <c r="AW131" s="166">
        <f>'Returns per Bu.'!O138</f>
        <v>3.5556905321212127</v>
      </c>
      <c r="AX131" s="169">
        <f>'Returns per Bu.'!Z138</f>
        <v>-3.0523645907978843E-3</v>
      </c>
      <c r="AY131" s="162">
        <f>'Returns per Bu.'!AF138</f>
        <v>3.9565625</v>
      </c>
      <c r="AZ131" s="165"/>
      <c r="BA131" s="15">
        <f t="shared" si="14"/>
        <v>2.6753125</v>
      </c>
      <c r="BB131" s="93">
        <f>'Returns per Bu.'!AD138</f>
        <v>1.28125</v>
      </c>
      <c r="BC131" s="93">
        <f t="shared" ref="BC131:BC162" si="15">AG131</f>
        <v>0.93870614035087707</v>
      </c>
    </row>
    <row r="132" spans="1:55" hidden="1" x14ac:dyDescent="0.2">
      <c r="A132" s="8">
        <v>42309</v>
      </c>
      <c r="C132" s="53"/>
      <c r="D132" s="255">
        <v>1.4250000000000007</v>
      </c>
      <c r="E132" s="256">
        <v>116.05</v>
      </c>
      <c r="F132" s="326"/>
      <c r="G132" s="15">
        <v>3.4855312500000002</v>
      </c>
      <c r="H132" s="266">
        <v>5.28</v>
      </c>
      <c r="I132" s="184"/>
      <c r="J132" s="12"/>
      <c r="K132" s="93">
        <f>'Returns per Gal.'!J139</f>
        <v>1.4250000000000007</v>
      </c>
      <c r="L132" s="93">
        <f>'Returns per Gal.'!K139</f>
        <v>0.34407807017543857</v>
      </c>
      <c r="M132" s="93"/>
      <c r="N132" s="93">
        <f>'Returns per Gal.'!M139</f>
        <v>1.7690780701754392</v>
      </c>
      <c r="O132" s="110">
        <f>'Returns per Gal.'!N139</f>
        <v>0</v>
      </c>
      <c r="P132" s="108">
        <f>'Returns per Gal.'!O139</f>
        <v>0</v>
      </c>
      <c r="Q132" s="93">
        <f>'Returns per Gal.'!P139</f>
        <v>1.2229934210526316</v>
      </c>
      <c r="R132" s="93">
        <f>'Returns per Gal.'!Q139</f>
        <v>0.15839999999999999</v>
      </c>
      <c r="S132" s="93">
        <f>'Returns per Gal.'!R139</f>
        <v>0.21939999999999998</v>
      </c>
      <c r="T132" s="93">
        <f>'Returns per Gal.'!S139</f>
        <v>1.6007934210526316</v>
      </c>
      <c r="U132" s="93">
        <f>'Returns per Gal.'!T139</f>
        <v>0.19624601212121212</v>
      </c>
      <c r="V132" s="93">
        <f>'Returns per Gal.'!U139</f>
        <v>1.7970394331738437</v>
      </c>
      <c r="W132" s="93">
        <f>'Returns per Gal.'!V139</f>
        <v>1.4529613629984053</v>
      </c>
      <c r="X132" s="105"/>
      <c r="Y132" s="93">
        <f>'Returns per Gal.'!V139</f>
        <v>1.4529613629984053</v>
      </c>
      <c r="Z132" s="93">
        <f>'Returns per Gal.'!Y139</f>
        <v>0.34918464912280756</v>
      </c>
      <c r="AA132" s="93">
        <f>'Returns per Gal.'!Z139</f>
        <v>0.16828464912280761</v>
      </c>
      <c r="AB132" s="93">
        <f>'Returns per Gal.'!AA139</f>
        <v>-2.7961362998404571E-2</v>
      </c>
      <c r="AC132" s="80">
        <f>'Returns per Gal.'!AB139</f>
        <v>0</v>
      </c>
      <c r="AD132" s="15">
        <f>'Returns per Gal.'!AC139</f>
        <v>0</v>
      </c>
      <c r="AE132" s="81">
        <f>'Returns per Gal.'!AD139</f>
        <v>0</v>
      </c>
      <c r="AF132" s="93">
        <f>'Returns per Gal.'!AE139</f>
        <v>0.44956140350877194</v>
      </c>
      <c r="AG132" s="93">
        <f>'Returns per Gal.'!AF139</f>
        <v>0.93870614035087707</v>
      </c>
      <c r="AH132" s="93">
        <f>'Returns per Gal.'!AG139</f>
        <v>1.388267543859649</v>
      </c>
      <c r="AI132" s="105">
        <f>'Returns per Gal.'!AH139</f>
        <v>0</v>
      </c>
      <c r="AJ132" s="104">
        <f>'Returns per Gal.'!AI139</f>
        <v>0</v>
      </c>
      <c r="AK132" s="93">
        <f>'Returns per Gal.'!AJ139</f>
        <v>1.7660675438596491</v>
      </c>
      <c r="AL132" s="93">
        <f>'Returns per Gal.'!AK139</f>
        <v>1.9623135559808613</v>
      </c>
      <c r="AM132" s="105">
        <f>'Returns per Gal.'!AL139</f>
        <v>0</v>
      </c>
      <c r="AN132" s="104"/>
      <c r="AO132" s="93">
        <f>'Returns per Gal.'!AN139</f>
        <v>3.0105263157900186E-3</v>
      </c>
      <c r="AP132" s="93">
        <f>'Returns per Gal.'!AO139</f>
        <v>-0.19323548580542216</v>
      </c>
      <c r="AQ132" s="93">
        <f>'Returns per Gal.'!AP139</f>
        <v>-2.7961362998404793E-2</v>
      </c>
      <c r="AR132" s="93">
        <f>'Returns per Gal.'!AQ139</f>
        <v>-0.16527412280701737</v>
      </c>
      <c r="AS132" s="52"/>
      <c r="AU132" s="177">
        <f>'Returns per Bu.'!G139</f>
        <v>3.4855312500000002</v>
      </c>
      <c r="AV132" s="166">
        <f>'Returns per Bu.'!N139</f>
        <v>5.041872500000002</v>
      </c>
      <c r="AW132" s="166">
        <f>'Returns per Bu.'!O139</f>
        <v>3.4058413654545481</v>
      </c>
      <c r="AX132" s="169">
        <f>'Returns per Bu.'!Z139</f>
        <v>-2.4266616250364643E-2</v>
      </c>
      <c r="AY132" s="162">
        <f>'Returns per Bu.'!AF139</f>
        <v>3.9565625</v>
      </c>
      <c r="AZ132" s="165"/>
      <c r="BA132" s="15">
        <f t="shared" ref="BA132:BA133" si="16">AY132-BB132</f>
        <v>2.6753125</v>
      </c>
      <c r="BB132" s="93">
        <f>'Returns per Bu.'!AD139</f>
        <v>1.28125</v>
      </c>
      <c r="BC132" s="93">
        <f t="shared" si="15"/>
        <v>0.93870614035087707</v>
      </c>
    </row>
    <row r="133" spans="1:55" hidden="1" x14ac:dyDescent="0.2">
      <c r="A133" s="68">
        <v>42339</v>
      </c>
      <c r="B133" s="29"/>
      <c r="C133" s="56"/>
      <c r="D133" s="97">
        <v>1.3475000000000001</v>
      </c>
      <c r="E133" s="258">
        <v>120.23863636363636</v>
      </c>
      <c r="F133" s="327"/>
      <c r="G133" s="65">
        <v>3.5268181818181814</v>
      </c>
      <c r="H133" s="259">
        <v>4.62</v>
      </c>
      <c r="I133" s="187"/>
      <c r="J133" s="188"/>
      <c r="K133" s="97">
        <f>'Returns per Gal.'!J140</f>
        <v>1.3475000000000001</v>
      </c>
      <c r="L133" s="97">
        <f>'Returns per Gal.'!K140</f>
        <v>0.35649700956937791</v>
      </c>
      <c r="M133" s="97"/>
      <c r="N133" s="97">
        <f>'Returns per Gal.'!M140</f>
        <v>1.7039970095693779</v>
      </c>
      <c r="O133" s="113">
        <f>'Returns per Gal.'!N140</f>
        <v>0</v>
      </c>
      <c r="P133" s="111">
        <f>'Returns per Gal.'!O140</f>
        <v>0</v>
      </c>
      <c r="Q133" s="97">
        <f>'Returns per Gal.'!P140</f>
        <v>1.2374800637958532</v>
      </c>
      <c r="R133" s="97">
        <f>'Returns per Gal.'!Q140</f>
        <v>0.1386</v>
      </c>
      <c r="S133" s="97">
        <f>'Returns per Gal.'!R140</f>
        <v>0.21939999999999998</v>
      </c>
      <c r="T133" s="97">
        <f>'Returns per Gal.'!S140</f>
        <v>1.5954800637958533</v>
      </c>
      <c r="U133" s="97">
        <f>'Returns per Gal.'!T140</f>
        <v>0.19624601212121212</v>
      </c>
      <c r="V133" s="97">
        <f>'Returns per Gal.'!U140</f>
        <v>1.7917260759170655</v>
      </c>
      <c r="W133" s="97">
        <f>'Returns per Gal.'!V140</f>
        <v>1.4352290663476874</v>
      </c>
      <c r="X133" s="107"/>
      <c r="Y133" s="97">
        <f>'Returns per Gal.'!V140</f>
        <v>1.4352290663476874</v>
      </c>
      <c r="Z133" s="97">
        <f>'Returns per Gal.'!Y140</f>
        <v>0.28941694577352478</v>
      </c>
      <c r="AA133" s="97">
        <f>'Returns per Gal.'!Z140</f>
        <v>0.10851694577352466</v>
      </c>
      <c r="AB133" s="97">
        <f>'Returns per Gal.'!AA140</f>
        <v>-8.7729066347687512E-2</v>
      </c>
      <c r="AC133" s="82">
        <f>'Returns per Gal.'!AB140</f>
        <v>0</v>
      </c>
      <c r="AD133" s="65">
        <f>'Returns per Gal.'!AC140</f>
        <v>0</v>
      </c>
      <c r="AE133" s="83">
        <f>'Returns per Gal.'!AD140</f>
        <v>0</v>
      </c>
      <c r="AF133" s="97">
        <f>'Returns per Gal.'!AE140</f>
        <v>0.44956140350877194</v>
      </c>
      <c r="AG133" s="97">
        <f>'Returns per Gal.'!AF140</f>
        <v>0.93870614035087707</v>
      </c>
      <c r="AH133" s="97">
        <f>'Returns per Gal.'!AG140</f>
        <v>1.388267543859649</v>
      </c>
      <c r="AI133" s="107">
        <f>'Returns per Gal.'!AH140</f>
        <v>0</v>
      </c>
      <c r="AJ133" s="106">
        <f>'Returns per Gal.'!AI140</f>
        <v>0</v>
      </c>
      <c r="AK133" s="97">
        <f>'Returns per Gal.'!AJ140</f>
        <v>1.7462675438596491</v>
      </c>
      <c r="AL133" s="97">
        <f>'Returns per Gal.'!AK140</f>
        <v>1.9425135559808613</v>
      </c>
      <c r="AM133" s="107">
        <f>'Returns per Gal.'!AL140</f>
        <v>0</v>
      </c>
      <c r="AN133" s="106"/>
      <c r="AO133" s="97">
        <f>'Returns per Gal.'!AN140</f>
        <v>-4.2270534290271167E-2</v>
      </c>
      <c r="AP133" s="97">
        <f>'Returns per Gal.'!AO140</f>
        <v>-0.23851654641148334</v>
      </c>
      <c r="AQ133" s="97">
        <f>'Returns per Gal.'!AP140</f>
        <v>-8.7729066347687512E-2</v>
      </c>
      <c r="AR133" s="97">
        <f>'Returns per Gal.'!AQ140</f>
        <v>-0.15078748006379583</v>
      </c>
      <c r="AS133" s="64"/>
      <c r="AT133" s="29"/>
      <c r="AU133" s="178">
        <f>'Returns per Bu.'!G140</f>
        <v>3.5268181818181814</v>
      </c>
      <c r="AV133" s="167">
        <f>'Returns per Bu.'!N140</f>
        <v>4.8563914772727275</v>
      </c>
      <c r="AW133" s="167">
        <f>'Returns per Bu.'!O140</f>
        <v>3.2767903427272733</v>
      </c>
      <c r="AX133" s="170">
        <f>'Returns per Bu.'!Z140</f>
        <v>-7.6136760113718185E-2</v>
      </c>
      <c r="AY133" s="163">
        <f>'Returns per Bu.'!AF140</f>
        <v>3.9565625</v>
      </c>
      <c r="AZ133" s="164"/>
      <c r="BA133" s="15">
        <f t="shared" si="16"/>
        <v>2.6753125</v>
      </c>
      <c r="BB133" s="93">
        <f>'Returns per Bu.'!AD140</f>
        <v>1.28125</v>
      </c>
      <c r="BC133" s="93">
        <f t="shared" si="15"/>
        <v>0.93870614035087707</v>
      </c>
    </row>
    <row r="134" spans="1:55" x14ac:dyDescent="0.2">
      <c r="A134" s="21">
        <v>42370</v>
      </c>
      <c r="C134" s="53"/>
      <c r="D134" s="93">
        <v>1.2348157845798291</v>
      </c>
      <c r="E134" s="95">
        <v>121.73684210526316</v>
      </c>
      <c r="F134" s="319">
        <v>0.2429</v>
      </c>
      <c r="G134" s="93">
        <v>3.4529276250538077</v>
      </c>
      <c r="H134" s="266">
        <v>5.01</v>
      </c>
      <c r="I134" s="184"/>
      <c r="J134" s="12"/>
      <c r="K134" s="93">
        <f>'Returns per Gal.'!J141</f>
        <v>1.2348157845798291</v>
      </c>
      <c r="L134" s="93">
        <f>'Returns per Gal.'!K141</f>
        <v>0.35026038781163438</v>
      </c>
      <c r="M134" s="93">
        <f>'Returns per Gal.'!L141</f>
        <v>5.5398245614035085E-2</v>
      </c>
      <c r="N134" s="93">
        <f>'Returns per Gal.'!M141</f>
        <v>1.6404744180054986</v>
      </c>
      <c r="O134" s="110">
        <f>'Returns per Gal.'!N141</f>
        <v>0</v>
      </c>
      <c r="P134" s="108">
        <f>'Returns per Gal.'!O141</f>
        <v>0</v>
      </c>
      <c r="Q134" s="93">
        <f>'Returns per Gal.'!P141</f>
        <v>1.2115535526504588</v>
      </c>
      <c r="R134" s="93">
        <f>'Returns per Gal.'!Q141</f>
        <v>0.15029999999999999</v>
      </c>
      <c r="S134" s="93">
        <f>'Returns per Gal.'!R141</f>
        <v>0.21939999999999998</v>
      </c>
      <c r="T134" s="93">
        <f>'Returns per Gal.'!S141</f>
        <v>1.5812535526504587</v>
      </c>
      <c r="U134" s="93">
        <f>'Returns per Gal.'!T141</f>
        <v>0.19624601212121212</v>
      </c>
      <c r="V134" s="93">
        <f>'Returns per Gal.'!U141</f>
        <v>1.7774995647716709</v>
      </c>
      <c r="W134" s="93">
        <f>'Returns per Gal.'!V141</f>
        <v>1.3718409313460014</v>
      </c>
      <c r="X134" s="105"/>
      <c r="Y134" s="93">
        <f>'Returns per Gal.'!V141</f>
        <v>1.3718409313460014</v>
      </c>
      <c r="Z134" s="93">
        <f>'Returns per Gal.'!Y141</f>
        <v>0.24012086535503982</v>
      </c>
      <c r="AA134" s="93">
        <f>'Returns per Gal.'!Z141</f>
        <v>5.9220865355039898E-2</v>
      </c>
      <c r="AB134" s="93">
        <f>'Returns per Gal.'!AA141</f>
        <v>-0.13702514676617228</v>
      </c>
      <c r="AC134" s="80">
        <f>'Returns per Gal.'!AB141</f>
        <v>0</v>
      </c>
      <c r="AD134" s="15">
        <f>'Returns per Gal.'!AC141</f>
        <v>0</v>
      </c>
      <c r="AE134" s="81">
        <f>'Returns per Gal.'!AD141</f>
        <v>0</v>
      </c>
      <c r="AF134" s="93">
        <f>'Returns per Gal.'!AE141</f>
        <v>0.44956140350877194</v>
      </c>
      <c r="AG134" s="93">
        <f>'Returns per Gal.'!AF141</f>
        <v>0.93870614035087707</v>
      </c>
      <c r="AH134" s="93">
        <f>'Returns per Gal.'!AG141</f>
        <v>1.388267543859649</v>
      </c>
      <c r="AI134" s="105">
        <f>'Returns per Gal.'!AH141</f>
        <v>0</v>
      </c>
      <c r="AJ134" s="104">
        <f>'Returns per Gal.'!AI141</f>
        <v>0</v>
      </c>
      <c r="AK134" s="93">
        <f>'Returns per Gal.'!AJ141</f>
        <v>1.7579675438596489</v>
      </c>
      <c r="AL134" s="93">
        <f>'Returns per Gal.'!AK141</f>
        <v>1.9542135559808611</v>
      </c>
      <c r="AM134" s="105">
        <f>'Returns per Gal.'!AL141</f>
        <v>0</v>
      </c>
      <c r="AN134" s="104"/>
      <c r="AO134" s="93">
        <f>'Returns per Gal.'!AN141</f>
        <v>-0.11749312585415028</v>
      </c>
      <c r="AP134" s="93">
        <f>'Returns per Gal.'!AO141</f>
        <v>-0.31373913797536246</v>
      </c>
      <c r="AQ134" s="93">
        <f>'Returns per Gal.'!AP141</f>
        <v>-0.13702514676617228</v>
      </c>
      <c r="AR134" s="93">
        <f>'Returns per Gal.'!AQ141</f>
        <v>-0.17671399120919018</v>
      </c>
      <c r="AS134" s="52"/>
      <c r="AU134" s="177">
        <f>'Returns per Bu.'!G141</f>
        <v>3.4529276250538077</v>
      </c>
      <c r="AV134" s="166">
        <f>'Returns per Bu.'!N141</f>
        <v>4.6753520913156708</v>
      </c>
      <c r="AW134" s="166">
        <f>'Returns per Bu.'!O141</f>
        <v>3.0624059567702169</v>
      </c>
      <c r="AX134" s="169">
        <f>'Returns per Bu.'!Z141</f>
        <v>-0.11891897592454129</v>
      </c>
      <c r="AY134" s="162">
        <f>'Returns per Bu.'!AF141</f>
        <v>3.9565625</v>
      </c>
      <c r="AZ134" s="165"/>
      <c r="BA134" s="15">
        <f t="shared" ref="BA134" si="17">AY134-BB134</f>
        <v>2.6753125</v>
      </c>
      <c r="BB134" s="93">
        <f>'Returns per Bu.'!AD141</f>
        <v>1.28125</v>
      </c>
      <c r="BC134" s="93">
        <f t="shared" si="15"/>
        <v>0.93870614035087707</v>
      </c>
    </row>
    <row r="135" spans="1:55" x14ac:dyDescent="0.2">
      <c r="A135" s="8">
        <v>42401</v>
      </c>
      <c r="C135" s="53"/>
      <c r="D135" s="93">
        <v>1.3037500083446503</v>
      </c>
      <c r="E135" s="95">
        <v>122.6</v>
      </c>
      <c r="F135" s="319">
        <v>0.255</v>
      </c>
      <c r="G135" s="93">
        <v>3.4756249994039536</v>
      </c>
      <c r="H135" s="266">
        <v>4.3600000000000003</v>
      </c>
      <c r="I135" s="184"/>
      <c r="J135" s="12"/>
      <c r="K135" s="93">
        <f>'Returns per Gal.'!J142</f>
        <v>1.3037500083446503</v>
      </c>
      <c r="L135" s="93">
        <f>'Returns per Gal.'!K142</f>
        <v>0.3527438596491228</v>
      </c>
      <c r="M135" s="93">
        <f>'Returns per Gal.'!L142</f>
        <v>5.815789473684211E-2</v>
      </c>
      <c r="N135" s="93">
        <f>'Returns per Gal.'!M142</f>
        <v>1.7146517627306153</v>
      </c>
      <c r="O135" s="110">
        <f>'Returns per Gal.'!N142</f>
        <v>0</v>
      </c>
      <c r="P135" s="108">
        <f>'Returns per Gal.'!O142</f>
        <v>0</v>
      </c>
      <c r="Q135" s="93">
        <f>'Returns per Gal.'!P142</f>
        <v>1.2195175436505099</v>
      </c>
      <c r="R135" s="93">
        <f>'Returns per Gal.'!Q142</f>
        <v>0.1308</v>
      </c>
      <c r="S135" s="93">
        <f>'Returns per Gal.'!R142</f>
        <v>0.21939999999999998</v>
      </c>
      <c r="T135" s="93">
        <f>'Returns per Gal.'!S142</f>
        <v>1.56971754365051</v>
      </c>
      <c r="U135" s="93">
        <f>'Returns per Gal.'!T142</f>
        <v>0.19624601212121212</v>
      </c>
      <c r="V135" s="93">
        <f>'Returns per Gal.'!U142</f>
        <v>1.7659635557717221</v>
      </c>
      <c r="W135" s="93">
        <f>'Returns per Gal.'!V142</f>
        <v>1.3550618013857572</v>
      </c>
      <c r="X135" s="105"/>
      <c r="Y135" s="93">
        <f>'Returns per Gal.'!V142</f>
        <v>1.3550618013857572</v>
      </c>
      <c r="Z135" s="93">
        <f>'Returns per Gal.'!Y142</f>
        <v>0.32583421908010535</v>
      </c>
      <c r="AA135" s="93">
        <f>'Returns per Gal.'!Z142</f>
        <v>0.14493421908010529</v>
      </c>
      <c r="AB135" s="93">
        <f>'Returns per Gal.'!AA142</f>
        <v>-5.131179304110689E-2</v>
      </c>
      <c r="AC135" s="80">
        <f>'Returns per Gal.'!AB142</f>
        <v>0</v>
      </c>
      <c r="AD135" s="15">
        <f>'Returns per Gal.'!AC142</f>
        <v>0</v>
      </c>
      <c r="AE135" s="81">
        <f>'Returns per Gal.'!AD142</f>
        <v>0</v>
      </c>
      <c r="AF135" s="93">
        <f>'Returns per Gal.'!AE142</f>
        <v>0.44956140350877194</v>
      </c>
      <c r="AG135" s="93">
        <f>'Returns per Gal.'!AF142</f>
        <v>0.93870614035087707</v>
      </c>
      <c r="AH135" s="93">
        <f>'Returns per Gal.'!AG142</f>
        <v>1.388267543859649</v>
      </c>
      <c r="AI135" s="105">
        <f>'Returns per Gal.'!AH142</f>
        <v>0</v>
      </c>
      <c r="AJ135" s="104">
        <f>'Returns per Gal.'!AI142</f>
        <v>0</v>
      </c>
      <c r="AK135" s="93">
        <f>'Returns per Gal.'!AJ142</f>
        <v>1.7384675438596491</v>
      </c>
      <c r="AL135" s="93">
        <f>'Returns per Gal.'!AK142</f>
        <v>1.9347135559808613</v>
      </c>
      <c r="AM135" s="105">
        <f>'Returns per Gal.'!AL142</f>
        <v>0</v>
      </c>
      <c r="AN135" s="104"/>
      <c r="AO135" s="93">
        <f>'Returns per Gal.'!AN142</f>
        <v>-2.3815781129033819E-2</v>
      </c>
      <c r="AP135" s="93">
        <f>'Returns per Gal.'!AO142</f>
        <v>-0.220061793250246</v>
      </c>
      <c r="AQ135" s="93">
        <f>'Returns per Gal.'!AP142</f>
        <v>-5.131179304110689E-2</v>
      </c>
      <c r="AR135" s="93">
        <f>'Returns per Gal.'!AQ142</f>
        <v>-0.16875000020913911</v>
      </c>
      <c r="AS135" s="52"/>
      <c r="AU135" s="177">
        <f>'Returns per Bu.'!G142</f>
        <v>3.4756249994039536</v>
      </c>
      <c r="AV135" s="166">
        <f>'Returns per Bu.'!N142</f>
        <v>4.8867575237822534</v>
      </c>
      <c r="AW135" s="166">
        <f>'Returns per Bu.'!O142</f>
        <v>3.3293863892367992</v>
      </c>
      <c r="AX135" s="169">
        <f>'Returns per Bu.'!Z142</f>
        <v>-4.4531577052153409E-2</v>
      </c>
      <c r="AY135" s="162">
        <f>'Returns per Bu.'!AF142</f>
        <v>3.9565625</v>
      </c>
      <c r="AZ135" s="165"/>
      <c r="BA135" s="15">
        <f t="shared" ref="BA135:BA136" si="18">AY135-BB135</f>
        <v>2.6753125</v>
      </c>
      <c r="BB135" s="93">
        <f>'Returns per Bu.'!AD142</f>
        <v>1.28125</v>
      </c>
      <c r="BC135" s="93">
        <f t="shared" si="15"/>
        <v>0.93870614035087707</v>
      </c>
    </row>
    <row r="136" spans="1:55" x14ac:dyDescent="0.2">
      <c r="A136" s="8">
        <v>42430</v>
      </c>
      <c r="C136" s="53"/>
      <c r="D136" s="93">
        <v>1.272826085401618</v>
      </c>
      <c r="E136" s="95">
        <v>123.98913043478261</v>
      </c>
      <c r="F136" s="319">
        <v>0.27989999999999998</v>
      </c>
      <c r="G136" s="93">
        <v>3.4381521688336911</v>
      </c>
      <c r="H136" s="266">
        <v>4.8600000000000003</v>
      </c>
      <c r="I136" s="184"/>
      <c r="J136" s="12"/>
      <c r="K136" s="93">
        <f>'Returns per Gal.'!J143</f>
        <v>1.272826085401618</v>
      </c>
      <c r="L136" s="93">
        <f>'Returns per Gal.'!K143</f>
        <v>0.35674065598779559</v>
      </c>
      <c r="M136" s="93">
        <f>'Returns per Gal.'!L143</f>
        <v>6.383684210526315E-2</v>
      </c>
      <c r="N136" s="93">
        <f>'Returns per Gal.'!M143</f>
        <v>1.6934035834946766</v>
      </c>
      <c r="O136" s="110">
        <f>'Returns per Gal.'!N143</f>
        <v>0</v>
      </c>
      <c r="P136" s="108">
        <f>'Returns per Gal.'!O143</f>
        <v>0</v>
      </c>
      <c r="Q136" s="93">
        <f>'Returns per Gal.'!P143</f>
        <v>1.2063691820469091</v>
      </c>
      <c r="R136" s="93">
        <f>'Returns per Gal.'!Q143</f>
        <v>0.14580000000000001</v>
      </c>
      <c r="S136" s="93">
        <f>'Returns per Gal.'!R143</f>
        <v>0.21939999999999998</v>
      </c>
      <c r="T136" s="93">
        <f>'Returns per Gal.'!S143</f>
        <v>1.5715691820469091</v>
      </c>
      <c r="U136" s="93">
        <f>'Returns per Gal.'!T143</f>
        <v>0.19624601212121212</v>
      </c>
      <c r="V136" s="93">
        <f>'Returns per Gal.'!U143</f>
        <v>1.7678151941681213</v>
      </c>
      <c r="W136" s="93">
        <f>'Returns per Gal.'!V143</f>
        <v>1.3472376960750627</v>
      </c>
      <c r="X136" s="105"/>
      <c r="Y136" s="93">
        <f>'Returns per Gal.'!V143</f>
        <v>1.3472376960750627</v>
      </c>
      <c r="Z136" s="93">
        <f>'Returns per Gal.'!Y143</f>
        <v>0.30273440144776742</v>
      </c>
      <c r="AA136" s="93">
        <f>'Returns per Gal.'!Z143</f>
        <v>0.12183440144776747</v>
      </c>
      <c r="AB136" s="93">
        <f>'Returns per Gal.'!AA143</f>
        <v>-7.4411610673444706E-2</v>
      </c>
      <c r="AC136" s="80">
        <f>'Returns per Gal.'!AB143</f>
        <v>0</v>
      </c>
      <c r="AD136" s="15">
        <f>'Returns per Gal.'!AC143</f>
        <v>0</v>
      </c>
      <c r="AE136" s="81">
        <f>'Returns per Gal.'!AD143</f>
        <v>0</v>
      </c>
      <c r="AF136" s="93">
        <f>'Returns per Gal.'!AE143</f>
        <v>0.44956140350877194</v>
      </c>
      <c r="AG136" s="93">
        <f>'Returns per Gal.'!AF143</f>
        <v>0.93870614035087707</v>
      </c>
      <c r="AH136" s="93">
        <f>'Returns per Gal.'!AG143</f>
        <v>1.388267543859649</v>
      </c>
      <c r="AI136" s="105">
        <f>'Returns per Gal.'!AH143</f>
        <v>0</v>
      </c>
      <c r="AJ136" s="104">
        <f>'Returns per Gal.'!AI143</f>
        <v>0</v>
      </c>
      <c r="AK136" s="93">
        <f>'Returns per Gal.'!AJ143</f>
        <v>1.753467543859649</v>
      </c>
      <c r="AL136" s="93">
        <f>'Returns per Gal.'!AK143</f>
        <v>1.9497135559808612</v>
      </c>
      <c r="AM136" s="105">
        <f>'Returns per Gal.'!AL143</f>
        <v>0</v>
      </c>
      <c r="AN136" s="104"/>
      <c r="AO136" s="93">
        <f>'Returns per Gal.'!AN143</f>
        <v>-6.0063960364972413E-2</v>
      </c>
      <c r="AP136" s="93">
        <f>'Returns per Gal.'!AO143</f>
        <v>-0.25630997248618459</v>
      </c>
      <c r="AQ136" s="93">
        <f>'Returns per Gal.'!AP143</f>
        <v>-7.4411610673444706E-2</v>
      </c>
      <c r="AR136" s="93">
        <f>'Returns per Gal.'!AQ143</f>
        <v>-0.18189836181273988</v>
      </c>
      <c r="AS136" s="52"/>
      <c r="AU136" s="177">
        <f>'Returns per Bu.'!G143</f>
        <v>3.4381521688336911</v>
      </c>
      <c r="AV136" s="166">
        <f>'Returns per Bu.'!N143</f>
        <v>4.8262002129598285</v>
      </c>
      <c r="AW136" s="166">
        <f>'Returns per Bu.'!O143</f>
        <v>3.2260790784143745</v>
      </c>
      <c r="AX136" s="169">
        <f>'Returns per Bu.'!Z143</f>
        <v>-6.4579040760175593E-2</v>
      </c>
      <c r="AY136" s="162">
        <f>'Returns per Bu.'!AF143</f>
        <v>3.9565625</v>
      </c>
      <c r="AZ136" s="165"/>
      <c r="BA136" s="15">
        <f t="shared" si="18"/>
        <v>2.6753125</v>
      </c>
      <c r="BB136" s="93">
        <f>'Returns per Bu.'!AD143</f>
        <v>1.28125</v>
      </c>
      <c r="BC136" s="93">
        <f t="shared" si="15"/>
        <v>0.93870614035087707</v>
      </c>
    </row>
    <row r="137" spans="1:55" x14ac:dyDescent="0.2">
      <c r="A137" s="8">
        <v>42461</v>
      </c>
      <c r="C137" s="53"/>
      <c r="D137" s="93">
        <v>1.4169047531627474</v>
      </c>
      <c r="E137" s="95">
        <v>115.80952380952381</v>
      </c>
      <c r="F137" s="319">
        <v>0.30049999999999999</v>
      </c>
      <c r="G137" s="93">
        <v>3.4765476158687045</v>
      </c>
      <c r="H137" s="266">
        <v>4.4400000000000004</v>
      </c>
      <c r="I137" s="184"/>
      <c r="J137" s="12"/>
      <c r="K137" s="93">
        <f>'Returns per Gal.'!J144</f>
        <v>1.4169047531627474</v>
      </c>
      <c r="L137" s="93">
        <f>'Returns per Gal.'!K144</f>
        <v>0.33320634920634917</v>
      </c>
      <c r="M137" s="93">
        <f>'Returns per Gal.'!L144</f>
        <v>6.8535087719298241E-2</v>
      </c>
      <c r="N137" s="93">
        <f>'Returns per Gal.'!M144</f>
        <v>1.818646190088395</v>
      </c>
      <c r="O137" s="110">
        <f>'Returns per Gal.'!N144</f>
        <v>0</v>
      </c>
      <c r="P137" s="108">
        <f>'Returns per Gal.'!O144</f>
        <v>0</v>
      </c>
      <c r="Q137" s="93">
        <f>'Returns per Gal.'!P144</f>
        <v>1.2198412687258613</v>
      </c>
      <c r="R137" s="93">
        <f>'Returns per Gal.'!Q144</f>
        <v>0.13320000000000001</v>
      </c>
      <c r="S137" s="93">
        <f>'Returns per Gal.'!R144</f>
        <v>0.21939999999999998</v>
      </c>
      <c r="T137" s="93">
        <f>'Returns per Gal.'!S144</f>
        <v>1.5724412687258613</v>
      </c>
      <c r="U137" s="93">
        <f>'Returns per Gal.'!T144</f>
        <v>0.19624601212121212</v>
      </c>
      <c r="V137" s="93">
        <f>'Returns per Gal.'!U144</f>
        <v>1.7686872808470735</v>
      </c>
      <c r="W137" s="93">
        <f>'Returns per Gal.'!V144</f>
        <v>1.3669458439214259</v>
      </c>
      <c r="X137" s="105"/>
      <c r="Y137" s="93">
        <f>'Returns per Gal.'!V144</f>
        <v>1.3669458439214259</v>
      </c>
      <c r="Z137" s="93">
        <f>'Returns per Gal.'!Y144</f>
        <v>0.42710492136253375</v>
      </c>
      <c r="AA137" s="93">
        <f>'Returns per Gal.'!Z144</f>
        <v>0.24620492136253369</v>
      </c>
      <c r="AB137" s="93">
        <f>'Returns per Gal.'!AA144</f>
        <v>4.9958909241321514E-2</v>
      </c>
      <c r="AC137" s="80">
        <f>'Returns per Gal.'!AB144</f>
        <v>0</v>
      </c>
      <c r="AD137" s="15">
        <f>'Returns per Gal.'!AC144</f>
        <v>0</v>
      </c>
      <c r="AE137" s="81">
        <f>'Returns per Gal.'!AD144</f>
        <v>0</v>
      </c>
      <c r="AF137" s="93">
        <f>'Returns per Gal.'!AE144</f>
        <v>0.44956140350877194</v>
      </c>
      <c r="AG137" s="93">
        <f>'Returns per Gal.'!AF144</f>
        <v>0.93870614035087707</v>
      </c>
      <c r="AH137" s="93">
        <f>'Returns per Gal.'!AG144</f>
        <v>1.388267543859649</v>
      </c>
      <c r="AI137" s="105">
        <f>'Returns per Gal.'!AH144</f>
        <v>0</v>
      </c>
      <c r="AJ137" s="104">
        <f>'Returns per Gal.'!AI144</f>
        <v>0</v>
      </c>
      <c r="AK137" s="93">
        <f>'Returns per Gal.'!AJ144</f>
        <v>1.740867543859649</v>
      </c>
      <c r="AL137" s="93">
        <f>'Returns per Gal.'!AK144</f>
        <v>1.9371135559808612</v>
      </c>
      <c r="AM137" s="105">
        <f>'Returns per Gal.'!AL144</f>
        <v>0</v>
      </c>
      <c r="AN137" s="104"/>
      <c r="AO137" s="93">
        <f>'Returns per Gal.'!AN144</f>
        <v>7.7778646228745973E-2</v>
      </c>
      <c r="AP137" s="93">
        <f>'Returns per Gal.'!AO144</f>
        <v>-0.1184673658924662</v>
      </c>
      <c r="AQ137" s="93">
        <f>'Returns per Gal.'!AP144</f>
        <v>4.9958909241321514E-2</v>
      </c>
      <c r="AR137" s="93">
        <f>'Returns per Gal.'!AQ144</f>
        <v>-0.16842627513378772</v>
      </c>
      <c r="AS137" s="52"/>
      <c r="AU137" s="177">
        <f>'Returns per Bu.'!G144</f>
        <v>3.4765476158687045</v>
      </c>
      <c r="AV137" s="166">
        <f>'Returns per Bu.'!N144</f>
        <v>5.1831416417519254</v>
      </c>
      <c r="AW137" s="166">
        <f>'Returns per Bu.'!O144</f>
        <v>3.6189305072064712</v>
      </c>
      <c r="AX137" s="169">
        <f>'Returns per Bu.'!Z144</f>
        <v>4.3357460039238287E-2</v>
      </c>
      <c r="AY137" s="162">
        <f>'Returns per Bu.'!AF144</f>
        <v>3.9565625</v>
      </c>
      <c r="AZ137" s="165"/>
      <c r="BA137" s="15">
        <f t="shared" ref="BA137:BA138" si="19">AY137-BB137</f>
        <v>2.6753125</v>
      </c>
      <c r="BB137" s="93">
        <f>'Returns per Bu.'!AD144</f>
        <v>1.28125</v>
      </c>
      <c r="BC137" s="93">
        <f t="shared" si="15"/>
        <v>0.93870614035087707</v>
      </c>
    </row>
    <row r="138" spans="1:55" x14ac:dyDescent="0.2">
      <c r="A138" s="8">
        <v>42491</v>
      </c>
      <c r="C138" s="53"/>
      <c r="D138" s="93">
        <v>1.4661904602959042</v>
      </c>
      <c r="E138" s="95">
        <v>132.0952380952381</v>
      </c>
      <c r="F138" s="319">
        <v>0.30760000000000004</v>
      </c>
      <c r="G138" s="93">
        <v>3.607440488792601</v>
      </c>
      <c r="H138" s="266">
        <v>4.07</v>
      </c>
      <c r="I138" s="184"/>
      <c r="J138" s="12"/>
      <c r="K138" s="93">
        <f>'Returns per Gal.'!J145</f>
        <v>1.4661904602959042</v>
      </c>
      <c r="L138" s="93">
        <f>'Returns per Gal.'!K145</f>
        <v>0.38006349206349205</v>
      </c>
      <c r="M138" s="93">
        <f>'Returns per Gal.'!L145</f>
        <v>7.0154385964912289E-2</v>
      </c>
      <c r="N138" s="93">
        <f>'Returns per Gal.'!M145</f>
        <v>1.9164083383243085</v>
      </c>
      <c r="O138" s="110">
        <f>'Returns per Gal.'!N145</f>
        <v>0</v>
      </c>
      <c r="P138" s="108">
        <f>'Returns per Gal.'!O145</f>
        <v>0</v>
      </c>
      <c r="Q138" s="93">
        <f>'Returns per Gal.'!P145</f>
        <v>1.2657685925588074</v>
      </c>
      <c r="R138" s="93">
        <f>'Returns per Gal.'!Q145</f>
        <v>0.12210000000000001</v>
      </c>
      <c r="S138" s="93">
        <f>'Returns per Gal.'!R145</f>
        <v>0.21939999999999998</v>
      </c>
      <c r="T138" s="93">
        <f>'Returns per Gal.'!S145</f>
        <v>1.6072685925588075</v>
      </c>
      <c r="U138" s="93">
        <f>'Returns per Gal.'!T145</f>
        <v>0.19624601212121212</v>
      </c>
      <c r="V138" s="93">
        <f>'Returns per Gal.'!U145</f>
        <v>1.8035146046800197</v>
      </c>
      <c r="W138" s="93">
        <f>'Returns per Gal.'!V145</f>
        <v>1.3532967266516154</v>
      </c>
      <c r="X138" s="105"/>
      <c r="Y138" s="93">
        <f>'Returns per Gal.'!V145</f>
        <v>1.3532967266516154</v>
      </c>
      <c r="Z138" s="93">
        <f>'Returns per Gal.'!Y145</f>
        <v>0.49003974576550113</v>
      </c>
      <c r="AA138" s="93">
        <f>'Returns per Gal.'!Z145</f>
        <v>0.30913974576550096</v>
      </c>
      <c r="AB138" s="93">
        <f>'Returns per Gal.'!AA145</f>
        <v>0.11289373364428879</v>
      </c>
      <c r="AC138" s="80">
        <f>'Returns per Gal.'!AB145</f>
        <v>0</v>
      </c>
      <c r="AD138" s="15">
        <f>'Returns per Gal.'!AC145</f>
        <v>0</v>
      </c>
      <c r="AE138" s="81">
        <f>'Returns per Gal.'!AD145</f>
        <v>0</v>
      </c>
      <c r="AF138" s="93">
        <f>'Returns per Gal.'!AE145</f>
        <v>0.44956140350877194</v>
      </c>
      <c r="AG138" s="93">
        <f>'Returns per Gal.'!AF145</f>
        <v>0.93870614035087707</v>
      </c>
      <c r="AH138" s="93">
        <f>'Returns per Gal.'!AG145</f>
        <v>1.388267543859649</v>
      </c>
      <c r="AI138" s="105">
        <f>'Returns per Gal.'!AH145</f>
        <v>0</v>
      </c>
      <c r="AJ138" s="104">
        <f>'Returns per Gal.'!AI145</f>
        <v>0</v>
      </c>
      <c r="AK138" s="93">
        <f>'Returns per Gal.'!AJ145</f>
        <v>1.7297675438596491</v>
      </c>
      <c r="AL138" s="93">
        <f>'Returns per Gal.'!AK145</f>
        <v>1.9260135559808613</v>
      </c>
      <c r="AM138" s="105">
        <f>'Returns per Gal.'!AL145</f>
        <v>0</v>
      </c>
      <c r="AN138" s="104"/>
      <c r="AO138" s="93">
        <f>'Returns per Gal.'!AN145</f>
        <v>0.18664079446465931</v>
      </c>
      <c r="AP138" s="93">
        <f>'Returns per Gal.'!AO145</f>
        <v>-9.6052176565528669E-3</v>
      </c>
      <c r="AQ138" s="93">
        <f>'Returns per Gal.'!AP145</f>
        <v>0.11289373364428879</v>
      </c>
      <c r="AR138" s="93">
        <f>'Returns per Gal.'!AQ145</f>
        <v>-0.12249895130084165</v>
      </c>
      <c r="AS138" s="52"/>
      <c r="AU138" s="177">
        <f>'Returns per Bu.'!G145</f>
        <v>3.607440488792601</v>
      </c>
      <c r="AV138" s="166">
        <f>'Returns per Bu.'!N145</f>
        <v>5.4617637642242789</v>
      </c>
      <c r="AW138" s="166">
        <f>'Returns per Bu.'!O145</f>
        <v>3.9291876296788248</v>
      </c>
      <c r="AX138" s="169">
        <f>'Returns per Bu.'!Z145</f>
        <v>9.7976229255104186E-2</v>
      </c>
      <c r="AY138" s="162">
        <f>'Returns per Bu.'!AF145</f>
        <v>3.9565625</v>
      </c>
      <c r="AZ138" s="165"/>
      <c r="BA138" s="15">
        <f t="shared" si="19"/>
        <v>2.6753125</v>
      </c>
      <c r="BB138" s="93">
        <f>'Returns per Bu.'!AD145</f>
        <v>1.28125</v>
      </c>
      <c r="BC138" s="93">
        <f t="shared" si="15"/>
        <v>0.93870614035087707</v>
      </c>
    </row>
    <row r="139" spans="1:55" x14ac:dyDescent="0.2">
      <c r="A139" s="8">
        <v>42522</v>
      </c>
      <c r="C139" s="53"/>
      <c r="D139" s="93">
        <v>1.5622727274894714</v>
      </c>
      <c r="E139" s="95">
        <v>160.67045454545453</v>
      </c>
      <c r="F139" s="319">
        <v>0.28339999999999999</v>
      </c>
      <c r="G139" s="93">
        <v>3.7821590792049062</v>
      </c>
      <c r="H139" s="266">
        <v>4.4400000000000004</v>
      </c>
      <c r="I139" s="184"/>
      <c r="K139" s="93">
        <f>'Returns per Gal.'!J146</f>
        <v>1.5622727274894714</v>
      </c>
      <c r="L139" s="93">
        <f>'Returns per Gal.'!K146</f>
        <v>0.46227990430622001</v>
      </c>
      <c r="M139" s="93">
        <f>'Returns per Gal.'!L146</f>
        <v>6.463508771929824E-2</v>
      </c>
      <c r="N139" s="93">
        <f>'Returns per Gal.'!M146</f>
        <v>2.0891877195149893</v>
      </c>
      <c r="O139" s="110">
        <f>'Returns per Gal.'!N146</f>
        <v>0</v>
      </c>
      <c r="P139" s="108">
        <f>'Returns per Gal.'!O146</f>
        <v>0</v>
      </c>
      <c r="Q139" s="93">
        <f>'Returns per Gal.'!P146</f>
        <v>1.3270733611245285</v>
      </c>
      <c r="R139" s="93">
        <f>'Returns per Gal.'!Q146</f>
        <v>0.13320000000000001</v>
      </c>
      <c r="S139" s="93">
        <f>'Returns per Gal.'!R146</f>
        <v>0.21939999999999998</v>
      </c>
      <c r="T139" s="93">
        <f>'Returns per Gal.'!S146</f>
        <v>1.6796733611245285</v>
      </c>
      <c r="U139" s="93">
        <f>'Returns per Gal.'!T146</f>
        <v>0.19624601212121212</v>
      </c>
      <c r="V139" s="93">
        <f>'Returns per Gal.'!U146</f>
        <v>1.8759193732457407</v>
      </c>
      <c r="W139" s="93">
        <f>'Returns per Gal.'!V146</f>
        <v>1.3490043812202224</v>
      </c>
      <c r="X139" s="105"/>
      <c r="Y139" s="93">
        <f>'Returns per Gal.'!V146</f>
        <v>1.3490043812202224</v>
      </c>
      <c r="Z139" s="93">
        <f>'Returns per Gal.'!Y146</f>
        <v>0.59041435839046086</v>
      </c>
      <c r="AA139" s="93">
        <f>'Returns per Gal.'!Z146</f>
        <v>0.4095143583904608</v>
      </c>
      <c r="AB139" s="93">
        <f>'Returns per Gal.'!AA146</f>
        <v>0.21326834626924862</v>
      </c>
      <c r="AC139" s="80">
        <f>'Returns per Gal.'!AB146</f>
        <v>0</v>
      </c>
      <c r="AD139" s="15">
        <f>'Returns per Gal.'!AC146</f>
        <v>0</v>
      </c>
      <c r="AE139" s="81">
        <f>'Returns per Gal.'!AD146</f>
        <v>0</v>
      </c>
      <c r="AF139" s="93">
        <f>'Returns per Gal.'!AE146</f>
        <v>0.44956140350877194</v>
      </c>
      <c r="AG139" s="93">
        <f>'Returns per Gal.'!AF146</f>
        <v>0.93870614035087707</v>
      </c>
      <c r="AH139" s="93">
        <f>'Returns per Gal.'!AG146</f>
        <v>1.388267543859649</v>
      </c>
      <c r="AI139" s="105">
        <f>'Returns per Gal.'!AH146</f>
        <v>0</v>
      </c>
      <c r="AJ139" s="104">
        <f>'Returns per Gal.'!AI146</f>
        <v>0</v>
      </c>
      <c r="AK139" s="93">
        <f>'Returns per Gal.'!AJ146</f>
        <v>1.740867543859649</v>
      </c>
      <c r="AL139" s="93">
        <f>'Returns per Gal.'!AK146</f>
        <v>1.9371135559808612</v>
      </c>
      <c r="AM139" s="105">
        <f>'Returns per Gal.'!AL146</f>
        <v>0</v>
      </c>
      <c r="AN139" s="104"/>
      <c r="AO139" s="93">
        <f>'Returns per Gal.'!AN146</f>
        <v>0.34832017565534024</v>
      </c>
      <c r="AP139" s="93">
        <f>'Returns per Gal.'!AO146</f>
        <v>0.15207416353412806</v>
      </c>
      <c r="AQ139" s="93">
        <f>'Returns per Gal.'!AP146</f>
        <v>0.21326834626924862</v>
      </c>
      <c r="AR139" s="93">
        <f>'Returns per Gal.'!AQ146</f>
        <v>-6.1194182735120561E-2</v>
      </c>
      <c r="AS139" s="52"/>
      <c r="AU139" s="177">
        <f>'Returns per Bu.'!G146</f>
        <v>3.7821590792049062</v>
      </c>
      <c r="AV139" s="166">
        <f>'Returns per Bu.'!N146</f>
        <v>5.9541850006177208</v>
      </c>
      <c r="AW139" s="166">
        <f>'Returns per Bu.'!O146</f>
        <v>4.3899738660722658</v>
      </c>
      <c r="AX139" s="169">
        <f>'Returns per Bu.'!Z146</f>
        <v>0.18508758380487775</v>
      </c>
      <c r="AY139" s="162">
        <f>'Returns per Bu.'!AF146</f>
        <v>3.9565625</v>
      </c>
      <c r="AZ139" s="165"/>
      <c r="BA139" s="15">
        <f t="shared" ref="BA139:BA140" si="20">AY139-BB139</f>
        <v>2.6753125</v>
      </c>
      <c r="BB139" s="93">
        <f>'Returns per Bu.'!AD146</f>
        <v>1.28125</v>
      </c>
      <c r="BC139" s="93">
        <f t="shared" si="15"/>
        <v>0.93870614035087707</v>
      </c>
    </row>
    <row r="140" spans="1:55" x14ac:dyDescent="0.2">
      <c r="A140" s="8">
        <v>42552</v>
      </c>
      <c r="C140" s="53"/>
      <c r="D140" s="93">
        <v>1.4805000245571136</v>
      </c>
      <c r="E140" s="95">
        <v>140.27500000000001</v>
      </c>
      <c r="F140" s="319">
        <v>0.26179999999999998</v>
      </c>
      <c r="G140" s="93">
        <v>3.1680624932050705</v>
      </c>
      <c r="H140" s="266">
        <v>4.66</v>
      </c>
      <c r="I140" s="184"/>
      <c r="K140" s="93">
        <f>'Returns per Gal.'!J147</f>
        <v>1.4805000245571136</v>
      </c>
      <c r="L140" s="93">
        <f>'Returns per Gal.'!K147</f>
        <v>0.40359824561403507</v>
      </c>
      <c r="M140" s="93">
        <f>'Returns per Gal.'!L147</f>
        <v>5.9708771929824558E-2</v>
      </c>
      <c r="N140" s="93">
        <f>'Returns per Gal.'!M147</f>
        <v>1.9438070421009732</v>
      </c>
      <c r="O140" s="110">
        <f>'Returns per Gal.'!N147</f>
        <v>0</v>
      </c>
      <c r="P140" s="108">
        <f>'Returns per Gal.'!O147</f>
        <v>0</v>
      </c>
      <c r="Q140" s="93">
        <f>'Returns per Gal.'!P147</f>
        <v>1.1116008748087967</v>
      </c>
      <c r="R140" s="93">
        <f>'Returns per Gal.'!Q147</f>
        <v>0.13980000000000001</v>
      </c>
      <c r="S140" s="93">
        <f>'Returns per Gal.'!R147</f>
        <v>0.21939999999999998</v>
      </c>
      <c r="T140" s="93">
        <f>'Returns per Gal.'!S147</f>
        <v>1.4708008748087966</v>
      </c>
      <c r="U140" s="93">
        <f>'Returns per Gal.'!T147</f>
        <v>0.19624601212121212</v>
      </c>
      <c r="V140" s="93">
        <f>'Returns per Gal.'!U147</f>
        <v>1.6670468869300088</v>
      </c>
      <c r="W140" s="93">
        <f>'Returns per Gal.'!V147</f>
        <v>1.2037398693861492</v>
      </c>
      <c r="X140" s="105"/>
      <c r="Y140" s="93">
        <f>'Returns per Gal.'!V147</f>
        <v>1.2037398693861492</v>
      </c>
      <c r="Z140" s="93">
        <f>'Returns per Gal.'!Y147</f>
        <v>0.65390616729217654</v>
      </c>
      <c r="AA140" s="93">
        <f>'Returns per Gal.'!Z147</f>
        <v>0.47300616729217659</v>
      </c>
      <c r="AB140" s="93">
        <f>'Returns per Gal.'!AA147</f>
        <v>0.27676015517096442</v>
      </c>
      <c r="AC140" s="80">
        <f>'Returns per Gal.'!AB147</f>
        <v>0</v>
      </c>
      <c r="AD140" s="15">
        <f>'Returns per Gal.'!AC147</f>
        <v>0</v>
      </c>
      <c r="AE140" s="81">
        <f>'Returns per Gal.'!AD147</f>
        <v>0</v>
      </c>
      <c r="AF140" s="93">
        <f>'Returns per Gal.'!AE147</f>
        <v>0.44956140350877194</v>
      </c>
      <c r="AG140" s="93">
        <f>'Returns per Gal.'!AF147</f>
        <v>0.93870614035087707</v>
      </c>
      <c r="AH140" s="93">
        <f>'Returns per Gal.'!AG147</f>
        <v>1.388267543859649</v>
      </c>
      <c r="AI140" s="105">
        <f>'Returns per Gal.'!AH147</f>
        <v>0</v>
      </c>
      <c r="AJ140" s="104">
        <f>'Returns per Gal.'!AI147</f>
        <v>0</v>
      </c>
      <c r="AK140" s="93">
        <f>'Returns per Gal.'!AJ147</f>
        <v>1.747467543859649</v>
      </c>
      <c r="AL140" s="93">
        <f>'Returns per Gal.'!AK147</f>
        <v>1.9437135559808612</v>
      </c>
      <c r="AM140" s="105">
        <f>'Returns per Gal.'!AL147</f>
        <v>0</v>
      </c>
      <c r="AN140" s="104"/>
      <c r="AO140" s="93">
        <f>'Returns per Gal.'!AN147</f>
        <v>0.19633949824132424</v>
      </c>
      <c r="AP140" s="93">
        <f>'Returns per Gal.'!AO147</f>
        <v>9.348612011206292E-5</v>
      </c>
      <c r="AQ140" s="93">
        <f>'Returns per Gal.'!AP147</f>
        <v>0.27676015517096442</v>
      </c>
      <c r="AR140" s="93">
        <f>'Returns per Gal.'!AQ147</f>
        <v>-0.27666666905085235</v>
      </c>
      <c r="AS140" s="52"/>
      <c r="AU140" s="177">
        <f>'Returns per Bu.'!G147</f>
        <v>3.1680624932050705</v>
      </c>
      <c r="AV140" s="166">
        <f>'Returns per Bu.'!N147</f>
        <v>5.5398500699877742</v>
      </c>
      <c r="AW140" s="166">
        <f>'Returns per Bu.'!O147</f>
        <v>3.9568289354423198</v>
      </c>
      <c r="AX140" s="169">
        <f>'Returns per Bu.'!Z147</f>
        <v>0.24018973893756373</v>
      </c>
      <c r="AY140" s="162">
        <f>'Returns per Bu.'!AF147</f>
        <v>3.9565625</v>
      </c>
      <c r="AZ140" s="165"/>
      <c r="BA140" s="15">
        <f t="shared" si="20"/>
        <v>2.6753125</v>
      </c>
      <c r="BB140" s="93">
        <f>'Returns per Bu.'!AD147</f>
        <v>1.28125</v>
      </c>
      <c r="BC140" s="93">
        <f t="shared" si="15"/>
        <v>0.93870614035087707</v>
      </c>
    </row>
    <row r="141" spans="1:55" x14ac:dyDescent="0.2">
      <c r="A141" s="8">
        <v>42583</v>
      </c>
      <c r="C141" s="53"/>
      <c r="D141" s="281">
        <v>1.3334782486376555</v>
      </c>
      <c r="E141" s="282">
        <v>118.08695652173913</v>
      </c>
      <c r="F141" s="281">
        <v>0.26280000000000003</v>
      </c>
      <c r="G141" s="281">
        <v>3.0150543373564016</v>
      </c>
      <c r="H141" s="266">
        <v>4.33</v>
      </c>
      <c r="I141" s="184"/>
      <c r="K141" s="93">
        <f>'Returns per Gal.'!J148</f>
        <v>1.3334782486376555</v>
      </c>
      <c r="L141" s="93">
        <f>'Returns per Gal.'!K148</f>
        <v>0.33975896262395111</v>
      </c>
      <c r="M141" s="93">
        <f>'Returns per Gal.'!L148</f>
        <v>5.9936842105263163E-2</v>
      </c>
      <c r="N141" s="93">
        <f>'Returns per Gal.'!M148</f>
        <v>1.7331740533668698</v>
      </c>
      <c r="O141" s="110">
        <f>'Returns per Gal.'!N148</f>
        <v>0</v>
      </c>
      <c r="P141" s="108">
        <f>'Returns per Gal.'!O148</f>
        <v>0</v>
      </c>
      <c r="Q141" s="93">
        <f>'Returns per Gal.'!P148</f>
        <v>1.0579138025811936</v>
      </c>
      <c r="R141" s="93">
        <f>'Returns per Gal.'!Q148</f>
        <v>0.12989999999999999</v>
      </c>
      <c r="S141" s="93">
        <f>'Returns per Gal.'!R148</f>
        <v>0.21939999999999998</v>
      </c>
      <c r="T141" s="93">
        <f>'Returns per Gal.'!S148</f>
        <v>1.4072138025811936</v>
      </c>
      <c r="U141" s="93">
        <f>'Returns per Gal.'!T148</f>
        <v>0.19624601212121212</v>
      </c>
      <c r="V141" s="93">
        <f>'Returns per Gal.'!U148</f>
        <v>1.6034598147024057</v>
      </c>
      <c r="W141" s="93">
        <f>'Returns per Gal.'!V148</f>
        <v>1.2037640099731914</v>
      </c>
      <c r="X141" s="105"/>
      <c r="Y141" s="93">
        <f>'Returns per Gal.'!V148</f>
        <v>1.2037640099731914</v>
      </c>
      <c r="Z141" s="93">
        <f>'Returns per Gal.'!Y148</f>
        <v>0.5068602507856762</v>
      </c>
      <c r="AA141" s="93">
        <f>'Returns per Gal.'!Z148</f>
        <v>0.32596025078567625</v>
      </c>
      <c r="AB141" s="93">
        <f>'Returns per Gal.'!AA148</f>
        <v>0.12971423866446408</v>
      </c>
      <c r="AC141" s="80">
        <f>'Returns per Gal.'!AB148</f>
        <v>0</v>
      </c>
      <c r="AD141" s="15">
        <f>'Returns per Gal.'!AC148</f>
        <v>0</v>
      </c>
      <c r="AE141" s="81">
        <f>'Returns per Gal.'!AD148</f>
        <v>0</v>
      </c>
      <c r="AF141" s="93">
        <f>'Returns per Gal.'!AE148</f>
        <v>0.44956140350877194</v>
      </c>
      <c r="AG141" s="93">
        <f>'Returns per Gal.'!AF148</f>
        <v>0.93870614035087707</v>
      </c>
      <c r="AH141" s="93">
        <f>'Returns per Gal.'!AG148</f>
        <v>1.388267543859649</v>
      </c>
      <c r="AI141" s="105">
        <f>'Returns per Gal.'!AH148</f>
        <v>0</v>
      </c>
      <c r="AJ141" s="104">
        <f>'Returns per Gal.'!AI148</f>
        <v>0</v>
      </c>
      <c r="AK141" s="93">
        <f>'Returns per Gal.'!AJ148</f>
        <v>1.737567543859649</v>
      </c>
      <c r="AL141" s="93">
        <f>'Returns per Gal.'!AK148</f>
        <v>1.9338135559808611</v>
      </c>
      <c r="AM141" s="105">
        <f>'Returns per Gal.'!AL148</f>
        <v>0</v>
      </c>
      <c r="AN141" s="104"/>
      <c r="AO141" s="93">
        <f>'Returns per Gal.'!AN148</f>
        <v>-4.3934904927791507E-3</v>
      </c>
      <c r="AP141" s="93">
        <f>'Returns per Gal.'!AO148</f>
        <v>-0.20063950261399133</v>
      </c>
      <c r="AQ141" s="93">
        <f>'Returns per Gal.'!AP148</f>
        <v>0.12971423866446408</v>
      </c>
      <c r="AR141" s="93">
        <f>'Returns per Gal.'!AQ148</f>
        <v>-0.3303537412784554</v>
      </c>
      <c r="AS141" s="52"/>
      <c r="AU141" s="177">
        <f>'Returns per Bu.'!G148</f>
        <v>3.0150543373564016</v>
      </c>
      <c r="AV141" s="166">
        <f>'Returns per Bu.'!N148</f>
        <v>4.9395460520955785</v>
      </c>
      <c r="AW141" s="166">
        <f>'Returns per Bu.'!O148</f>
        <v>3.3847399175501245</v>
      </c>
      <c r="AX141" s="169">
        <f>'Returns per Bu.'!Z148</f>
        <v>0.11257411350292201</v>
      </c>
      <c r="AY141" s="162">
        <f>'Returns per Bu.'!AF148</f>
        <v>3.9565625</v>
      </c>
      <c r="AZ141" s="165"/>
      <c r="BA141" s="15">
        <f t="shared" ref="BA141:BA142" si="21">AY141-BB141</f>
        <v>2.6753125</v>
      </c>
      <c r="BB141" s="93">
        <f>'Returns per Bu.'!AD148</f>
        <v>1.28125</v>
      </c>
      <c r="BC141" s="93">
        <f t="shared" si="15"/>
        <v>0.93870614035087707</v>
      </c>
    </row>
    <row r="142" spans="1:55" x14ac:dyDescent="0.2">
      <c r="A142" s="8">
        <v>42614</v>
      </c>
      <c r="C142" s="53"/>
      <c r="D142" s="281">
        <v>1.4297618909109207</v>
      </c>
      <c r="E142" s="282">
        <v>111.95238095238095</v>
      </c>
      <c r="F142" s="281">
        <v>0.27940000000000004</v>
      </c>
      <c r="G142" s="281">
        <v>3.0030059619176956</v>
      </c>
      <c r="H142" s="266">
        <v>4.96</v>
      </c>
      <c r="I142" s="184"/>
      <c r="K142" s="93">
        <f>'Returns per Gal.'!J149</f>
        <v>1.4297618909109207</v>
      </c>
      <c r="L142" s="93">
        <f>'Returns per Gal.'!K149</f>
        <v>0.32210860484544684</v>
      </c>
      <c r="M142" s="93">
        <f>'Returns per Gal.'!L149</f>
        <v>6.3722807017543862E-2</v>
      </c>
      <c r="N142" s="93">
        <f>'Returns per Gal.'!M149</f>
        <v>1.8155933027739115</v>
      </c>
      <c r="O142" s="110">
        <f>'Returns per Gal.'!N149</f>
        <v>0</v>
      </c>
      <c r="P142" s="108">
        <f>'Returns per Gal.'!O149</f>
        <v>0</v>
      </c>
      <c r="Q142" s="93">
        <f>'Returns per Gal.'!P149</f>
        <v>1.0536863024272616</v>
      </c>
      <c r="R142" s="93">
        <f>'Returns per Gal.'!Q149</f>
        <v>0.14879999999999999</v>
      </c>
      <c r="S142" s="93">
        <f>'Returns per Gal.'!R149</f>
        <v>0.21939999999999998</v>
      </c>
      <c r="T142" s="93">
        <f>'Returns per Gal.'!S149</f>
        <v>1.4218863024272617</v>
      </c>
      <c r="U142" s="93">
        <f>'Returns per Gal.'!T149</f>
        <v>0.19624601212121212</v>
      </c>
      <c r="V142" s="93">
        <f>'Returns per Gal.'!U149</f>
        <v>1.6181323145484738</v>
      </c>
      <c r="W142" s="93">
        <f>'Returns per Gal.'!V149</f>
        <v>1.232300902685483</v>
      </c>
      <c r="X142" s="105"/>
      <c r="Y142" s="93">
        <f>'Returns per Gal.'!V149</f>
        <v>1.232300902685483</v>
      </c>
      <c r="Z142" s="93">
        <f>'Returns per Gal.'!Y149</f>
        <v>0.57460700034664991</v>
      </c>
      <c r="AA142" s="93">
        <f>'Returns per Gal.'!Z149</f>
        <v>0.39370700034664985</v>
      </c>
      <c r="AB142" s="93">
        <f>'Returns per Gal.'!AA149</f>
        <v>0.19746098822543767</v>
      </c>
      <c r="AC142" s="80">
        <f>'Returns per Gal.'!AB149</f>
        <v>0</v>
      </c>
      <c r="AD142" s="15">
        <f>'Returns per Gal.'!AC149</f>
        <v>0</v>
      </c>
      <c r="AE142" s="81">
        <f>'Returns per Gal.'!AD149</f>
        <v>0</v>
      </c>
      <c r="AF142" s="93">
        <f>'Returns per Gal.'!AE149</f>
        <v>0.39754558810820151</v>
      </c>
      <c r="AG142" s="93">
        <f>'Returns per Gal.'!AF149</f>
        <v>0.85274911416472232</v>
      </c>
      <c r="AH142" s="93">
        <f>'Returns per Gal.'!AG149</f>
        <v>1.2502947022729238</v>
      </c>
      <c r="AI142" s="105">
        <f>'Returns per Gal.'!AH149</f>
        <v>0</v>
      </c>
      <c r="AJ142" s="104">
        <f>'Returns per Gal.'!AI149</f>
        <v>0</v>
      </c>
      <c r="AK142" s="93">
        <f>'Returns per Gal.'!AJ149</f>
        <v>1.6184947022729239</v>
      </c>
      <c r="AL142" s="93">
        <f>'Returns per Gal.'!AK149</f>
        <v>1.8147407143941361</v>
      </c>
      <c r="AM142" s="105">
        <f>'Returns per Gal.'!AL149</f>
        <v>0</v>
      </c>
      <c r="AN142" s="104"/>
      <c r="AO142" s="93">
        <f>'Returns per Gal.'!AN149</f>
        <v>0.1970986005009876</v>
      </c>
      <c r="AP142" s="93">
        <f>'Returns per Gal.'!AO149</f>
        <v>8.5258837977542079E-4</v>
      </c>
      <c r="AQ142" s="93">
        <f>'Returns per Gal.'!AP149</f>
        <v>0.19746098822543767</v>
      </c>
      <c r="AR142" s="93">
        <f>'Returns per Gal.'!AQ149</f>
        <v>-0.19660839984566225</v>
      </c>
      <c r="AS142" s="52"/>
      <c r="AU142" s="177">
        <f>'Returns per Bu.'!G149</f>
        <v>3.0030059619176956</v>
      </c>
      <c r="AV142" s="166">
        <f>'Returns per Bu.'!N149</f>
        <v>5.1744409129056477</v>
      </c>
      <c r="AW142" s="166">
        <f>'Returns per Bu.'!O149</f>
        <v>3.5657697783601936</v>
      </c>
      <c r="AX142" s="169">
        <f>'Returns per Bu.'!Z149</f>
        <v>0.17136897174711885</v>
      </c>
      <c r="AY142" s="162">
        <f>'Returns per Bu.'!AF149</f>
        <v>3.5633399014778329</v>
      </c>
      <c r="AZ142" s="165"/>
      <c r="BA142" s="15">
        <f t="shared" si="21"/>
        <v>2.4303349753694583</v>
      </c>
      <c r="BB142" s="93">
        <f>'Returns per Bu.'!AD149</f>
        <v>1.1330049261083743</v>
      </c>
      <c r="BC142" s="93">
        <f t="shared" si="15"/>
        <v>0.85274911416472232</v>
      </c>
    </row>
    <row r="143" spans="1:55" x14ac:dyDescent="0.2">
      <c r="A143" s="8">
        <v>42644</v>
      </c>
      <c r="C143" s="53"/>
      <c r="D143" s="281">
        <v>1.51714286066237</v>
      </c>
      <c r="E143" s="282">
        <v>102.96428571428601</v>
      </c>
      <c r="F143" s="281">
        <v>0.28309999999999996</v>
      </c>
      <c r="G143" s="281">
        <v>3.1482142891202698</v>
      </c>
      <c r="H143" s="266">
        <v>4.9400000000000004</v>
      </c>
      <c r="I143" s="184"/>
      <c r="K143" s="93">
        <f>'Returns per Gal.'!J150</f>
        <v>1.51714286066237</v>
      </c>
      <c r="L143" s="93">
        <f>'Returns per Gal.'!K150</f>
        <v>0.29624812030075265</v>
      </c>
      <c r="M143" s="93">
        <f>'Returns per Gal.'!L150</f>
        <v>6.4566666666666661E-2</v>
      </c>
      <c r="N143" s="93">
        <f>'Returns per Gal.'!M150</f>
        <v>1.8779576476297895</v>
      </c>
      <c r="O143" s="110">
        <f>'Returns per Gal.'!N150</f>
        <v>0</v>
      </c>
      <c r="P143" s="108">
        <f>'Returns per Gal.'!O150</f>
        <v>0</v>
      </c>
      <c r="Q143" s="93">
        <f>'Returns per Gal.'!P150</f>
        <v>1.1046365926737789</v>
      </c>
      <c r="R143" s="93">
        <f>'Returns per Gal.'!Q150</f>
        <v>0.14820000000000003</v>
      </c>
      <c r="S143" s="93">
        <f>'Returns per Gal.'!R150</f>
        <v>0.21939999999999998</v>
      </c>
      <c r="T143" s="93">
        <f>'Returns per Gal.'!S150</f>
        <v>1.472236592673779</v>
      </c>
      <c r="U143" s="93">
        <f>'Returns per Gal.'!T150</f>
        <v>0.19624601212121212</v>
      </c>
      <c r="V143" s="93">
        <f>'Returns per Gal.'!U150</f>
        <v>1.6684826047949912</v>
      </c>
      <c r="W143" s="93">
        <f>'Returns per Gal.'!V150</f>
        <v>1.307667817827572</v>
      </c>
      <c r="X143" s="105"/>
      <c r="Y143" s="93">
        <f>'Returns per Gal.'!V150</f>
        <v>1.307667817827572</v>
      </c>
      <c r="Z143" s="93">
        <f>'Returns per Gal.'!Y150</f>
        <v>0.58662105495601058</v>
      </c>
      <c r="AA143" s="93">
        <f>'Returns per Gal.'!Z150</f>
        <v>0.40572105495601041</v>
      </c>
      <c r="AB143" s="93">
        <f>'Returns per Gal.'!AA150</f>
        <v>0.20947504283479823</v>
      </c>
      <c r="AC143" s="80">
        <f>'Returns per Gal.'!AB150</f>
        <v>0</v>
      </c>
      <c r="AD143" s="15">
        <f>'Returns per Gal.'!AC150</f>
        <v>0</v>
      </c>
      <c r="AE143" s="81">
        <f>'Returns per Gal.'!AD150</f>
        <v>0</v>
      </c>
      <c r="AF143" s="93">
        <f>'Returns per Gal.'!AE150</f>
        <v>0.39754558810820151</v>
      </c>
      <c r="AG143" s="93">
        <f>'Returns per Gal.'!AF150</f>
        <v>0.85274911416472232</v>
      </c>
      <c r="AH143" s="93">
        <f>'Returns per Gal.'!AG150</f>
        <v>1.2502947022729238</v>
      </c>
      <c r="AI143" s="105">
        <f>'Returns per Gal.'!AH150</f>
        <v>0</v>
      </c>
      <c r="AJ143" s="104">
        <f>'Returns per Gal.'!AI150</f>
        <v>0</v>
      </c>
      <c r="AK143" s="93">
        <f>'Returns per Gal.'!AJ150</f>
        <v>1.617894702272924</v>
      </c>
      <c r="AL143" s="93">
        <f>'Returns per Gal.'!AK150</f>
        <v>1.8141407143941362</v>
      </c>
      <c r="AM143" s="105">
        <f>'Returns per Gal.'!AL150</f>
        <v>0</v>
      </c>
      <c r="AN143" s="104"/>
      <c r="AO143" s="93">
        <f>'Returns per Gal.'!AN150</f>
        <v>0.26006294535686547</v>
      </c>
      <c r="AP143" s="93">
        <f>'Returns per Gal.'!AO150</f>
        <v>6.3816933235653295E-2</v>
      </c>
      <c r="AQ143" s="93">
        <f>'Returns per Gal.'!AP150</f>
        <v>0.20947504283479823</v>
      </c>
      <c r="AR143" s="93">
        <f>'Returns per Gal.'!AQ150</f>
        <v>-0.14565810959914494</v>
      </c>
      <c r="AS143" s="52"/>
      <c r="AU143" s="177">
        <f>'Returns per Bu.'!G150</f>
        <v>3.1482142891202698</v>
      </c>
      <c r="AV143" s="166">
        <f>'Returns per Bu.'!N150</f>
        <v>5.3521792957448993</v>
      </c>
      <c r="AW143" s="166">
        <f>'Returns per Bu.'!O150</f>
        <v>3.7452181611994448</v>
      </c>
      <c r="AX143" s="169">
        <f>'Returns per Bu.'!Z150</f>
        <v>0.18179551829397034</v>
      </c>
      <c r="AY143" s="162">
        <f>'Returns per Bu.'!AF150</f>
        <v>3.5633399014778329</v>
      </c>
      <c r="AZ143" s="165"/>
      <c r="BA143" s="15">
        <f t="shared" ref="BA143" si="22">AY143-BB143</f>
        <v>2.4303349753694583</v>
      </c>
      <c r="BB143" s="93">
        <f>'Returns per Bu.'!AD150</f>
        <v>1.1330049261083743</v>
      </c>
      <c r="BC143" s="93">
        <f t="shared" si="15"/>
        <v>0.85274911416472232</v>
      </c>
    </row>
    <row r="144" spans="1:55" x14ac:dyDescent="0.2">
      <c r="A144" s="8">
        <v>42675</v>
      </c>
      <c r="C144" s="53"/>
      <c r="D144" s="281">
        <v>1.5450000167</v>
      </c>
      <c r="E144" s="282">
        <v>102</v>
      </c>
      <c r="F144" s="281">
        <v>0.28050000000000003</v>
      </c>
      <c r="G144" s="281">
        <v>3.1478749930999999</v>
      </c>
      <c r="H144" s="266">
        <v>4.68</v>
      </c>
      <c r="I144" s="184"/>
      <c r="K144" s="93">
        <f>'Returns per Gal.'!J151</f>
        <v>1.5450000167</v>
      </c>
      <c r="L144" s="93">
        <f>'Returns per Gal.'!K151</f>
        <v>0.29347368421052628</v>
      </c>
      <c r="M144" s="93">
        <f>'Returns per Gal.'!L151</f>
        <v>6.3973684210526321E-2</v>
      </c>
      <c r="N144" s="93">
        <f>'Returns per Gal.'!M151</f>
        <v>1.9024473851210526</v>
      </c>
      <c r="O144" s="110">
        <f>'Returns per Gal.'!N151</f>
        <v>0</v>
      </c>
      <c r="P144" s="108">
        <f>'Returns per Gal.'!O151</f>
        <v>0</v>
      </c>
      <c r="Q144" s="93">
        <f>'Returns per Gal.'!P151</f>
        <v>1.1045175414385964</v>
      </c>
      <c r="R144" s="93">
        <f>'Returns per Gal.'!Q151</f>
        <v>0.1404</v>
      </c>
      <c r="S144" s="93">
        <f>'Returns per Gal.'!R151</f>
        <v>0.21939999999999998</v>
      </c>
      <c r="T144" s="93">
        <f>'Returns per Gal.'!S151</f>
        <v>1.4643175414385965</v>
      </c>
      <c r="U144" s="93">
        <f>'Returns per Gal.'!T151</f>
        <v>0.19624601212121212</v>
      </c>
      <c r="V144" s="93">
        <f>'Returns per Gal.'!U151</f>
        <v>1.6605635535598087</v>
      </c>
      <c r="W144" s="93">
        <f>'Returns per Gal.'!V151</f>
        <v>1.303116185138756</v>
      </c>
      <c r="X144" s="105"/>
      <c r="Y144" s="93">
        <f>'Returns per Gal.'!V151</f>
        <v>1.303116185138756</v>
      </c>
      <c r="Z144" s="93">
        <f>'Returns per Gal.'!Y151</f>
        <v>0.61902984368245628</v>
      </c>
      <c r="AA144" s="93">
        <f>'Returns per Gal.'!Z151</f>
        <v>0.43812984368245611</v>
      </c>
      <c r="AB144" s="93">
        <f>'Returns per Gal.'!AA151</f>
        <v>0.24188383156124393</v>
      </c>
      <c r="AC144" s="80">
        <f>'Returns per Gal.'!AB151</f>
        <v>0</v>
      </c>
      <c r="AD144" s="15">
        <f>'Returns per Gal.'!AC151</f>
        <v>0</v>
      </c>
      <c r="AE144" s="81">
        <f>'Returns per Gal.'!AD151</f>
        <v>0</v>
      </c>
      <c r="AF144" s="93">
        <f>'Returns per Gal.'!AE151</f>
        <v>0.39754558810820151</v>
      </c>
      <c r="AG144" s="93">
        <f>'Returns per Gal.'!AF151</f>
        <v>0.85274911416472232</v>
      </c>
      <c r="AH144" s="93">
        <f>'Returns per Gal.'!AG151</f>
        <v>1.2502947022729238</v>
      </c>
      <c r="AI144" s="105">
        <f>'Returns per Gal.'!AH151</f>
        <v>0</v>
      </c>
      <c r="AJ144" s="104">
        <f>'Returns per Gal.'!AI151</f>
        <v>0</v>
      </c>
      <c r="AK144" s="93">
        <f>'Returns per Gal.'!AJ151</f>
        <v>1.6100947022729239</v>
      </c>
      <c r="AL144" s="93">
        <f>'Returns per Gal.'!AK151</f>
        <v>1.8063407143941361</v>
      </c>
      <c r="AM144" s="105">
        <f>'Returns per Gal.'!AL151</f>
        <v>0</v>
      </c>
      <c r="AN144" s="104"/>
      <c r="AO144" s="93">
        <f>'Returns per Gal.'!AN151</f>
        <v>0.29235268284812865</v>
      </c>
      <c r="AP144" s="93">
        <f>'Returns per Gal.'!AO151</f>
        <v>9.6106670726916477E-2</v>
      </c>
      <c r="AQ144" s="93">
        <f>'Returns per Gal.'!AP151</f>
        <v>0.24188383156124393</v>
      </c>
      <c r="AR144" s="93">
        <f>'Returns per Gal.'!AQ151</f>
        <v>-0.14577716083432746</v>
      </c>
      <c r="AS144" s="52"/>
      <c r="AU144" s="177">
        <f>'Returns per Bu.'!G151</f>
        <v>3.1478749930999999</v>
      </c>
      <c r="AV144" s="166">
        <f>'Returns per Bu.'!N151</f>
        <v>5.4219750475949997</v>
      </c>
      <c r="AW144" s="166">
        <f>'Returns per Bu.'!O151</f>
        <v>3.8372439130495457</v>
      </c>
      <c r="AX144" s="169">
        <f>'Returns per Bu.'!Z151</f>
        <v>0.20992188821408791</v>
      </c>
      <c r="AY144" s="162">
        <f>'Returns per Bu.'!AF151</f>
        <v>3.5633399014778329</v>
      </c>
      <c r="AZ144" s="165"/>
      <c r="BA144" s="15">
        <f t="shared" ref="BA144" si="23">AY144-BB144</f>
        <v>2.4303349753694583</v>
      </c>
      <c r="BB144" s="93">
        <f>'Returns per Bu.'!AD151</f>
        <v>1.1330049261083743</v>
      </c>
      <c r="BC144" s="93">
        <f t="shared" si="15"/>
        <v>0.85274911416472232</v>
      </c>
    </row>
    <row r="145" spans="1:55" x14ac:dyDescent="0.2">
      <c r="A145" s="68">
        <v>42705</v>
      </c>
      <c r="B145" s="29"/>
      <c r="C145" s="56"/>
      <c r="D145" s="284">
        <v>1.649285714626</v>
      </c>
      <c r="E145" s="285">
        <v>99.488095238100001</v>
      </c>
      <c r="F145" s="284">
        <v>0.26989999999999997</v>
      </c>
      <c r="G145" s="284">
        <v>3.2467857101985</v>
      </c>
      <c r="H145" s="286">
        <v>5.15</v>
      </c>
      <c r="I145" s="187"/>
      <c r="J145" s="29"/>
      <c r="K145" s="97">
        <f>'Returns per Gal.'!J152</f>
        <v>1.649285714626</v>
      </c>
      <c r="L145" s="97">
        <f>'Returns per Gal.'!K152</f>
        <v>0.2862464494569894</v>
      </c>
      <c r="M145" s="97">
        <f>'Returns per Gal.'!L152</f>
        <v>6.1556140350877184E-2</v>
      </c>
      <c r="N145" s="97">
        <f>'Returns per Gal.'!M152</f>
        <v>1.9970883044338665</v>
      </c>
      <c r="O145" s="113">
        <f>'Returns per Gal.'!N152</f>
        <v>0</v>
      </c>
      <c r="P145" s="111">
        <f>'Returns per Gal.'!O152</f>
        <v>0</v>
      </c>
      <c r="Q145" s="97">
        <f>'Returns per Gal.'!P152</f>
        <v>1.1392230562100001</v>
      </c>
      <c r="R145" s="97">
        <f>'Returns per Gal.'!Q152</f>
        <v>0.1545</v>
      </c>
      <c r="S145" s="97">
        <f>'Returns per Gal.'!R152</f>
        <v>0.21939999999999998</v>
      </c>
      <c r="T145" s="97">
        <f>'Returns per Gal.'!S152</f>
        <v>1.5131230562100002</v>
      </c>
      <c r="U145" s="97">
        <f>'Returns per Gal.'!T152</f>
        <v>0.19624601212121212</v>
      </c>
      <c r="V145" s="97">
        <f>'Returns per Gal.'!U152</f>
        <v>1.7093690683312124</v>
      </c>
      <c r="W145" s="97">
        <f>'Returns per Gal.'!V152</f>
        <v>1.3615664785233459</v>
      </c>
      <c r="X145" s="107"/>
      <c r="Y145" s="97">
        <f>'Returns per Gal.'!V152</f>
        <v>1.3615664785233459</v>
      </c>
      <c r="Z145" s="97">
        <f>'Returns per Gal.'!Y152</f>
        <v>0.6648652482238665</v>
      </c>
      <c r="AA145" s="97">
        <f>'Returns per Gal.'!Z152</f>
        <v>0.48396524822386633</v>
      </c>
      <c r="AB145" s="97">
        <f>'Returns per Gal.'!AA152</f>
        <v>0.28771923610265415</v>
      </c>
      <c r="AC145" s="82">
        <f>'Returns per Gal.'!AB152</f>
        <v>0</v>
      </c>
      <c r="AD145" s="65">
        <f>'Returns per Gal.'!AC152</f>
        <v>0</v>
      </c>
      <c r="AE145" s="83">
        <f>'Returns per Gal.'!AD152</f>
        <v>0</v>
      </c>
      <c r="AF145" s="97">
        <f>'Returns per Gal.'!AE152</f>
        <v>0.39754558810820151</v>
      </c>
      <c r="AG145" s="97">
        <f>'Returns per Gal.'!AF152</f>
        <v>0.85274911416472232</v>
      </c>
      <c r="AH145" s="97">
        <f>'Returns per Gal.'!AG152</f>
        <v>1.2502947022729238</v>
      </c>
      <c r="AI145" s="107">
        <f>'Returns per Gal.'!AH152</f>
        <v>0</v>
      </c>
      <c r="AJ145" s="106">
        <f>'Returns per Gal.'!AI152</f>
        <v>0</v>
      </c>
      <c r="AK145" s="97">
        <f>'Returns per Gal.'!AJ152</f>
        <v>1.624194702272924</v>
      </c>
      <c r="AL145" s="97">
        <f>'Returns per Gal.'!AK152</f>
        <v>1.8204407143941361</v>
      </c>
      <c r="AM145" s="107">
        <f>'Returns per Gal.'!AL152</f>
        <v>0</v>
      </c>
      <c r="AN145" s="106"/>
      <c r="AO145" s="97">
        <f>'Returns per Gal.'!AN152</f>
        <v>0.37289360216094258</v>
      </c>
      <c r="AP145" s="97">
        <f>'Returns per Gal.'!AO152</f>
        <v>0.17664759003973041</v>
      </c>
      <c r="AQ145" s="97">
        <f>'Returns per Gal.'!AP152</f>
        <v>0.28771923610265415</v>
      </c>
      <c r="AR145" s="97">
        <f>'Returns per Gal.'!AQ152</f>
        <v>-0.11107164606292375</v>
      </c>
      <c r="AS145" s="64"/>
      <c r="AT145" s="29"/>
      <c r="AU145" s="178">
        <f>'Returns per Bu.'!G152</f>
        <v>3.2467857101985</v>
      </c>
      <c r="AV145" s="167">
        <f>'Returns per Bu.'!N152</f>
        <v>5.6917016676365204</v>
      </c>
      <c r="AW145" s="167">
        <f>'Returns per Bu.'!O152</f>
        <v>4.0667855330910658</v>
      </c>
      <c r="AX145" s="170">
        <f>'Returns per Bu.'!Z152</f>
        <v>0.24970071347200207</v>
      </c>
      <c r="AY145" s="163">
        <f>'Returns per Bu.'!AF152</f>
        <v>3.5633399014778329</v>
      </c>
      <c r="AZ145" s="164"/>
      <c r="BA145" s="65">
        <f t="shared" ref="BA145" si="24">AY145-BB145</f>
        <v>2.4303349753694583</v>
      </c>
      <c r="BB145" s="97">
        <f>'Returns per Bu.'!AD152</f>
        <v>1.1330049261083743</v>
      </c>
      <c r="BC145" s="97">
        <f t="shared" si="15"/>
        <v>0.85274911416472232</v>
      </c>
    </row>
    <row r="146" spans="1:55" x14ac:dyDescent="0.2">
      <c r="A146" s="8">
        <v>42736</v>
      </c>
      <c r="C146" s="53"/>
      <c r="D146" s="281">
        <v>1.4004999846220001</v>
      </c>
      <c r="E146" s="282">
        <v>96.95</v>
      </c>
      <c r="F146" s="281">
        <v>0.2671</v>
      </c>
      <c r="G146" s="281">
        <v>3.3792499899864001</v>
      </c>
      <c r="H146" s="266">
        <v>5.22</v>
      </c>
      <c r="I146" s="184"/>
      <c r="K146" s="93">
        <f>'Returns per Gal.'!J153</f>
        <v>1.4004999846220001</v>
      </c>
      <c r="L146" s="93">
        <f>'Returns per Gal.'!K153</f>
        <v>0.27894385964912277</v>
      </c>
      <c r="M146" s="93">
        <f>'Returns per Gal.'!L153</f>
        <v>6.0917543859649127E-2</v>
      </c>
      <c r="N146" s="93">
        <f>'Returns per Gal.'!M153</f>
        <v>1.740361388130772</v>
      </c>
      <c r="O146" s="110">
        <f>'Returns per Gal.'!N153</f>
        <v>0</v>
      </c>
      <c r="P146" s="108">
        <f>'Returns per Gal.'!O153</f>
        <v>0</v>
      </c>
      <c r="Q146" s="93">
        <f>'Returns per Gal.'!P153</f>
        <v>1.185701750872421</v>
      </c>
      <c r="R146" s="93">
        <f>'Returns per Gal.'!Q153</f>
        <v>0.15659999999999999</v>
      </c>
      <c r="S146" s="93">
        <f>'Returns per Gal.'!R153</f>
        <v>0.21939999999999998</v>
      </c>
      <c r="T146" s="93">
        <f>'Returns per Gal.'!S153</f>
        <v>1.5617017508724211</v>
      </c>
      <c r="U146" s="93">
        <f>'Returns per Gal.'!T153</f>
        <v>0.19624601212121212</v>
      </c>
      <c r="V146" s="93">
        <f>'Returns per Gal.'!U153</f>
        <v>1.7579477629936333</v>
      </c>
      <c r="W146" s="93">
        <f>'Returns per Gal.'!V153</f>
        <v>1.4180863594848614</v>
      </c>
      <c r="X146" s="105"/>
      <c r="Y146" s="93">
        <f>'Returns per Gal.'!V153</f>
        <v>1.4180863594848614</v>
      </c>
      <c r="Z146" s="93">
        <f>'Returns per Gal.'!Y153</f>
        <v>0.35955963725835105</v>
      </c>
      <c r="AA146" s="93">
        <f>'Returns per Gal.'!Z153</f>
        <v>0.17865963725835088</v>
      </c>
      <c r="AB146" s="93">
        <f>'Returns per Gal.'!AA153</f>
        <v>-1.7586374862861298E-2</v>
      </c>
      <c r="AC146" s="80">
        <f>'Returns per Gal.'!AB153</f>
        <v>0</v>
      </c>
      <c r="AD146" s="15">
        <f>'Returns per Gal.'!AC153</f>
        <v>0</v>
      </c>
      <c r="AE146" s="81">
        <f>'Returns per Gal.'!AD153</f>
        <v>0</v>
      </c>
      <c r="AF146" s="93">
        <f>'Returns per Gal.'!AE153</f>
        <v>0.39754558810820151</v>
      </c>
      <c r="AG146" s="93">
        <f>'Returns per Gal.'!AF153</f>
        <v>0.85274911416472232</v>
      </c>
      <c r="AH146" s="93">
        <f>'Returns per Gal.'!AG153</f>
        <v>1.2502947022729238</v>
      </c>
      <c r="AI146" s="105">
        <f>'Returns per Gal.'!AH153</f>
        <v>0</v>
      </c>
      <c r="AJ146" s="104">
        <f>'Returns per Gal.'!AI153</f>
        <v>0</v>
      </c>
      <c r="AK146" s="93">
        <f>'Returns per Gal.'!AJ153</f>
        <v>1.6262947022729239</v>
      </c>
      <c r="AL146" s="93">
        <f>'Returns per Gal.'!AK153</f>
        <v>1.8225407143941361</v>
      </c>
      <c r="AM146" s="105">
        <f>'Returns per Gal.'!AL153</f>
        <v>0</v>
      </c>
      <c r="AN146" s="104"/>
      <c r="AO146" s="93">
        <f>'Returns per Gal.'!AN153</f>
        <v>0.11406668585784807</v>
      </c>
      <c r="AP146" s="93">
        <f>'Returns per Gal.'!AO153</f>
        <v>-8.2179326263364105E-2</v>
      </c>
      <c r="AQ146" s="93">
        <f>'Returns per Gal.'!AP153</f>
        <v>-1.7586374862861298E-2</v>
      </c>
      <c r="AR146" s="93">
        <f>'Returns per Gal.'!AQ153</f>
        <v>-6.4592951400502807E-2</v>
      </c>
      <c r="AS146" s="52"/>
      <c r="AU146" s="177">
        <f>'Returns per Bu.'!G153</f>
        <v>3.3792499899864001</v>
      </c>
      <c r="AV146" s="166">
        <f>'Returns per Bu.'!N153</f>
        <v>4.9600299561727006</v>
      </c>
      <c r="AW146" s="166">
        <f>'Returns per Bu.'!O153</f>
        <v>3.3291288216272461</v>
      </c>
      <c r="AX146" s="169">
        <f>'Returns per Bu.'!Z153</f>
        <v>-1.5262553905418122E-2</v>
      </c>
      <c r="AY146" s="162">
        <f>'Returns per Bu.'!AF153</f>
        <v>3.5633399014778329</v>
      </c>
      <c r="AZ146" s="165"/>
      <c r="BA146" s="15">
        <f t="shared" ref="BA146" si="25">AY146-BB146</f>
        <v>2.4303349753694583</v>
      </c>
      <c r="BB146" s="93">
        <f>'Returns per Bu.'!AD153</f>
        <v>1.1330049261083743</v>
      </c>
      <c r="BC146" s="93">
        <f t="shared" si="15"/>
        <v>0.85274911416472232</v>
      </c>
    </row>
    <row r="147" spans="1:55" x14ac:dyDescent="0.2">
      <c r="A147" s="8">
        <v>42767</v>
      </c>
      <c r="C147" s="53"/>
      <c r="D147" s="281">
        <v>1.3807894556</v>
      </c>
      <c r="E147" s="282">
        <v>97.144736842100002</v>
      </c>
      <c r="F147" s="281">
        <v>0.27200000000000002</v>
      </c>
      <c r="G147" s="281">
        <v>3.4148684143999999</v>
      </c>
      <c r="H147" s="266">
        <v>5.14</v>
      </c>
      <c r="I147" s="184"/>
      <c r="K147" s="93">
        <f>'Returns per Gal.'!J154</f>
        <v>1.3807894556</v>
      </c>
      <c r="L147" s="93">
        <f>'Returns per Gal.'!K154</f>
        <v>0.27950415512463855</v>
      </c>
      <c r="M147" s="93">
        <f>'Returns per Gal.'!L154</f>
        <v>6.2035087719298249E-2</v>
      </c>
      <c r="N147" s="93">
        <f>'Returns per Gal.'!M154</f>
        <v>1.722328698443937</v>
      </c>
      <c r="O147" s="110">
        <f>'Returns per Gal.'!N154</f>
        <v>0</v>
      </c>
      <c r="P147" s="108">
        <f>'Returns per Gal.'!O154</f>
        <v>0</v>
      </c>
      <c r="Q147" s="93">
        <f>'Returns per Gal.'!P154</f>
        <v>1.1981994436491228</v>
      </c>
      <c r="R147" s="93">
        <f>'Returns per Gal.'!Q154</f>
        <v>0.15419999999999998</v>
      </c>
      <c r="S147" s="93">
        <f>'Returns per Gal.'!R154</f>
        <v>0.21939999999999998</v>
      </c>
      <c r="T147" s="93">
        <f>'Returns per Gal.'!S154</f>
        <v>1.5717994436491227</v>
      </c>
      <c r="U147" s="93">
        <f>'Returns per Gal.'!T154</f>
        <v>0.19624601212121212</v>
      </c>
      <c r="V147" s="93">
        <f>'Returns per Gal.'!U154</f>
        <v>1.7680454557703349</v>
      </c>
      <c r="W147" s="93">
        <f>'Returns per Gal.'!V154</f>
        <v>1.4265062129263981</v>
      </c>
      <c r="X147" s="105"/>
      <c r="Y147" s="93">
        <f>'Returns per Gal.'!V154</f>
        <v>1.4265062129263981</v>
      </c>
      <c r="Z147" s="93">
        <f>'Returns per Gal.'!Y154</f>
        <v>0.33142925479481422</v>
      </c>
      <c r="AA147" s="93">
        <f>'Returns per Gal.'!Z154</f>
        <v>0.15052925479481427</v>
      </c>
      <c r="AB147" s="93">
        <f>'Returns per Gal.'!AA154</f>
        <v>-4.5716757326397905E-2</v>
      </c>
      <c r="AC147" s="80">
        <f>'Returns per Gal.'!AB154</f>
        <v>0</v>
      </c>
      <c r="AD147" s="15">
        <f>'Returns per Gal.'!AC154</f>
        <v>0</v>
      </c>
      <c r="AE147" s="81">
        <f>'Returns per Gal.'!AD154</f>
        <v>0</v>
      </c>
      <c r="AF147" s="93">
        <f>'Returns per Gal.'!AE154</f>
        <v>0.39754558810820151</v>
      </c>
      <c r="AG147" s="93">
        <f>'Returns per Gal.'!AF154</f>
        <v>0.85274911416472232</v>
      </c>
      <c r="AH147" s="93">
        <f>'Returns per Gal.'!AG154</f>
        <v>1.2502947022729238</v>
      </c>
      <c r="AI147" s="105">
        <f>'Returns per Gal.'!AH154</f>
        <v>0</v>
      </c>
      <c r="AJ147" s="104">
        <f>'Returns per Gal.'!AI154</f>
        <v>0</v>
      </c>
      <c r="AK147" s="93">
        <f>'Returns per Gal.'!AJ154</f>
        <v>1.6238947022729238</v>
      </c>
      <c r="AL147" s="93">
        <f>'Returns per Gal.'!AK154</f>
        <v>1.8201407143941359</v>
      </c>
      <c r="AM147" s="105">
        <f>'Returns per Gal.'!AL154</f>
        <v>0</v>
      </c>
      <c r="AN147" s="104"/>
      <c r="AO147" s="93">
        <f>'Returns per Gal.'!AN154</f>
        <v>9.8433996171013227E-2</v>
      </c>
      <c r="AP147" s="93">
        <f>'Returns per Gal.'!AO154</f>
        <v>-9.7812015950198949E-2</v>
      </c>
      <c r="AQ147" s="93">
        <f>'Returns per Gal.'!AP154</f>
        <v>-4.5716757326397905E-2</v>
      </c>
      <c r="AR147" s="93">
        <f>'Returns per Gal.'!AQ154</f>
        <v>-5.2095258623801044E-2</v>
      </c>
      <c r="AS147" s="52"/>
      <c r="AU147" s="177">
        <f>'Returns per Bu.'!G154</f>
        <v>3.4148684143999999</v>
      </c>
      <c r="AV147" s="166">
        <f>'Returns per Bu.'!N154</f>
        <v>4.90863679056522</v>
      </c>
      <c r="AW147" s="166">
        <f>'Returns per Bu.'!O154</f>
        <v>3.2845756560197659</v>
      </c>
      <c r="AX147" s="169">
        <f>'Returns per Bu.'!Z154</f>
        <v>-3.9675855798376382E-2</v>
      </c>
      <c r="AY147" s="162">
        <f>'Returns per Bu.'!AF154</f>
        <v>3.5633399014778329</v>
      </c>
      <c r="AZ147" s="165"/>
      <c r="BA147" s="15">
        <f t="shared" ref="BA147" si="26">AY147-BB147</f>
        <v>2.4303349753694583</v>
      </c>
      <c r="BB147" s="93">
        <f>'Returns per Bu.'!AD154</f>
        <v>1.1330049261083743</v>
      </c>
      <c r="BC147" s="93">
        <f t="shared" si="15"/>
        <v>0.85274911416472232</v>
      </c>
    </row>
    <row r="148" spans="1:55" x14ac:dyDescent="0.2">
      <c r="A148" s="8">
        <v>42795</v>
      </c>
      <c r="C148" s="53"/>
      <c r="D148" s="281">
        <v>1.378478273</v>
      </c>
      <c r="E148" s="282">
        <v>95.706521738999996</v>
      </c>
      <c r="F148" s="281">
        <v>0.28129999999999999</v>
      </c>
      <c r="G148" s="281">
        <v>3.340516311</v>
      </c>
      <c r="H148" s="266">
        <v>4.6900000000000004</v>
      </c>
      <c r="I148" s="184"/>
      <c r="K148" s="93">
        <f>'Returns per Gal.'!J155</f>
        <v>1.378478273</v>
      </c>
      <c r="L148" s="93">
        <f>'Returns per Gal.'!K155</f>
        <v>0.2753661327227368</v>
      </c>
      <c r="M148" s="93">
        <f>'Returns per Gal.'!L155</f>
        <v>6.4156140350877189E-2</v>
      </c>
      <c r="N148" s="93">
        <f>'Returns per Gal.'!M155</f>
        <v>1.7180005460736141</v>
      </c>
      <c r="O148" s="110">
        <f>'Returns per Gal.'!N155</f>
        <v>0</v>
      </c>
      <c r="P148" s="108">
        <f>'Returns per Gal.'!O155</f>
        <v>0</v>
      </c>
      <c r="Q148" s="93">
        <f>'Returns per Gal.'!P155</f>
        <v>1.1721109863157895</v>
      </c>
      <c r="R148" s="93">
        <f>'Returns per Gal.'!Q155</f>
        <v>0.14070000000000002</v>
      </c>
      <c r="S148" s="93">
        <f>'Returns per Gal.'!R155</f>
        <v>0.21939999999999998</v>
      </c>
      <c r="T148" s="93">
        <f>'Returns per Gal.'!S155</f>
        <v>1.5322109863157896</v>
      </c>
      <c r="U148" s="93">
        <f>'Returns per Gal.'!T155</f>
        <v>0.19624601212121212</v>
      </c>
      <c r="V148" s="93">
        <f>'Returns per Gal.'!U155</f>
        <v>1.7284569984370017</v>
      </c>
      <c r="W148" s="93">
        <f>'Returns per Gal.'!V155</f>
        <v>1.3889347253633877</v>
      </c>
      <c r="X148" s="105"/>
      <c r="Y148" s="93">
        <f>'Returns per Gal.'!V155</f>
        <v>1.3889347253633877</v>
      </c>
      <c r="Z148" s="93">
        <f>'Returns per Gal.'!Y155</f>
        <v>0.36668955975782458</v>
      </c>
      <c r="AA148" s="93">
        <f>'Returns per Gal.'!Z155</f>
        <v>0.18578955975782452</v>
      </c>
      <c r="AB148" s="93">
        <f>'Returns per Gal.'!AA155</f>
        <v>-1.0456452363387658E-2</v>
      </c>
      <c r="AC148" s="80">
        <f>'Returns per Gal.'!AB155</f>
        <v>0</v>
      </c>
      <c r="AD148" s="15">
        <f>'Returns per Gal.'!AC155</f>
        <v>0</v>
      </c>
      <c r="AE148" s="81">
        <f>'Returns per Gal.'!AD155</f>
        <v>0</v>
      </c>
      <c r="AF148" s="93">
        <f>'Returns per Gal.'!AE155</f>
        <v>0.39754558810820151</v>
      </c>
      <c r="AG148" s="93">
        <f>'Returns per Gal.'!AF155</f>
        <v>0.85274911416472232</v>
      </c>
      <c r="AH148" s="93">
        <f>'Returns per Gal.'!AG155</f>
        <v>1.2502947022729238</v>
      </c>
      <c r="AI148" s="105">
        <f>'Returns per Gal.'!AH155</f>
        <v>0</v>
      </c>
      <c r="AJ148" s="104">
        <f>'Returns per Gal.'!AI155</f>
        <v>0</v>
      </c>
      <c r="AK148" s="93">
        <f>'Returns per Gal.'!AJ155</f>
        <v>1.6103947022729239</v>
      </c>
      <c r="AL148" s="93">
        <f>'Returns per Gal.'!AK155</f>
        <v>1.8066407143941361</v>
      </c>
      <c r="AM148" s="105">
        <f>'Returns per Gal.'!AL155</f>
        <v>0</v>
      </c>
      <c r="AN148" s="104"/>
      <c r="AO148" s="93">
        <f>'Returns per Gal.'!AN155</f>
        <v>0.10760584380069016</v>
      </c>
      <c r="AP148" s="93">
        <f>'Returns per Gal.'!AO155</f>
        <v>-8.8640168320522017E-2</v>
      </c>
      <c r="AQ148" s="93">
        <f>'Returns per Gal.'!AP155</f>
        <v>-1.0456452363387658E-2</v>
      </c>
      <c r="AR148" s="93">
        <f>'Returns per Gal.'!AQ155</f>
        <v>-7.8183715957134359E-2</v>
      </c>
      <c r="AS148" s="52"/>
      <c r="AU148" s="177">
        <f>'Returns per Bu.'!G155</f>
        <v>3.340516311</v>
      </c>
      <c r="AV148" s="166">
        <f>'Returns per Bu.'!N155</f>
        <v>4.8963015563098002</v>
      </c>
      <c r="AW148" s="166">
        <f>'Returns per Bu.'!O155</f>
        <v>3.3107154217643462</v>
      </c>
      <c r="AX148" s="169">
        <f>'Returns per Bu.'!Z155</f>
        <v>-9.0747620871349955E-3</v>
      </c>
      <c r="AY148" s="162">
        <f>'Returns per Bu.'!AF155</f>
        <v>3.5633399014778329</v>
      </c>
      <c r="AZ148" s="165"/>
      <c r="BA148" s="15">
        <f t="shared" ref="BA148" si="27">AY148-BB148</f>
        <v>2.4303349753694583</v>
      </c>
      <c r="BB148" s="93">
        <f>'Returns per Bu.'!AD155</f>
        <v>1.1330049261083743</v>
      </c>
      <c r="BC148" s="93">
        <f t="shared" si="15"/>
        <v>0.85274911416472232</v>
      </c>
    </row>
    <row r="149" spans="1:55" x14ac:dyDescent="0.2">
      <c r="A149" s="8">
        <v>42826</v>
      </c>
      <c r="C149" s="53"/>
      <c r="D149" s="281">
        <v>1.541749995947</v>
      </c>
      <c r="E149" s="282">
        <v>93.4375</v>
      </c>
      <c r="F149" s="281">
        <v>0.27629999999999999</v>
      </c>
      <c r="G149" s="281">
        <v>3.363593751192</v>
      </c>
      <c r="H149" s="266">
        <v>5.0599999999999996</v>
      </c>
      <c r="I149" s="184"/>
      <c r="K149" s="93">
        <f>'Returns per Gal.'!J156</f>
        <v>1.541749995947</v>
      </c>
      <c r="L149" s="93">
        <f>'Returns per Gal.'!K156</f>
        <v>0.26883771929824563</v>
      </c>
      <c r="M149" s="93">
        <f>'Returns per Gal.'!L156</f>
        <v>6.3015789473684206E-2</v>
      </c>
      <c r="N149" s="93">
        <f>'Returns per Gal.'!M156</f>
        <v>1.8736035047189299</v>
      </c>
      <c r="O149" s="110">
        <f>'Returns per Gal.'!N156</f>
        <v>0</v>
      </c>
      <c r="P149" s="108">
        <f>'Returns per Gal.'!O156</f>
        <v>0</v>
      </c>
      <c r="Q149" s="93">
        <f>'Returns per Gal.'!P156</f>
        <v>1.180208333751579</v>
      </c>
      <c r="R149" s="93">
        <f>'Returns per Gal.'!Q156</f>
        <v>0.15179999999999999</v>
      </c>
      <c r="S149" s="93">
        <f>'Returns per Gal.'!R156</f>
        <v>0.21939999999999998</v>
      </c>
      <c r="T149" s="93">
        <f>'Returns per Gal.'!S156</f>
        <v>1.5514083337515789</v>
      </c>
      <c r="U149" s="93">
        <f>'Returns per Gal.'!T156</f>
        <v>0.19624601212121212</v>
      </c>
      <c r="V149" s="93">
        <f>'Returns per Gal.'!U156</f>
        <v>1.7476543458727911</v>
      </c>
      <c r="W149" s="93">
        <f>'Returns per Gal.'!V156</f>
        <v>1.4158008371008612</v>
      </c>
      <c r="X149" s="105"/>
      <c r="Y149" s="93">
        <f>'Returns per Gal.'!V156</f>
        <v>1.4158008371008612</v>
      </c>
      <c r="Z149" s="93">
        <f>'Returns per Gal.'!Y156</f>
        <v>0.50309517096735101</v>
      </c>
      <c r="AA149" s="93">
        <f>'Returns per Gal.'!Z156</f>
        <v>0.32219517096735095</v>
      </c>
      <c r="AB149" s="93">
        <f>'Returns per Gal.'!AA156</f>
        <v>0.12594915884613878</v>
      </c>
      <c r="AC149" s="80">
        <f>'Returns per Gal.'!AB156</f>
        <v>0</v>
      </c>
      <c r="AD149" s="15">
        <f>'Returns per Gal.'!AC156</f>
        <v>0</v>
      </c>
      <c r="AE149" s="81">
        <f>'Returns per Gal.'!AD156</f>
        <v>0</v>
      </c>
      <c r="AF149" s="93">
        <f>'Returns per Gal.'!AE156</f>
        <v>0.39754558810820151</v>
      </c>
      <c r="AG149" s="93">
        <f>'Returns per Gal.'!AF156</f>
        <v>0.85274911416472232</v>
      </c>
      <c r="AH149" s="93">
        <f>'Returns per Gal.'!AG156</f>
        <v>1.2502947022729238</v>
      </c>
      <c r="AI149" s="105">
        <f>'Returns per Gal.'!AH156</f>
        <v>0</v>
      </c>
      <c r="AJ149" s="104">
        <f>'Returns per Gal.'!AI156</f>
        <v>0</v>
      </c>
      <c r="AK149" s="93">
        <f>'Returns per Gal.'!AJ156</f>
        <v>1.6214947022729238</v>
      </c>
      <c r="AL149" s="93">
        <f>'Returns per Gal.'!AK156</f>
        <v>1.817740714394136</v>
      </c>
      <c r="AM149" s="105">
        <f>'Returns per Gal.'!AL156</f>
        <v>0</v>
      </c>
      <c r="AN149" s="104"/>
      <c r="AO149" s="93">
        <f>'Returns per Gal.'!AN156</f>
        <v>0.25210880244600609</v>
      </c>
      <c r="AP149" s="93">
        <f>'Returns per Gal.'!AO156</f>
        <v>5.5862790324793909E-2</v>
      </c>
      <c r="AQ149" s="93">
        <f>'Returns per Gal.'!AP156</f>
        <v>0.12594915884613878</v>
      </c>
      <c r="AR149" s="93">
        <f>'Returns per Gal.'!AQ156</f>
        <v>-7.0086368521344866E-2</v>
      </c>
      <c r="AS149" s="52"/>
      <c r="AU149" s="177">
        <f>'Returns per Bu.'!G156</f>
        <v>3.363593751192</v>
      </c>
      <c r="AV149" s="166">
        <f>'Returns per Bu.'!N156</f>
        <v>5.3397699884489498</v>
      </c>
      <c r="AW149" s="166">
        <f>'Returns per Bu.'!O156</f>
        <v>3.7225488539034952</v>
      </c>
      <c r="AX149" s="169">
        <f>'Returns per Bu.'!Z156</f>
        <v>0.10930654220789925</v>
      </c>
      <c r="AY149" s="162">
        <f>'Returns per Bu.'!AF156</f>
        <v>3.5633399014778329</v>
      </c>
      <c r="AZ149" s="165"/>
      <c r="BA149" s="15">
        <f t="shared" ref="BA149" si="28">AY149-BB149</f>
        <v>2.4303349753694583</v>
      </c>
      <c r="BB149" s="93">
        <f>'Returns per Bu.'!AD156</f>
        <v>1.1330049261083743</v>
      </c>
      <c r="BC149" s="93">
        <f t="shared" si="15"/>
        <v>0.85274911416472232</v>
      </c>
    </row>
    <row r="150" spans="1:55" x14ac:dyDescent="0.2">
      <c r="A150" s="8">
        <v>42856</v>
      </c>
      <c r="C150" s="53"/>
      <c r="D150" s="281">
        <v>1.4459090828900001</v>
      </c>
      <c r="E150" s="282">
        <v>93.454545455000002</v>
      </c>
      <c r="F150" s="281">
        <v>0.29139999999999999</v>
      </c>
      <c r="G150" s="281">
        <v>3.3967613659100002</v>
      </c>
      <c r="H150" s="266">
        <v>5.31</v>
      </c>
      <c r="I150" s="184"/>
      <c r="K150" s="93">
        <f>'Returns per Gal.'!J157</f>
        <v>1.4459090828900001</v>
      </c>
      <c r="L150" s="93">
        <f>'Returns per Gal.'!K157</f>
        <v>0.26888676236175435</v>
      </c>
      <c r="M150" s="93">
        <f>'Returns per Gal.'!L157</f>
        <v>6.645964912280701E-2</v>
      </c>
      <c r="N150" s="93">
        <f>'Returns per Gal.'!M157</f>
        <v>1.7812554943745615</v>
      </c>
      <c r="O150" s="110">
        <f>'Returns per Gal.'!N157</f>
        <v>0</v>
      </c>
      <c r="P150" s="108">
        <f>'Returns per Gal.'!O157</f>
        <v>0</v>
      </c>
      <c r="Q150" s="93">
        <f>'Returns per Gal.'!P157</f>
        <v>1.1918460933017545</v>
      </c>
      <c r="R150" s="93">
        <f>'Returns per Gal.'!Q157</f>
        <v>0.1593</v>
      </c>
      <c r="S150" s="93">
        <f>'Returns per Gal.'!R157</f>
        <v>0.21939999999999998</v>
      </c>
      <c r="T150" s="93">
        <f>'Returns per Gal.'!S157</f>
        <v>1.5705460933017545</v>
      </c>
      <c r="U150" s="93">
        <f>'Returns per Gal.'!T157</f>
        <v>0.19624601212121212</v>
      </c>
      <c r="V150" s="93">
        <f>'Returns per Gal.'!U157</f>
        <v>1.7667921054229667</v>
      </c>
      <c r="W150" s="93">
        <f>'Returns per Gal.'!V157</f>
        <v>1.4314456939384053</v>
      </c>
      <c r="X150" s="105"/>
      <c r="Y150" s="93">
        <f>'Returns per Gal.'!V157</f>
        <v>1.4314456939384053</v>
      </c>
      <c r="Z150" s="93">
        <f>'Returns per Gal.'!Y157</f>
        <v>0.39160940107280706</v>
      </c>
      <c r="AA150" s="93">
        <f>'Returns per Gal.'!Z157</f>
        <v>0.210709401072807</v>
      </c>
      <c r="AB150" s="93">
        <f>'Returns per Gal.'!AA157</f>
        <v>1.4463388951594824E-2</v>
      </c>
      <c r="AC150" s="80">
        <f>'Returns per Gal.'!AB157</f>
        <v>0</v>
      </c>
      <c r="AD150" s="15">
        <f>'Returns per Gal.'!AC157</f>
        <v>0</v>
      </c>
      <c r="AE150" s="81">
        <f>'Returns per Gal.'!AD157</f>
        <v>0</v>
      </c>
      <c r="AF150" s="93">
        <f>'Returns per Gal.'!AE157</f>
        <v>0.39754558810820151</v>
      </c>
      <c r="AG150" s="93">
        <f>'Returns per Gal.'!AF157</f>
        <v>0.85274911416472232</v>
      </c>
      <c r="AH150" s="93">
        <f>'Returns per Gal.'!AG157</f>
        <v>1.2502947022729238</v>
      </c>
      <c r="AI150" s="105">
        <f>'Returns per Gal.'!AH157</f>
        <v>0</v>
      </c>
      <c r="AJ150" s="104">
        <f>'Returns per Gal.'!AI157</f>
        <v>0</v>
      </c>
      <c r="AK150" s="93">
        <f>'Returns per Gal.'!AJ157</f>
        <v>1.6289947022729239</v>
      </c>
      <c r="AL150" s="93">
        <f>'Returns per Gal.'!AK157</f>
        <v>1.825240714394136</v>
      </c>
      <c r="AM150" s="105">
        <f>'Returns per Gal.'!AL157</f>
        <v>0</v>
      </c>
      <c r="AN150" s="104"/>
      <c r="AO150" s="93">
        <f>'Returns per Gal.'!AN157</f>
        <v>0.15226079210163768</v>
      </c>
      <c r="AP150" s="93">
        <f>'Returns per Gal.'!AO157</f>
        <v>-4.39852200195745E-2</v>
      </c>
      <c r="AQ150" s="93">
        <f>'Returns per Gal.'!AP157</f>
        <v>1.4463388951594824E-2</v>
      </c>
      <c r="AR150" s="93">
        <f>'Returns per Gal.'!AQ157</f>
        <v>-5.8448608971169325E-2</v>
      </c>
      <c r="AS150" s="52"/>
      <c r="AU150" s="177">
        <f>'Returns per Bu.'!G157</f>
        <v>3.3967613659100002</v>
      </c>
      <c r="AV150" s="166">
        <f>'Returns per Bu.'!N157</f>
        <v>5.0765781589675001</v>
      </c>
      <c r="AW150" s="166">
        <f>'Returns per Bu.'!O157</f>
        <v>3.437982024422046</v>
      </c>
      <c r="AX150" s="169">
        <f>'Returns per Bu.'!Z157</f>
        <v>1.2552231784557513E-2</v>
      </c>
      <c r="AY150" s="162">
        <f>'Returns per Bu.'!AF157</f>
        <v>3.5633399014778329</v>
      </c>
      <c r="AZ150" s="165"/>
      <c r="BA150" s="15">
        <f t="shared" ref="BA150" si="29">AY150-BB150</f>
        <v>2.4303349753694583</v>
      </c>
      <c r="BB150" s="93">
        <f>'Returns per Bu.'!AD157</f>
        <v>1.1330049261083743</v>
      </c>
      <c r="BC150" s="93">
        <f t="shared" si="15"/>
        <v>0.85274911416472232</v>
      </c>
    </row>
    <row r="151" spans="1:55" x14ac:dyDescent="0.2">
      <c r="A151" s="8">
        <v>42887</v>
      </c>
      <c r="C151" s="53"/>
      <c r="D151" s="281">
        <v>1.5050000007</v>
      </c>
      <c r="E151" s="282">
        <v>99.068181818179994</v>
      </c>
      <c r="F151" s="281">
        <v>0.29920000000000002</v>
      </c>
      <c r="G151" s="281">
        <v>3.3717897724000001</v>
      </c>
      <c r="H151" s="266">
        <v>5.51</v>
      </c>
      <c r="I151" s="184"/>
      <c r="K151" s="93">
        <f>'Returns per Gal.'!J158</f>
        <v>1.5050000007</v>
      </c>
      <c r="L151" s="93">
        <f>'Returns per Gal.'!K158</f>
        <v>0.28503827751195643</v>
      </c>
      <c r="M151" s="93">
        <f>'Returns per Gal.'!L158</f>
        <v>6.8238596491228071E-2</v>
      </c>
      <c r="N151" s="93">
        <f>'Returns per Gal.'!M158</f>
        <v>1.8582768747031844</v>
      </c>
      <c r="O151" s="110">
        <f>'Returns per Gal.'!N158</f>
        <v>0</v>
      </c>
      <c r="P151" s="108">
        <f>'Returns per Gal.'!O158</f>
        <v>0</v>
      </c>
      <c r="Q151" s="93">
        <f>'Returns per Gal.'!P158</f>
        <v>1.1830841306666666</v>
      </c>
      <c r="R151" s="93">
        <f>'Returns per Gal.'!Q158</f>
        <v>0.1653</v>
      </c>
      <c r="S151" s="93">
        <f>'Returns per Gal.'!R158</f>
        <v>0.21939999999999998</v>
      </c>
      <c r="T151" s="93">
        <f>'Returns per Gal.'!S158</f>
        <v>1.5677841306666667</v>
      </c>
      <c r="U151" s="93">
        <f>'Returns per Gal.'!T158</f>
        <v>0.19624601212121212</v>
      </c>
      <c r="V151" s="93">
        <f>'Returns per Gal.'!U158</f>
        <v>1.7640301427878788</v>
      </c>
      <c r="W151" s="93">
        <f>'Returns per Gal.'!V158</f>
        <v>1.4107532687846944</v>
      </c>
      <c r="X151" s="105"/>
      <c r="Y151" s="93">
        <f>'Returns per Gal.'!V158</f>
        <v>1.4107532687846944</v>
      </c>
      <c r="Z151" s="93">
        <f>'Returns per Gal.'!Y158</f>
        <v>0.47139274403651776</v>
      </c>
      <c r="AA151" s="93">
        <f>'Returns per Gal.'!Z158</f>
        <v>0.2904927440365177</v>
      </c>
      <c r="AB151" s="93">
        <f>'Returns per Gal.'!AA158</f>
        <v>9.4246731915305526E-2</v>
      </c>
      <c r="AC151" s="80">
        <f>'Returns per Gal.'!AB158</f>
        <v>0</v>
      </c>
      <c r="AD151" s="15">
        <f>'Returns per Gal.'!AC158</f>
        <v>0</v>
      </c>
      <c r="AE151" s="81">
        <f>'Returns per Gal.'!AD158</f>
        <v>0</v>
      </c>
      <c r="AF151" s="93">
        <f>'Returns per Gal.'!AE158</f>
        <v>0.39754558810820151</v>
      </c>
      <c r="AG151" s="93">
        <f>'Returns per Gal.'!AF158</f>
        <v>0.85274911416472232</v>
      </c>
      <c r="AH151" s="93">
        <f>'Returns per Gal.'!AG158</f>
        <v>1.2502947022729238</v>
      </c>
      <c r="AI151" s="105">
        <f>'Returns per Gal.'!AH158</f>
        <v>0</v>
      </c>
      <c r="AJ151" s="104">
        <f>'Returns per Gal.'!AI158</f>
        <v>0</v>
      </c>
      <c r="AK151" s="93">
        <f>'Returns per Gal.'!AJ158</f>
        <v>1.6349947022729239</v>
      </c>
      <c r="AL151" s="93">
        <f>'Returns per Gal.'!AK158</f>
        <v>1.831240714394136</v>
      </c>
      <c r="AM151" s="105">
        <f>'Returns per Gal.'!AL158</f>
        <v>0</v>
      </c>
      <c r="AN151" s="104"/>
      <c r="AO151" s="93">
        <f>'Returns per Gal.'!AN158</f>
        <v>0.22328217243026049</v>
      </c>
      <c r="AP151" s="93">
        <f>'Returns per Gal.'!AO158</f>
        <v>2.7036160309048318E-2</v>
      </c>
      <c r="AQ151" s="93">
        <f>'Returns per Gal.'!AP158</f>
        <v>9.4246731915305526E-2</v>
      </c>
      <c r="AR151" s="93">
        <f>'Returns per Gal.'!AQ158</f>
        <v>-6.7210571606257208E-2</v>
      </c>
      <c r="AS151" s="52"/>
      <c r="AU151" s="177">
        <f>'Returns per Bu.'!G158</f>
        <v>3.3717897724000001</v>
      </c>
      <c r="AV151" s="166">
        <f>'Returns per Bu.'!N158</f>
        <v>5.2960890929040758</v>
      </c>
      <c r="AW151" s="166">
        <f>'Returns per Bu.'!O158</f>
        <v>3.6403929583586216</v>
      </c>
      <c r="AX151" s="169">
        <f>'Returns per Bu.'!Z158</f>
        <v>8.1793197147443819E-2</v>
      </c>
      <c r="AY151" s="162">
        <f>'Returns per Bu.'!AF158</f>
        <v>3.5633399014778329</v>
      </c>
      <c r="AZ151" s="165"/>
      <c r="BA151" s="15">
        <f t="shared" ref="BA151" si="30">AY151-BB151</f>
        <v>2.4303349753694583</v>
      </c>
      <c r="BB151" s="93">
        <f>'Returns per Bu.'!AD158</f>
        <v>1.1330049261083743</v>
      </c>
      <c r="BC151" s="93">
        <f t="shared" si="15"/>
        <v>0.85274911416472232</v>
      </c>
    </row>
    <row r="152" spans="1:55" x14ac:dyDescent="0.2">
      <c r="A152" s="8">
        <v>42917</v>
      </c>
      <c r="C152" s="53"/>
      <c r="D152" s="281">
        <v>1.472249996662</v>
      </c>
      <c r="E152" s="282">
        <v>103.85</v>
      </c>
      <c r="F152" s="281">
        <v>0.28010000000000002</v>
      </c>
      <c r="G152" s="281">
        <v>3.4018750101299999</v>
      </c>
      <c r="H152" s="266">
        <v>5.43</v>
      </c>
      <c r="I152" s="184"/>
      <c r="K152" s="93">
        <f>'Returns per Gal.'!J159</f>
        <v>1.472249996662</v>
      </c>
      <c r="L152" s="93">
        <f>'Returns per Gal.'!K159</f>
        <v>0.29879649122807017</v>
      </c>
      <c r="M152" s="93">
        <f>'Returns per Gal.'!L159</f>
        <v>6.3882456140350874E-2</v>
      </c>
      <c r="N152" s="93">
        <f>'Returns per Gal.'!M159</f>
        <v>1.8349289440304211</v>
      </c>
      <c r="O152" s="110">
        <f>'Returns per Gal.'!N159</f>
        <v>0</v>
      </c>
      <c r="P152" s="108">
        <f>'Returns per Gal.'!O159</f>
        <v>0</v>
      </c>
      <c r="Q152" s="93">
        <f>'Returns per Gal.'!P159</f>
        <v>1.1936403544315788</v>
      </c>
      <c r="R152" s="93">
        <f>'Returns per Gal.'!Q159</f>
        <v>0.16289999999999999</v>
      </c>
      <c r="S152" s="93">
        <f>'Returns per Gal.'!R159</f>
        <v>0.21939999999999998</v>
      </c>
      <c r="T152" s="93">
        <f>'Returns per Gal.'!S159</f>
        <v>1.5759403544315789</v>
      </c>
      <c r="U152" s="93">
        <f>'Returns per Gal.'!T159</f>
        <v>0.19624601212121212</v>
      </c>
      <c r="V152" s="93">
        <f>'Returns per Gal.'!U159</f>
        <v>1.772186366552791</v>
      </c>
      <c r="W152" s="93">
        <f>'Returns per Gal.'!V159</f>
        <v>1.4095074191843699</v>
      </c>
      <c r="X152" s="105"/>
      <c r="Y152" s="93">
        <f>'Returns per Gal.'!V159</f>
        <v>1.4095074191843699</v>
      </c>
      <c r="Z152" s="93">
        <f>'Returns per Gal.'!Y159</f>
        <v>0.43988858959884231</v>
      </c>
      <c r="AA152" s="93">
        <f>'Returns per Gal.'!Z159</f>
        <v>0.25898858959884219</v>
      </c>
      <c r="AB152" s="93">
        <f>'Returns per Gal.'!AA159</f>
        <v>6.2742577477630013E-2</v>
      </c>
      <c r="AC152" s="80">
        <f>'Returns per Gal.'!AB159</f>
        <v>0</v>
      </c>
      <c r="AD152" s="15">
        <f>'Returns per Gal.'!AC159</f>
        <v>0</v>
      </c>
      <c r="AE152" s="81">
        <f>'Returns per Gal.'!AD159</f>
        <v>0</v>
      </c>
      <c r="AF152" s="93">
        <f>'Returns per Gal.'!AE159</f>
        <v>0.39754558810820151</v>
      </c>
      <c r="AG152" s="93">
        <f>'Returns per Gal.'!AF159</f>
        <v>0.85274911416472232</v>
      </c>
      <c r="AH152" s="93">
        <f>'Returns per Gal.'!AG159</f>
        <v>1.2502947022729238</v>
      </c>
      <c r="AI152" s="105">
        <f>'Returns per Gal.'!AH159</f>
        <v>0</v>
      </c>
      <c r="AJ152" s="104">
        <f>'Returns per Gal.'!AI159</f>
        <v>0</v>
      </c>
      <c r="AK152" s="93">
        <f>'Returns per Gal.'!AJ159</f>
        <v>1.6325947022729239</v>
      </c>
      <c r="AL152" s="93">
        <f>'Returns per Gal.'!AK159</f>
        <v>1.8288407143941361</v>
      </c>
      <c r="AM152" s="105">
        <f>'Returns per Gal.'!AL159</f>
        <v>0</v>
      </c>
      <c r="AN152" s="104"/>
      <c r="AO152" s="93">
        <f>'Returns per Gal.'!AN159</f>
        <v>0.20233424175749715</v>
      </c>
      <c r="AP152" s="93">
        <f>'Returns per Gal.'!AO159</f>
        <v>6.0882296362849697E-3</v>
      </c>
      <c r="AQ152" s="93">
        <f>'Returns per Gal.'!AP159</f>
        <v>6.2742577477630013E-2</v>
      </c>
      <c r="AR152" s="93">
        <f>'Returns per Gal.'!AQ159</f>
        <v>-5.6654347841345043E-2</v>
      </c>
      <c r="AS152" s="52"/>
      <c r="AU152" s="177">
        <f>'Returns per Bu.'!G159</f>
        <v>3.4018750101299999</v>
      </c>
      <c r="AV152" s="166">
        <f>'Returns per Bu.'!N159</f>
        <v>5.2295474904866994</v>
      </c>
      <c r="AW152" s="166">
        <f>'Returns per Bu.'!O159</f>
        <v>3.5806913559412448</v>
      </c>
      <c r="AX152" s="169">
        <f>'Returns per Bu.'!Z159</f>
        <v>5.4451925333371794E-2</v>
      </c>
      <c r="AY152" s="162">
        <f>'Returns per Bu.'!AF159</f>
        <v>3.5633399014778329</v>
      </c>
      <c r="AZ152" s="165"/>
      <c r="BA152" s="15">
        <f t="shared" ref="BA152" si="31">AY152-BB152</f>
        <v>2.4303349753694583</v>
      </c>
      <c r="BB152" s="93">
        <f>'Returns per Bu.'!AD159</f>
        <v>1.1330049261083743</v>
      </c>
      <c r="BC152" s="93">
        <f t="shared" si="15"/>
        <v>0.85274911416472232</v>
      </c>
    </row>
    <row r="153" spans="1:55" x14ac:dyDescent="0.2">
      <c r="A153" s="8">
        <v>42948</v>
      </c>
      <c r="C153" s="53"/>
      <c r="D153" s="281">
        <v>1.486136366</v>
      </c>
      <c r="E153" s="282">
        <v>108.6818181818</v>
      </c>
      <c r="F153" s="281">
        <v>0.28160000000000002</v>
      </c>
      <c r="G153" s="281">
        <v>3.1971591061</v>
      </c>
      <c r="H153" s="266">
        <v>5.18</v>
      </c>
      <c r="I153" s="184"/>
      <c r="K153" s="93">
        <f>'Returns per Gal.'!J160</f>
        <v>1.486136366</v>
      </c>
      <c r="L153" s="93">
        <f>'Returns per Gal.'!K160</f>
        <v>0.31269856459324907</v>
      </c>
      <c r="M153" s="93">
        <f>'Returns per Gal.'!L160</f>
        <v>6.4224561403508768E-2</v>
      </c>
      <c r="N153" s="93">
        <f>'Returns per Gal.'!M160</f>
        <v>1.8630594919967578</v>
      </c>
      <c r="O153" s="110">
        <f>'Returns per Gal.'!N160</f>
        <v>0</v>
      </c>
      <c r="P153" s="108">
        <f>'Returns per Gal.'!O160</f>
        <v>0</v>
      </c>
      <c r="Q153" s="93">
        <f>'Returns per Gal.'!P160</f>
        <v>1.1218102126666667</v>
      </c>
      <c r="R153" s="93">
        <f>'Returns per Gal.'!Q160</f>
        <v>0.15539999999999998</v>
      </c>
      <c r="S153" s="93">
        <f>'Returns per Gal.'!R160</f>
        <v>0.21939999999999998</v>
      </c>
      <c r="T153" s="93">
        <f>'Returns per Gal.'!S160</f>
        <v>1.4966102126666667</v>
      </c>
      <c r="U153" s="93">
        <f>'Returns per Gal.'!T160</f>
        <v>0.19624601212121212</v>
      </c>
      <c r="V153" s="93">
        <f>'Returns per Gal.'!U160</f>
        <v>1.6928562247878789</v>
      </c>
      <c r="W153" s="93">
        <f>'Returns per Gal.'!V160</f>
        <v>1.3159330987911209</v>
      </c>
      <c r="X153" s="105"/>
      <c r="Y153" s="93">
        <f>'Returns per Gal.'!V160</f>
        <v>1.3159330987911209</v>
      </c>
      <c r="Z153" s="93">
        <f>'Returns per Gal.'!Y160</f>
        <v>0.54734927933009114</v>
      </c>
      <c r="AA153" s="93">
        <f>'Returns per Gal.'!Z160</f>
        <v>0.36644927933009108</v>
      </c>
      <c r="AB153" s="93">
        <f>'Returns per Gal.'!AA160</f>
        <v>0.17020326720887891</v>
      </c>
      <c r="AC153" s="80">
        <f>'Returns per Gal.'!AB160</f>
        <v>0</v>
      </c>
      <c r="AD153" s="15">
        <f>'Returns per Gal.'!AC160</f>
        <v>0</v>
      </c>
      <c r="AE153" s="81">
        <f>'Returns per Gal.'!AD160</f>
        <v>0</v>
      </c>
      <c r="AF153" s="93">
        <f>'Returns per Gal.'!AE160</f>
        <v>0.39754558810820151</v>
      </c>
      <c r="AG153" s="93">
        <f>'Returns per Gal.'!AF160</f>
        <v>0.85274911416472232</v>
      </c>
      <c r="AH153" s="93">
        <f>'Returns per Gal.'!AG160</f>
        <v>1.2502947022729238</v>
      </c>
      <c r="AI153" s="105">
        <f>'Returns per Gal.'!AH160</f>
        <v>0</v>
      </c>
      <c r="AJ153" s="104">
        <f>'Returns per Gal.'!AI160</f>
        <v>0</v>
      </c>
      <c r="AK153" s="93">
        <f>'Returns per Gal.'!AJ160</f>
        <v>1.6250947022729239</v>
      </c>
      <c r="AL153" s="93">
        <f>'Returns per Gal.'!AK160</f>
        <v>1.821340714394136</v>
      </c>
      <c r="AM153" s="105">
        <f>'Returns per Gal.'!AL160</f>
        <v>0</v>
      </c>
      <c r="AN153" s="104"/>
      <c r="AO153" s="93">
        <f>'Returns per Gal.'!AN160</f>
        <v>0.23796478972383395</v>
      </c>
      <c r="AP153" s="93">
        <f>'Returns per Gal.'!AO160</f>
        <v>4.171877760262177E-2</v>
      </c>
      <c r="AQ153" s="93">
        <f>'Returns per Gal.'!AP160</f>
        <v>0.17020326720887891</v>
      </c>
      <c r="AR153" s="93">
        <f>'Returns per Gal.'!AQ160</f>
        <v>-0.12848448960625714</v>
      </c>
      <c r="AS153" s="52"/>
      <c r="AU153" s="177">
        <f>'Returns per Bu.'!G160</f>
        <v>3.1971591061</v>
      </c>
      <c r="AV153" s="166">
        <f>'Returns per Bu.'!N160</f>
        <v>5.3097195521907601</v>
      </c>
      <c r="AW153" s="166">
        <f>'Returns per Bu.'!O160</f>
        <v>3.6822384176453058</v>
      </c>
      <c r="AX153" s="169">
        <f>'Returns per Bu.'!Z160</f>
        <v>0.14771301993224928</v>
      </c>
      <c r="AY153" s="162">
        <f>'Returns per Bu.'!AF160</f>
        <v>3.5633399014778329</v>
      </c>
      <c r="AZ153" s="165"/>
      <c r="BA153" s="15">
        <f t="shared" ref="BA153" si="32">AY153-BB153</f>
        <v>2.4303349753694583</v>
      </c>
      <c r="BB153" s="93">
        <f>'Returns per Bu.'!AD160</f>
        <v>1.1330049261083743</v>
      </c>
      <c r="BC153" s="93">
        <f t="shared" si="15"/>
        <v>0.85274911416472232</v>
      </c>
    </row>
    <row r="154" spans="1:55" x14ac:dyDescent="0.2">
      <c r="A154" s="8">
        <v>42979</v>
      </c>
      <c r="C154" s="53"/>
      <c r="D154" s="281">
        <v>1.5102499812841415</v>
      </c>
      <c r="E154" s="282">
        <v>104.1125</v>
      </c>
      <c r="F154" s="281">
        <v>0.28760000000000002</v>
      </c>
      <c r="G154" s="281">
        <v>3.1779375314712524</v>
      </c>
      <c r="H154" s="266">
        <v>5.33</v>
      </c>
      <c r="I154" s="184"/>
      <c r="K154" s="93">
        <f>'Returns per Gal.'!J161</f>
        <v>1.5102499812841415</v>
      </c>
      <c r="L154" s="93">
        <f>'Returns per Gal.'!K161</f>
        <v>0.29955175438596487</v>
      </c>
      <c r="M154" s="93">
        <f>'Returns per Gal.'!L161</f>
        <v>6.5592982456140356E-2</v>
      </c>
      <c r="N154" s="93">
        <f>'Returns per Gal.'!M161</f>
        <v>1.8753947181262467</v>
      </c>
      <c r="O154" s="110">
        <f>'Returns per Gal.'!N161</f>
        <v>0</v>
      </c>
      <c r="P154" s="108">
        <f>'Returns per Gal.'!O161</f>
        <v>0</v>
      </c>
      <c r="Q154" s="93">
        <f>'Returns per Gal.'!P161</f>
        <v>1.1150658005162288</v>
      </c>
      <c r="R154" s="93">
        <f>'Returns per Gal.'!Q161</f>
        <v>0.15989999999999999</v>
      </c>
      <c r="S154" s="93">
        <f>'Returns per Gal.'!R161</f>
        <v>0.21939999999999998</v>
      </c>
      <c r="T154" s="93">
        <f>'Returns per Gal.'!S161</f>
        <v>1.4943658005162288</v>
      </c>
      <c r="U154" s="93">
        <f>'Returns per Gal.'!T161</f>
        <v>0.19624601212121212</v>
      </c>
      <c r="V154" s="93">
        <f>'Returns per Gal.'!U161</f>
        <v>1.690611812637441</v>
      </c>
      <c r="W154" s="93">
        <f>'Returns per Gal.'!V161</f>
        <v>1.3254670757953357</v>
      </c>
      <c r="X154" s="105"/>
      <c r="Y154" s="93">
        <f>'Returns per Gal.'!V161</f>
        <v>1.3254670757953357</v>
      </c>
      <c r="Z154" s="93">
        <f>'Returns per Gal.'!Y161</f>
        <v>0.56192891761001795</v>
      </c>
      <c r="AA154" s="93">
        <f>'Returns per Gal.'!Z161</f>
        <v>0.38102891761001789</v>
      </c>
      <c r="AB154" s="93">
        <f>'Returns per Gal.'!AA161</f>
        <v>0.18478290548880572</v>
      </c>
      <c r="AC154" s="80">
        <f>'Returns per Gal.'!AB161</f>
        <v>0</v>
      </c>
      <c r="AD154" s="15">
        <f>'Returns per Gal.'!AC161</f>
        <v>0</v>
      </c>
      <c r="AE154" s="81">
        <f>'Returns per Gal.'!AD161</f>
        <v>0</v>
      </c>
      <c r="AF154" s="93">
        <f>'Returns per Gal.'!AE161</f>
        <v>0.38040646169880149</v>
      </c>
      <c r="AG154" s="93">
        <f>'Returns per Gal.'!AF161</f>
        <v>0.80141566788257768</v>
      </c>
      <c r="AH154" s="93">
        <f>'Returns per Gal.'!AG161</f>
        <v>1.1818221295813791</v>
      </c>
      <c r="AI154" s="105">
        <f>'Returns per Gal.'!AH161</f>
        <v>0</v>
      </c>
      <c r="AJ154" s="104">
        <f>'Returns per Gal.'!AI161</f>
        <v>0</v>
      </c>
      <c r="AK154" s="93">
        <f>'Returns per Gal.'!AJ161</f>
        <v>1.5611221295813791</v>
      </c>
      <c r="AL154" s="93">
        <f>'Returns per Gal.'!AK161</f>
        <v>1.7573681417025913</v>
      </c>
      <c r="AM154" s="105">
        <f>'Returns per Gal.'!AL161</f>
        <v>0</v>
      </c>
      <c r="AN154" s="104"/>
      <c r="AO154" s="93">
        <f>'Returns per Gal.'!AN161</f>
        <v>0.31427258854486761</v>
      </c>
      <c r="AP154" s="93">
        <f>'Returns per Gal.'!AO161</f>
        <v>0.11802657642365544</v>
      </c>
      <c r="AQ154" s="93">
        <f>'Returns per Gal.'!AP161</f>
        <v>0.18478290548880572</v>
      </c>
      <c r="AR154" s="93">
        <f>'Returns per Gal.'!AQ161</f>
        <v>-6.6756329065150277E-2</v>
      </c>
      <c r="AS154" s="52"/>
      <c r="AU154" s="177">
        <f>'Returns per Bu.'!G161</f>
        <v>3.1779375314712524</v>
      </c>
      <c r="AV154" s="166">
        <f>'Returns per Bu.'!N161</f>
        <v>5.3448749466598029</v>
      </c>
      <c r="AW154" s="166">
        <f>'Returns per Bu.'!O161</f>
        <v>3.7045688121143487</v>
      </c>
      <c r="AX154" s="169">
        <f>'Returns per Bu.'!Z161</f>
        <v>0.16036614014059872</v>
      </c>
      <c r="AY154" s="162">
        <f>'Returns per Bu.'!AF161</f>
        <v>3.3681930693069306</v>
      </c>
      <c r="AZ154" s="165"/>
      <c r="BA154" s="15">
        <f t="shared" ref="BA154" si="33">AY154-BB154</f>
        <v>2.2840346534653464</v>
      </c>
      <c r="BB154" s="93">
        <f>'Returns per Bu.'!AD161</f>
        <v>1.0841584158415842</v>
      </c>
      <c r="BC154" s="93">
        <f t="shared" si="15"/>
        <v>0.80141566788257768</v>
      </c>
    </row>
    <row r="155" spans="1:55" x14ac:dyDescent="0.2">
      <c r="A155" s="8">
        <v>43009</v>
      </c>
      <c r="C155" s="53"/>
      <c r="D155" s="281">
        <v>1.4045238125891912</v>
      </c>
      <c r="E155" s="282">
        <v>108.95238095238095</v>
      </c>
      <c r="F155" s="281">
        <v>0.26850000000000002</v>
      </c>
      <c r="G155" s="281">
        <v>3.1547619161151705</v>
      </c>
      <c r="H155" s="266">
        <v>5.0599999999999996</v>
      </c>
      <c r="I155" s="184"/>
      <c r="K155" s="93">
        <f>'Returns per Gal.'!J162</f>
        <v>1.4045238125891912</v>
      </c>
      <c r="L155" s="93">
        <f>'Returns per Gal.'!K162</f>
        <v>0.31347702589807852</v>
      </c>
      <c r="M155" s="93">
        <f>'Returns per Gal.'!L162</f>
        <v>6.1236842105263159E-2</v>
      </c>
      <c r="N155" s="93">
        <f>'Returns per Gal.'!M162</f>
        <v>1.779237680592533</v>
      </c>
      <c r="O155" s="110">
        <f>'Returns per Gal.'!N162</f>
        <v>0</v>
      </c>
      <c r="P155" s="108">
        <f>'Returns per Gal.'!O162</f>
        <v>0</v>
      </c>
      <c r="Q155" s="93">
        <f>'Returns per Gal.'!P162</f>
        <v>1.1069340056544457</v>
      </c>
      <c r="R155" s="93">
        <f>'Returns per Gal.'!Q162</f>
        <v>0.15179999999999999</v>
      </c>
      <c r="S155" s="93">
        <f>'Returns per Gal.'!R162</f>
        <v>0.21939999999999998</v>
      </c>
      <c r="T155" s="93">
        <f>'Returns per Gal.'!S162</f>
        <v>1.4781340056544456</v>
      </c>
      <c r="U155" s="93">
        <f>'Returns per Gal.'!T162</f>
        <v>0.19624601212121212</v>
      </c>
      <c r="V155" s="93">
        <f>'Returns per Gal.'!U162</f>
        <v>1.6743800177756578</v>
      </c>
      <c r="W155" s="93">
        <f>'Returns per Gal.'!V162</f>
        <v>1.2996661497723161</v>
      </c>
      <c r="X155" s="105"/>
      <c r="Y155" s="93">
        <f>'Returns per Gal.'!V162</f>
        <v>1.2996661497723161</v>
      </c>
      <c r="Z155" s="93">
        <f>'Returns per Gal.'!Y162</f>
        <v>0.48200367493808738</v>
      </c>
      <c r="AA155" s="93">
        <f>'Returns per Gal.'!Z162</f>
        <v>0.30110367493808732</v>
      </c>
      <c r="AB155" s="93">
        <f>'Returns per Gal.'!AA162</f>
        <v>0.10485766281687514</v>
      </c>
      <c r="AC155" s="80">
        <f>'Returns per Gal.'!AB162</f>
        <v>0</v>
      </c>
      <c r="AD155" s="15">
        <f>'Returns per Gal.'!AC162</f>
        <v>0</v>
      </c>
      <c r="AE155" s="81">
        <f>'Returns per Gal.'!AD162</f>
        <v>0</v>
      </c>
      <c r="AF155" s="93">
        <f>'Returns per Gal.'!AE162</f>
        <v>0.38040646169880149</v>
      </c>
      <c r="AG155" s="93">
        <f>'Returns per Gal.'!AF162</f>
        <v>0.80141566788257768</v>
      </c>
      <c r="AH155" s="93">
        <f>'Returns per Gal.'!AG162</f>
        <v>1.1818221295813791</v>
      </c>
      <c r="AI155" s="105">
        <f>'Returns per Gal.'!AH162</f>
        <v>0</v>
      </c>
      <c r="AJ155" s="104">
        <f>'Returns per Gal.'!AI162</f>
        <v>0</v>
      </c>
      <c r="AK155" s="93">
        <f>'Returns per Gal.'!AJ162</f>
        <v>1.5530221295813791</v>
      </c>
      <c r="AL155" s="93">
        <f>'Returns per Gal.'!AK162</f>
        <v>1.7492681417025913</v>
      </c>
      <c r="AM155" s="105">
        <f>'Returns per Gal.'!AL162</f>
        <v>0</v>
      </c>
      <c r="AN155" s="104"/>
      <c r="AO155" s="93">
        <f>'Returns per Gal.'!AN162</f>
        <v>0.22621555101115387</v>
      </c>
      <c r="AP155" s="93">
        <f>'Returns per Gal.'!AO162</f>
        <v>2.9969538889941694E-2</v>
      </c>
      <c r="AQ155" s="93">
        <f>'Returns per Gal.'!AP162</f>
        <v>0.10485766281687514</v>
      </c>
      <c r="AR155" s="93">
        <f>'Returns per Gal.'!AQ162</f>
        <v>-7.4888123926933448E-2</v>
      </c>
      <c r="AS155" s="52"/>
      <c r="AU155" s="177">
        <f>'Returns per Bu.'!G162</f>
        <v>3.1547619161151705</v>
      </c>
      <c r="AV155" s="166">
        <f>'Returns per Bu.'!N162</f>
        <v>5.070827389688719</v>
      </c>
      <c r="AW155" s="166">
        <f>'Returns per Bu.'!O162</f>
        <v>3.4536062551432649</v>
      </c>
      <c r="AX155" s="169">
        <f>'Returns per Bu.'!Z162</f>
        <v>9.1002025353072266E-2</v>
      </c>
      <c r="AY155" s="162">
        <f>'Returns per Bu.'!AF162</f>
        <v>3.3681930693069306</v>
      </c>
      <c r="AZ155" s="165"/>
      <c r="BA155" s="15">
        <f t="shared" ref="BA155" si="34">AY155-BB155</f>
        <v>2.2840346534653464</v>
      </c>
      <c r="BB155" s="93">
        <f>'Returns per Bu.'!AD162</f>
        <v>1.0841584158415842</v>
      </c>
      <c r="BC155" s="93">
        <f t="shared" si="15"/>
        <v>0.80141566788257768</v>
      </c>
    </row>
    <row r="156" spans="1:55" x14ac:dyDescent="0.2">
      <c r="A156" s="8">
        <v>43040</v>
      </c>
      <c r="C156" s="53"/>
      <c r="D156" s="281">
        <v>1.3580000162124635</v>
      </c>
      <c r="E156" s="282">
        <v>116.125</v>
      </c>
      <c r="F156" s="281">
        <v>0.25940000000000002</v>
      </c>
      <c r="G156" s="281">
        <v>3.1341874897480011</v>
      </c>
      <c r="H156" s="266">
        <v>5.12</v>
      </c>
      <c r="I156" s="184"/>
      <c r="K156" s="93">
        <f>'Returns per Gal.'!J163</f>
        <v>1.3580000162124635</v>
      </c>
      <c r="L156" s="93">
        <f>'Returns per Gal.'!K163</f>
        <v>0.33411403508771931</v>
      </c>
      <c r="M156" s="93">
        <f>'Returns per Gal.'!L163</f>
        <v>5.9161403508771929E-2</v>
      </c>
      <c r="N156" s="93">
        <f>'Returns per Gal.'!M163</f>
        <v>1.7512754548089549</v>
      </c>
      <c r="O156" s="110">
        <f>'Returns per Gal.'!N163</f>
        <v>0</v>
      </c>
      <c r="P156" s="108">
        <f>'Returns per Gal.'!O163</f>
        <v>0</v>
      </c>
      <c r="Q156" s="93">
        <f>'Returns per Gal.'!P163</f>
        <v>1.0997149086835092</v>
      </c>
      <c r="R156" s="93">
        <f>'Returns per Gal.'!Q163</f>
        <v>0.15360000000000001</v>
      </c>
      <c r="S156" s="93">
        <f>'Returns per Gal.'!R163</f>
        <v>0.21939999999999998</v>
      </c>
      <c r="T156" s="93">
        <f>'Returns per Gal.'!S163</f>
        <v>1.4727149086835092</v>
      </c>
      <c r="U156" s="93">
        <f>'Returns per Gal.'!T163</f>
        <v>0.19624601212121212</v>
      </c>
      <c r="V156" s="93">
        <f>'Returns per Gal.'!U163</f>
        <v>1.6689609208047214</v>
      </c>
      <c r="W156" s="93">
        <f>'Returns per Gal.'!V163</f>
        <v>1.2756854822082302</v>
      </c>
      <c r="X156" s="105"/>
      <c r="Y156" s="93">
        <f>'Returns per Gal.'!V163</f>
        <v>1.2756854822082302</v>
      </c>
      <c r="Z156" s="93">
        <f>'Returns per Gal.'!Y163</f>
        <v>0.45946054612544568</v>
      </c>
      <c r="AA156" s="93">
        <f>'Returns per Gal.'!Z163</f>
        <v>0.27856054612544567</v>
      </c>
      <c r="AB156" s="93">
        <f>'Returns per Gal.'!AA163</f>
        <v>8.2314534004233497E-2</v>
      </c>
      <c r="AC156" s="80">
        <f>'Returns per Gal.'!AB163</f>
        <v>0</v>
      </c>
      <c r="AD156" s="15">
        <f>'Returns per Gal.'!AC163</f>
        <v>0</v>
      </c>
      <c r="AE156" s="81">
        <f>'Returns per Gal.'!AD163</f>
        <v>0</v>
      </c>
      <c r="AF156" s="93">
        <f>'Returns per Gal.'!AE163</f>
        <v>0.38040646169880149</v>
      </c>
      <c r="AG156" s="93">
        <f>'Returns per Gal.'!AF163</f>
        <v>0.80141566788257768</v>
      </c>
      <c r="AH156" s="93">
        <f>'Returns per Gal.'!AG163</f>
        <v>1.1818221295813791</v>
      </c>
      <c r="AI156" s="105">
        <f>'Returns per Gal.'!AH163</f>
        <v>0</v>
      </c>
      <c r="AJ156" s="104">
        <f>'Returns per Gal.'!AI163</f>
        <v>0</v>
      </c>
      <c r="AK156" s="93">
        <f>'Returns per Gal.'!AJ163</f>
        <v>1.5548221295813791</v>
      </c>
      <c r="AL156" s="93">
        <f>'Returns per Gal.'!AK163</f>
        <v>1.7510681417025913</v>
      </c>
      <c r="AM156" s="105">
        <f>'Returns per Gal.'!AL163</f>
        <v>0</v>
      </c>
      <c r="AN156" s="104"/>
      <c r="AO156" s="93">
        <f>'Returns per Gal.'!AN163</f>
        <v>0.19645332522757575</v>
      </c>
      <c r="AP156" s="93">
        <f>'Returns per Gal.'!AO163</f>
        <v>2.0731310636357136E-4</v>
      </c>
      <c r="AQ156" s="93">
        <f>'Returns per Gal.'!AP163</f>
        <v>8.2314534004233497E-2</v>
      </c>
      <c r="AR156" s="93">
        <f>'Returns per Gal.'!AQ163</f>
        <v>-8.2107220897869926E-2</v>
      </c>
      <c r="AS156" s="52"/>
      <c r="AU156" s="177">
        <f>'Returns per Bu.'!G163</f>
        <v>3.1341874897480011</v>
      </c>
      <c r="AV156" s="166">
        <f>'Returns per Bu.'!N163</f>
        <v>4.9911350462055211</v>
      </c>
      <c r="AW156" s="166">
        <f>'Returns per Bu.'!O163</f>
        <v>3.3687839116600671</v>
      </c>
      <c r="AX156" s="169">
        <f>'Returns per Bu.'!Z163</f>
        <v>7.1437690953131516E-2</v>
      </c>
      <c r="AY156" s="162">
        <f>'Returns per Bu.'!AF163</f>
        <v>3.3681930693069306</v>
      </c>
      <c r="AZ156" s="165"/>
      <c r="BA156" s="15">
        <f t="shared" ref="BA156" si="35">AY156-BB156</f>
        <v>2.2840346534653464</v>
      </c>
      <c r="BB156" s="93">
        <f>'Returns per Bu.'!AD163</f>
        <v>1.0841584158415842</v>
      </c>
      <c r="BC156" s="93">
        <f t="shared" si="15"/>
        <v>0.80141566788257768</v>
      </c>
    </row>
    <row r="157" spans="1:55" x14ac:dyDescent="0.2">
      <c r="A157" s="68">
        <v>43070</v>
      </c>
      <c r="B157" s="29"/>
      <c r="C157" s="56"/>
      <c r="D157" s="284">
        <v>1.2672500282526016</v>
      </c>
      <c r="E157" s="285">
        <v>125.15</v>
      </c>
      <c r="F157" s="284">
        <v>0.22500000000000001</v>
      </c>
      <c r="G157" s="284">
        <v>3.2322500169277193</v>
      </c>
      <c r="H157" s="286">
        <v>5.55</v>
      </c>
      <c r="I157" s="187"/>
      <c r="J157" s="29"/>
      <c r="K157" s="97">
        <f>'Returns per Gal.'!J164</f>
        <v>1.2672500282526016</v>
      </c>
      <c r="L157" s="97">
        <f>'Returns per Gal.'!K164</f>
        <v>0.36008070175438595</v>
      </c>
      <c r="M157" s="97">
        <f>'Returns per Gal.'!L164</f>
        <v>5.1315789473684217E-2</v>
      </c>
      <c r="N157" s="97">
        <f>'Returns per Gal.'!M164</f>
        <v>1.6786465194806717</v>
      </c>
      <c r="O157" s="113">
        <f>'Returns per Gal.'!N164</f>
        <v>0</v>
      </c>
      <c r="P157" s="111">
        <f>'Returns per Gal.'!O164</f>
        <v>0</v>
      </c>
      <c r="Q157" s="97">
        <f>'Returns per Gal.'!P164</f>
        <v>1.1341228129570944</v>
      </c>
      <c r="R157" s="97">
        <f>'Returns per Gal.'!Q164</f>
        <v>0.16650000000000001</v>
      </c>
      <c r="S157" s="97">
        <f>'Returns per Gal.'!R164</f>
        <v>0.21939999999999998</v>
      </c>
      <c r="T157" s="97">
        <f>'Returns per Gal.'!S164</f>
        <v>1.5200228129570945</v>
      </c>
      <c r="U157" s="97">
        <f>'Returns per Gal.'!T164</f>
        <v>0.19624601212121212</v>
      </c>
      <c r="V157" s="97">
        <f>'Returns per Gal.'!U164</f>
        <v>1.7162688250783067</v>
      </c>
      <c r="W157" s="97">
        <f>'Returns per Gal.'!V164</f>
        <v>1.3048723338502366</v>
      </c>
      <c r="X157" s="107"/>
      <c r="Y157" s="97">
        <f>'Returns per Gal.'!V164</f>
        <v>1.3048723338502366</v>
      </c>
      <c r="Z157" s="97">
        <f>'Returns per Gal.'!Y164</f>
        <v>0.33952370652357733</v>
      </c>
      <c r="AA157" s="97">
        <f>'Returns per Gal.'!Z164</f>
        <v>0.15862370652357716</v>
      </c>
      <c r="AB157" s="97">
        <f>'Returns per Gal.'!AA164</f>
        <v>-3.762230559763502E-2</v>
      </c>
      <c r="AC157" s="82">
        <f>'Returns per Gal.'!AB164</f>
        <v>0</v>
      </c>
      <c r="AD157" s="65">
        <f>'Returns per Gal.'!AC164</f>
        <v>0</v>
      </c>
      <c r="AE157" s="83">
        <f>'Returns per Gal.'!AD164</f>
        <v>0</v>
      </c>
      <c r="AF157" s="97">
        <f>'Returns per Gal.'!AE164</f>
        <v>0.38040646169880149</v>
      </c>
      <c r="AG157" s="97">
        <f>'Returns per Gal.'!AF164</f>
        <v>0.80141566788257768</v>
      </c>
      <c r="AH157" s="97">
        <f>'Returns per Gal.'!AG164</f>
        <v>1.1818221295813791</v>
      </c>
      <c r="AI157" s="107">
        <f>'Returns per Gal.'!AH164</f>
        <v>0</v>
      </c>
      <c r="AJ157" s="106">
        <f>'Returns per Gal.'!AI164</f>
        <v>0</v>
      </c>
      <c r="AK157" s="97">
        <f>'Returns per Gal.'!AJ164</f>
        <v>1.5677221295813792</v>
      </c>
      <c r="AL157" s="97">
        <f>'Returns per Gal.'!AK164</f>
        <v>1.7639681417025914</v>
      </c>
      <c r="AM157" s="107">
        <f>'Returns per Gal.'!AL164</f>
        <v>0</v>
      </c>
      <c r="AN157" s="106"/>
      <c r="AO157" s="97">
        <f>'Returns per Gal.'!AN164</f>
        <v>0.11092438989929243</v>
      </c>
      <c r="AP157" s="97">
        <f>'Returns per Gal.'!AO164</f>
        <v>-8.5321622221919746E-2</v>
      </c>
      <c r="AQ157" s="97">
        <f>'Returns per Gal.'!AP164</f>
        <v>-3.762230559763502E-2</v>
      </c>
      <c r="AR157" s="97">
        <f>'Returns per Gal.'!AQ164</f>
        <v>-4.7699316624284727E-2</v>
      </c>
      <c r="AS157" s="64"/>
      <c r="AT157" s="29"/>
      <c r="AU157" s="178">
        <f>'Returns per Bu.'!G164</f>
        <v>3.2322500169277193</v>
      </c>
      <c r="AV157" s="167">
        <f>'Returns per Bu.'!N164</f>
        <v>4.7841425805199149</v>
      </c>
      <c r="AW157" s="167">
        <f>'Returns per Bu.'!O164</f>
        <v>3.125026445974461</v>
      </c>
      <c r="AX157" s="170">
        <f>'Returns per Bu.'!Z164</f>
        <v>-3.2650985305825206E-2</v>
      </c>
      <c r="AY157" s="163">
        <f>'Returns per Bu.'!AF164</f>
        <v>3.3681930693069306</v>
      </c>
      <c r="AZ157" s="164"/>
      <c r="BA157" s="65">
        <f t="shared" ref="BA157:BA160" si="36">AY157-BB157</f>
        <v>2.2840346534653464</v>
      </c>
      <c r="BB157" s="97">
        <f>'Returns per Bu.'!AD164</f>
        <v>1.0841584158415842</v>
      </c>
      <c r="BC157" s="97">
        <f t="shared" si="15"/>
        <v>0.80141566788257768</v>
      </c>
    </row>
    <row r="158" spans="1:55" x14ac:dyDescent="0.2">
      <c r="A158" s="21">
        <v>43101</v>
      </c>
      <c r="C158" s="53"/>
      <c r="D158" s="93">
        <v>1.2700000206629436</v>
      </c>
      <c r="E158" s="95">
        <v>134.85714285714286</v>
      </c>
      <c r="F158" s="319">
        <v>0.22070000000000001</v>
      </c>
      <c r="G158" s="93">
        <v>3.2836904667672657</v>
      </c>
      <c r="H158" s="266">
        <v>5.55</v>
      </c>
      <c r="I158" s="184"/>
      <c r="J158" s="12"/>
      <c r="K158" s="93">
        <f>'Returns per Gal.'!J165</f>
        <v>1.2700000206629436</v>
      </c>
      <c r="L158" s="93">
        <f>'Returns per Gal.'!K165</f>
        <v>0.38801002506265664</v>
      </c>
      <c r="M158" s="93">
        <f>'Returns per Gal.'!L165</f>
        <v>5.0335087719298247E-2</v>
      </c>
      <c r="N158" s="93">
        <f>'Returns per Gal.'!M165</f>
        <v>1.7083451334448985</v>
      </c>
      <c r="O158" s="110">
        <f>'Returns per Gal.'!N165</f>
        <v>0</v>
      </c>
      <c r="P158" s="108">
        <f>'Returns per Gal.'!O165</f>
        <v>0</v>
      </c>
      <c r="Q158" s="93">
        <f>'Returns per Gal.'!P165</f>
        <v>1.1521720936025492</v>
      </c>
      <c r="R158" s="93">
        <f>'Returns per Gal.'!Q165</f>
        <v>0.16650000000000001</v>
      </c>
      <c r="S158" s="93">
        <f>'Returns per Gal.'!R165</f>
        <v>0.21939999999999998</v>
      </c>
      <c r="T158" s="93">
        <f>'Returns per Gal.'!S165</f>
        <v>1.5380720936025494</v>
      </c>
      <c r="U158" s="93">
        <f>'Returns per Gal.'!T165</f>
        <v>0.19624601212121212</v>
      </c>
      <c r="V158" s="93">
        <f>'Returns per Gal.'!U165</f>
        <v>1.7343181057237615</v>
      </c>
      <c r="W158" s="93">
        <f>'Returns per Gal.'!V165</f>
        <v>1.2959729929418067</v>
      </c>
      <c r="X158" s="105"/>
      <c r="Y158" s="93">
        <f>'Returns per Gal.'!V165</f>
        <v>1.2959729929418067</v>
      </c>
      <c r="Z158" s="93">
        <f>'Returns per Gal.'!Y165</f>
        <v>0.35117303984234927</v>
      </c>
      <c r="AA158" s="93">
        <f>'Returns per Gal.'!Z165</f>
        <v>0.17027303984234909</v>
      </c>
      <c r="AB158" s="93">
        <f>'Returns per Gal.'!AA165</f>
        <v>-2.5972972278863082E-2</v>
      </c>
      <c r="AC158" s="80">
        <f>'Returns per Gal.'!AB165</f>
        <v>0</v>
      </c>
      <c r="AD158" s="15">
        <f>'Returns per Gal.'!AC165</f>
        <v>0</v>
      </c>
      <c r="AE158" s="81">
        <f>'Returns per Gal.'!AD165</f>
        <v>0</v>
      </c>
      <c r="AF158" s="93">
        <f>'Returns per Gal.'!AE165</f>
        <v>0.38040646169880149</v>
      </c>
      <c r="AG158" s="93">
        <f>'Returns per Gal.'!AF165</f>
        <v>0.80141566788257768</v>
      </c>
      <c r="AH158" s="93">
        <f>'Returns per Gal.'!AG165</f>
        <v>1.1818221295813791</v>
      </c>
      <c r="AI158" s="105">
        <f>'Returns per Gal.'!AH165</f>
        <v>0</v>
      </c>
      <c r="AJ158" s="104">
        <f>'Returns per Gal.'!AI165</f>
        <v>0</v>
      </c>
      <c r="AK158" s="93">
        <f>'Returns per Gal.'!AJ165</f>
        <v>1.5677221295813792</v>
      </c>
      <c r="AL158" s="93">
        <f>'Returns per Gal.'!AK165</f>
        <v>1.7639681417025914</v>
      </c>
      <c r="AM158" s="105">
        <f>'Returns per Gal.'!AL165</f>
        <v>0</v>
      </c>
      <c r="AN158" s="104"/>
      <c r="AO158" s="93">
        <f>'Returns per Gal.'!AN165</f>
        <v>0.14062300386351922</v>
      </c>
      <c r="AP158" s="93">
        <f>'Returns per Gal.'!AO165</f>
        <v>-5.5623008257692952E-2</v>
      </c>
      <c r="AQ158" s="93">
        <f>'Returns per Gal.'!AP165</f>
        <v>-2.5972972278863082E-2</v>
      </c>
      <c r="AR158" s="93">
        <f>'Returns per Gal.'!AQ165</f>
        <v>-2.965003597882987E-2</v>
      </c>
      <c r="AS158" s="52"/>
      <c r="AU158" s="177">
        <f>'Returns per Bu.'!G165</f>
        <v>3.2836904667672657</v>
      </c>
      <c r="AV158" s="166">
        <f>'Returns per Bu.'!N165</f>
        <v>4.868783630317961</v>
      </c>
      <c r="AW158" s="166">
        <f>'Returns per Bu.'!O165</f>
        <v>3.2096674957725071</v>
      </c>
      <c r="AX158" s="169">
        <f>'Returns per Bu.'!Z165</f>
        <v>-2.2540966662050386E-2</v>
      </c>
      <c r="AY158" s="162">
        <f>'Returns per Bu.'!AF165</f>
        <v>3.3681930693069306</v>
      </c>
      <c r="AZ158" s="165"/>
      <c r="BA158" s="15">
        <f t="shared" si="36"/>
        <v>2.2840346534653464</v>
      </c>
      <c r="BB158" s="93">
        <f>'Returns per Bu.'!AD165</f>
        <v>1.0841584158415842</v>
      </c>
      <c r="BC158" s="93">
        <f t="shared" si="15"/>
        <v>0.80141566788257768</v>
      </c>
    </row>
    <row r="159" spans="1:55" x14ac:dyDescent="0.2">
      <c r="A159" s="8">
        <v>43132</v>
      </c>
      <c r="C159" s="53"/>
      <c r="D159" s="93">
        <v>1.3376315926250659</v>
      </c>
      <c r="E159" s="95">
        <v>143.15789473684211</v>
      </c>
      <c r="F159" s="319">
        <v>0.22219999999999998</v>
      </c>
      <c r="G159" s="93">
        <v>3.393486854277159</v>
      </c>
      <c r="H159" s="266">
        <v>6.08</v>
      </c>
      <c r="I159" s="184"/>
      <c r="J159" s="12"/>
      <c r="K159" s="93">
        <f>'Returns per Gal.'!J166</f>
        <v>1.3376315926250659</v>
      </c>
      <c r="L159" s="93">
        <f>'Returns per Gal.'!K166</f>
        <v>0.41189289012003694</v>
      </c>
      <c r="M159" s="93">
        <f>'Returns per Gal.'!L166</f>
        <v>5.067719298245614E-2</v>
      </c>
      <c r="N159" s="93">
        <f>'Returns per Gal.'!M166</f>
        <v>1.800201675727559</v>
      </c>
      <c r="O159" s="110">
        <f>'Returns per Gal.'!N166</f>
        <v>0</v>
      </c>
      <c r="P159" s="108">
        <f>'Returns per Gal.'!O166</f>
        <v>0</v>
      </c>
      <c r="Q159" s="93">
        <f>'Returns per Gal.'!P166</f>
        <v>1.1906971418516348</v>
      </c>
      <c r="R159" s="93">
        <f>'Returns per Gal.'!Q166</f>
        <v>0.18240000000000001</v>
      </c>
      <c r="S159" s="93">
        <f>'Returns per Gal.'!R166</f>
        <v>0.21939999999999998</v>
      </c>
      <c r="T159" s="93">
        <f>'Returns per Gal.'!S166</f>
        <v>1.5924971418516349</v>
      </c>
      <c r="U159" s="93">
        <f>'Returns per Gal.'!T166</f>
        <v>0.19624601212121212</v>
      </c>
      <c r="V159" s="93">
        <f>'Returns per Gal.'!U166</f>
        <v>1.7887431539728471</v>
      </c>
      <c r="W159" s="93">
        <f>'Returns per Gal.'!V166</f>
        <v>1.3261730708703541</v>
      </c>
      <c r="X159" s="105"/>
      <c r="Y159" s="93">
        <f>'Returns per Gal.'!V166</f>
        <v>1.3261730708703541</v>
      </c>
      <c r="Z159" s="93">
        <f>'Returns per Gal.'!Y166</f>
        <v>0.3886045338759242</v>
      </c>
      <c r="AA159" s="93">
        <f>'Returns per Gal.'!Z166</f>
        <v>0.20770453387592402</v>
      </c>
      <c r="AB159" s="93">
        <f>'Returns per Gal.'!AA166</f>
        <v>1.1458521754711848E-2</v>
      </c>
      <c r="AC159" s="80">
        <f>'Returns per Gal.'!AB166</f>
        <v>0</v>
      </c>
      <c r="AD159" s="15">
        <f>'Returns per Gal.'!AC166</f>
        <v>0</v>
      </c>
      <c r="AE159" s="81">
        <f>'Returns per Gal.'!AD166</f>
        <v>0</v>
      </c>
      <c r="AF159" s="93">
        <f>'Returns per Gal.'!AE166</f>
        <v>0.38040646169880149</v>
      </c>
      <c r="AG159" s="93">
        <f>'Returns per Gal.'!AF166</f>
        <v>0.80141566788257768</v>
      </c>
      <c r="AH159" s="93">
        <f>'Returns per Gal.'!AG166</f>
        <v>1.1818221295813791</v>
      </c>
      <c r="AI159" s="105">
        <f>'Returns per Gal.'!AH166</f>
        <v>0</v>
      </c>
      <c r="AJ159" s="104">
        <f>'Returns per Gal.'!AI166</f>
        <v>0</v>
      </c>
      <c r="AK159" s="93">
        <f>'Returns per Gal.'!AJ166</f>
        <v>1.5836221295813793</v>
      </c>
      <c r="AL159" s="93">
        <f>'Returns per Gal.'!AK166</f>
        <v>1.7798681417025914</v>
      </c>
      <c r="AM159" s="105">
        <f>'Returns per Gal.'!AL166</f>
        <v>0</v>
      </c>
      <c r="AN159" s="104"/>
      <c r="AO159" s="93">
        <f>'Returns per Gal.'!AN166</f>
        <v>0.21657954614617969</v>
      </c>
      <c r="AP159" s="93">
        <f>'Returns per Gal.'!AO166</f>
        <v>2.0333534024967514E-2</v>
      </c>
      <c r="AQ159" s="93">
        <f>'Returns per Gal.'!AP166</f>
        <v>1.1458521754711848E-2</v>
      </c>
      <c r="AR159" s="93">
        <f>'Returns per Gal.'!AQ166</f>
        <v>8.8750122702556666E-3</v>
      </c>
      <c r="AS159" s="52"/>
      <c r="AU159" s="177">
        <f>'Returns per Bu.'!G166</f>
        <v>3.393486854277159</v>
      </c>
      <c r="AV159" s="166">
        <f>'Returns per Bu.'!N166</f>
        <v>5.1305747758235434</v>
      </c>
      <c r="AW159" s="166">
        <f>'Returns per Bu.'!O166</f>
        <v>3.4261436412780895</v>
      </c>
      <c r="AX159" s="169">
        <f>'Returns per Bu.'!Z166</f>
        <v>9.9444204573979587E-3</v>
      </c>
      <c r="AY159" s="162">
        <f>'Returns per Bu.'!AF166</f>
        <v>3.3681930693069306</v>
      </c>
      <c r="AZ159" s="165"/>
      <c r="BA159" s="15">
        <f t="shared" si="36"/>
        <v>2.2840346534653464</v>
      </c>
      <c r="BB159" s="93">
        <f>'Returns per Bu.'!AD166</f>
        <v>1.0841584158415842</v>
      </c>
      <c r="BC159" s="93">
        <f t="shared" si="15"/>
        <v>0.80141566788257768</v>
      </c>
    </row>
    <row r="160" spans="1:55" x14ac:dyDescent="0.2">
      <c r="A160" s="8">
        <v>43160</v>
      </c>
      <c r="C160" s="53"/>
      <c r="D160" s="93">
        <v>1.408181827176701</v>
      </c>
      <c r="E160" s="95">
        <v>147.21590909090909</v>
      </c>
      <c r="F160" s="319">
        <v>0.22760000000000002</v>
      </c>
      <c r="G160" s="93">
        <v>3.4911931753158569</v>
      </c>
      <c r="H160" s="266">
        <v>5.28</v>
      </c>
      <c r="I160" s="184"/>
      <c r="J160" s="12"/>
      <c r="K160" s="93">
        <f>'Returns per Gal.'!J167</f>
        <v>1.408181827176701</v>
      </c>
      <c r="L160" s="93">
        <f>'Returns per Gal.'!K167</f>
        <v>0.42356858054226471</v>
      </c>
      <c r="M160" s="93">
        <f>'Returns per Gal.'!L167</f>
        <v>5.1908771929824564E-2</v>
      </c>
      <c r="N160" s="93">
        <f>'Returns per Gal.'!M167</f>
        <v>1.8836591796487903</v>
      </c>
      <c r="O160" s="110">
        <f>'Returns per Gal.'!N167</f>
        <v>0</v>
      </c>
      <c r="P160" s="108">
        <f>'Returns per Gal.'!O167</f>
        <v>0</v>
      </c>
      <c r="Q160" s="93">
        <f>'Returns per Gal.'!P167</f>
        <v>1.2249800615143358</v>
      </c>
      <c r="R160" s="93">
        <f>'Returns per Gal.'!Q167</f>
        <v>0.15839999999999999</v>
      </c>
      <c r="S160" s="93">
        <f>'Returns per Gal.'!R167</f>
        <v>0.21939999999999998</v>
      </c>
      <c r="T160" s="93">
        <f>'Returns per Gal.'!S167</f>
        <v>1.6027800615143357</v>
      </c>
      <c r="U160" s="93">
        <f>'Returns per Gal.'!T167</f>
        <v>0.19624601212121212</v>
      </c>
      <c r="V160" s="93">
        <f>'Returns per Gal.'!U167</f>
        <v>1.7990260736355479</v>
      </c>
      <c r="W160" s="93">
        <f>'Returns per Gal.'!V167</f>
        <v>1.3235487211634587</v>
      </c>
      <c r="X160" s="105"/>
      <c r="Y160" s="93">
        <f>'Returns per Gal.'!V167</f>
        <v>1.3235487211634587</v>
      </c>
      <c r="Z160" s="93">
        <f>'Returns per Gal.'!Y167</f>
        <v>0.46177911813445449</v>
      </c>
      <c r="AA160" s="93">
        <f>'Returns per Gal.'!Z167</f>
        <v>0.28087911813445454</v>
      </c>
      <c r="AB160" s="93">
        <f>'Returns per Gal.'!AA167</f>
        <v>8.4633106013242365E-2</v>
      </c>
      <c r="AC160" s="80">
        <f>'Returns per Gal.'!AB167</f>
        <v>0</v>
      </c>
      <c r="AD160" s="15">
        <f>'Returns per Gal.'!AC167</f>
        <v>0</v>
      </c>
      <c r="AE160" s="81">
        <f>'Returns per Gal.'!AD167</f>
        <v>0</v>
      </c>
      <c r="AF160" s="93">
        <f>'Returns per Gal.'!AE167</f>
        <v>0.38040646169880149</v>
      </c>
      <c r="AG160" s="93">
        <f>'Returns per Gal.'!AF167</f>
        <v>0.80141566788257768</v>
      </c>
      <c r="AH160" s="93">
        <f>'Returns per Gal.'!AG167</f>
        <v>1.1818221295813791</v>
      </c>
      <c r="AI160" s="105">
        <f>'Returns per Gal.'!AH167</f>
        <v>0</v>
      </c>
      <c r="AJ160" s="104">
        <f>'Returns per Gal.'!AI167</f>
        <v>0</v>
      </c>
      <c r="AK160" s="93">
        <f>'Returns per Gal.'!AJ167</f>
        <v>1.5596221295813792</v>
      </c>
      <c r="AL160" s="93">
        <f>'Returns per Gal.'!AK167</f>
        <v>1.7558681417025914</v>
      </c>
      <c r="AM160" s="105">
        <f>'Returns per Gal.'!AL167</f>
        <v>0</v>
      </c>
      <c r="AN160" s="104"/>
      <c r="AO160" s="93">
        <f>'Returns per Gal.'!AN167</f>
        <v>0.32403705006741101</v>
      </c>
      <c r="AP160" s="93">
        <f>'Returns per Gal.'!AO167</f>
        <v>0.12779103794619884</v>
      </c>
      <c r="AQ160" s="93">
        <f>'Returns per Gal.'!AP167</f>
        <v>8.4633106013242143E-2</v>
      </c>
      <c r="AR160" s="93">
        <f>'Returns per Gal.'!AQ167</f>
        <v>4.3157931932956695E-2</v>
      </c>
      <c r="AS160" s="52"/>
      <c r="AU160" s="177">
        <f>'Returns per Bu.'!G167</f>
        <v>3.4911931753158569</v>
      </c>
      <c r="AV160" s="166">
        <f>'Returns per Bu.'!N167</f>
        <v>5.3684286619990527</v>
      </c>
      <c r="AW160" s="166">
        <f>'Returns per Bu.'!O167</f>
        <v>3.7323975274535988</v>
      </c>
      <c r="AX160" s="169">
        <f>'Returns per Bu.'!Z167</f>
        <v>7.3449892475448975E-2</v>
      </c>
      <c r="AY160" s="162">
        <f>'Returns per Bu.'!AF167</f>
        <v>3.3681930693069306</v>
      </c>
      <c r="AZ160" s="165"/>
      <c r="BA160" s="15">
        <f t="shared" si="36"/>
        <v>2.2840346534653464</v>
      </c>
      <c r="BB160" s="93">
        <f>'Returns per Bu.'!AD167</f>
        <v>1.0841584158415842</v>
      </c>
      <c r="BC160" s="93">
        <f t="shared" si="15"/>
        <v>0.80141566788257768</v>
      </c>
    </row>
    <row r="161" spans="1:55" x14ac:dyDescent="0.2">
      <c r="A161" s="8">
        <v>43191</v>
      </c>
      <c r="C161" s="53"/>
      <c r="D161" s="93">
        <v>1.429090903563933</v>
      </c>
      <c r="E161" s="95">
        <v>156.875</v>
      </c>
      <c r="F161" s="319">
        <v>0.23449999999999999</v>
      </c>
      <c r="G161" s="93">
        <v>3.5705681903795763</v>
      </c>
      <c r="H161" s="266">
        <v>5.18</v>
      </c>
      <c r="I161" s="184"/>
      <c r="J161" s="12"/>
      <c r="K161" s="93">
        <f>'Returns per Gal.'!J168</f>
        <v>1.429090903563933</v>
      </c>
      <c r="L161" s="93">
        <f>'Returns per Gal.'!K168</f>
        <v>0.45135964912280696</v>
      </c>
      <c r="M161" s="93">
        <f>'Returns per Gal.'!L168</f>
        <v>5.3482456140350874E-2</v>
      </c>
      <c r="N161" s="93">
        <f>'Returns per Gal.'!M168</f>
        <v>1.9339330088270907</v>
      </c>
      <c r="O161" s="110"/>
      <c r="P161" s="108"/>
      <c r="Q161" s="93">
        <f>'Returns per Gal.'!P168</f>
        <v>1.2528309439928338</v>
      </c>
      <c r="R161" s="93">
        <f>'Returns per Gal.'!Q168</f>
        <v>0.15539999999999998</v>
      </c>
      <c r="S161" s="93">
        <f>'Returns per Gal.'!R168</f>
        <v>0.21939999999999998</v>
      </c>
      <c r="T161" s="93">
        <f>'Returns per Gal.'!S168</f>
        <v>1.6276309439928338</v>
      </c>
      <c r="U161" s="93">
        <f>'Returns per Gal.'!T168</f>
        <v>0.19624601212121212</v>
      </c>
      <c r="V161" s="93">
        <f>'Returns per Gal.'!U168</f>
        <v>1.823876956114046</v>
      </c>
      <c r="W161" s="93">
        <f>'Returns per Gal.'!V168</f>
        <v>1.3190348508508882</v>
      </c>
      <c r="X161" s="105"/>
      <c r="Y161" s="93"/>
      <c r="Z161" s="93">
        <f>'Returns per Gal.'!Y168</f>
        <v>0.48720206483425699</v>
      </c>
      <c r="AA161" s="93">
        <f>'Returns per Gal.'!Z168</f>
        <v>0.30630206483425693</v>
      </c>
      <c r="AB161" s="93">
        <f>'Returns per Gal.'!AA168</f>
        <v>0.11005605271304475</v>
      </c>
      <c r="AC161" s="80"/>
      <c r="AD161" s="15"/>
      <c r="AE161" s="81"/>
      <c r="AF161" s="93">
        <f>'Returns per Gal.'!AE168</f>
        <v>0.38040646169880149</v>
      </c>
      <c r="AG161" s="93">
        <f>'Returns per Gal.'!AF168</f>
        <v>0.80141566788257768</v>
      </c>
      <c r="AH161" s="93">
        <f>'Returns per Gal.'!AG168</f>
        <v>1.1818221295813791</v>
      </c>
      <c r="AI161" s="105">
        <f>'Returns per Gal.'!AH168</f>
        <v>0</v>
      </c>
      <c r="AJ161" s="104">
        <f>'Returns per Gal.'!AI168</f>
        <v>0</v>
      </c>
      <c r="AK161" s="93">
        <f>'Returns per Gal.'!AJ168</f>
        <v>1.5566221295813791</v>
      </c>
      <c r="AL161" s="93">
        <f>'Returns per Gal.'!AK168</f>
        <v>1.7528681417025913</v>
      </c>
      <c r="AM161" s="105">
        <f>'Returns per Gal.'!AL168</f>
        <v>0</v>
      </c>
      <c r="AN161" s="104"/>
      <c r="AO161" s="93">
        <f>'Returns per Gal.'!AN168</f>
        <v>0.37731087924571161</v>
      </c>
      <c r="AP161" s="93">
        <f>'Returns per Gal.'!AO168</f>
        <v>0.18106486712449943</v>
      </c>
      <c r="AQ161" s="93">
        <f>'Returns per Gal.'!AP168</f>
        <v>0.11005605271304475</v>
      </c>
      <c r="AR161" s="93">
        <f>'Returns per Gal.'!AQ168</f>
        <v>7.1008814411454679E-2</v>
      </c>
      <c r="AS161" s="52"/>
      <c r="AU161" s="177">
        <f>'Returns per Bu.'!G168</f>
        <v>3.5705681903795763</v>
      </c>
      <c r="AV161" s="166">
        <f>'Returns per Bu.'!N168</f>
        <v>5.5117090751572091</v>
      </c>
      <c r="AW161" s="166">
        <f>'Returns per Bu.'!O168</f>
        <v>3.8842279406117552</v>
      </c>
      <c r="AX161" s="169">
        <f>'Returns per Bu.'!Z168</f>
        <v>9.5513512605583176E-2</v>
      </c>
      <c r="AY161" s="162">
        <f>'Returns per Bu.'!AF168</f>
        <v>3.3681930693069306</v>
      </c>
      <c r="AZ161" s="165"/>
      <c r="BA161" s="15">
        <f t="shared" ref="BA161" si="37">AY161-BB161</f>
        <v>2.2840346534653464</v>
      </c>
      <c r="BB161" s="93">
        <f>'Returns per Bu.'!AD168</f>
        <v>1.0841584158415842</v>
      </c>
      <c r="BC161" s="93">
        <f t="shared" si="15"/>
        <v>0.80141566788257768</v>
      </c>
    </row>
    <row r="162" spans="1:55" x14ac:dyDescent="0.2">
      <c r="A162" s="8">
        <v>43221</v>
      </c>
      <c r="C162" s="53"/>
      <c r="D162" s="93">
        <v>1.3965909101746299</v>
      </c>
      <c r="E162" s="95">
        <v>175.05681818181819</v>
      </c>
      <c r="F162" s="319">
        <v>0.24030000000000001</v>
      </c>
      <c r="G162" s="93">
        <v>3.6963352371345866</v>
      </c>
      <c r="H162" s="266">
        <v>4.37</v>
      </c>
      <c r="I162" s="184"/>
      <c r="J162" s="12"/>
      <c r="K162" s="93">
        <f>'Returns per Gal.'!J169</f>
        <v>1.3965909101746299</v>
      </c>
      <c r="L162" s="93">
        <f>'Returns per Gal.'!K169</f>
        <v>0.50367224880382766</v>
      </c>
      <c r="M162" s="93">
        <f>'Returns per Gal.'!L169</f>
        <v>5.4805263157894732E-2</v>
      </c>
      <c r="N162" s="93">
        <f>'Returns per Gal.'!M169</f>
        <v>1.9550684221363523</v>
      </c>
      <c r="O162" s="110"/>
      <c r="P162" s="108"/>
      <c r="Q162" s="93">
        <f>'Returns per Gal.'!P169</f>
        <v>1.2969597323279252</v>
      </c>
      <c r="R162" s="93">
        <f>'Returns per Gal.'!Q169</f>
        <v>0.13109999999999999</v>
      </c>
      <c r="S162" s="93">
        <f>'Returns per Gal.'!R169</f>
        <v>0.21939999999999998</v>
      </c>
      <c r="T162" s="93">
        <f>'Returns per Gal.'!S169</f>
        <v>1.6474597323279252</v>
      </c>
      <c r="U162" s="93">
        <f>'Returns per Gal.'!T169</f>
        <v>0.19624601212121212</v>
      </c>
      <c r="V162" s="93">
        <f>'Returns per Gal.'!U169</f>
        <v>1.8437057444491374</v>
      </c>
      <c r="W162" s="93">
        <f>'Returns per Gal.'!V169</f>
        <v>1.2852282324874149</v>
      </c>
      <c r="X162" s="105"/>
      <c r="Y162" s="93"/>
      <c r="Z162" s="93">
        <f>'Returns per Gal.'!Y169</f>
        <v>0.48850868980842721</v>
      </c>
      <c r="AA162" s="93">
        <f>'Returns per Gal.'!Z169</f>
        <v>0.30760868980842715</v>
      </c>
      <c r="AB162" s="93">
        <f>'Returns per Gal.'!AA169</f>
        <v>0.11136267768721497</v>
      </c>
      <c r="AC162" s="80"/>
      <c r="AD162" s="15"/>
      <c r="AE162" s="81"/>
      <c r="AF162" s="93">
        <f>'Returns per Gal.'!AE169</f>
        <v>0.38040646169880149</v>
      </c>
      <c r="AG162" s="93">
        <f>'Returns per Gal.'!AF169</f>
        <v>0.80141566788257768</v>
      </c>
      <c r="AH162" s="93">
        <f>'Returns per Gal.'!AG169</f>
        <v>1.1818221295813791</v>
      </c>
      <c r="AI162" s="105">
        <f>'Returns per Gal.'!AH169</f>
        <v>0</v>
      </c>
      <c r="AJ162" s="104">
        <f>'Returns per Gal.'!AI169</f>
        <v>0</v>
      </c>
      <c r="AK162" s="93">
        <f>'Returns per Gal.'!AJ169</f>
        <v>1.5323221295813791</v>
      </c>
      <c r="AL162" s="93">
        <f>'Returns per Gal.'!AK169</f>
        <v>1.7285681417025913</v>
      </c>
      <c r="AM162" s="105">
        <f>'Returns per Gal.'!AL169</f>
        <v>0</v>
      </c>
      <c r="AN162" s="104"/>
      <c r="AO162" s="93">
        <f>'Returns per Gal.'!AN169</f>
        <v>0.4227462925549732</v>
      </c>
      <c r="AP162" s="93">
        <f>'Returns per Gal.'!AO169</f>
        <v>0.22650028043376103</v>
      </c>
      <c r="AQ162" s="93">
        <f>'Returns per Gal.'!AP169</f>
        <v>0.11136267768721497</v>
      </c>
      <c r="AR162" s="93">
        <f>'Returns per Gal.'!AQ169</f>
        <v>0.11513760274654605</v>
      </c>
      <c r="AS162" s="52"/>
      <c r="AU162" s="177">
        <f>'Returns per Bu.'!G169</f>
        <v>3.6963352371345866</v>
      </c>
      <c r="AV162" s="166">
        <f>'Returns per Bu.'!N169</f>
        <v>5.5719450030886044</v>
      </c>
      <c r="AW162" s="166">
        <f>'Returns per Bu.'!O169</f>
        <v>4.0137188685431511</v>
      </c>
      <c r="AX162" s="169">
        <f>'Returns per Bu.'!Z169</f>
        <v>9.6647483322001432E-2</v>
      </c>
      <c r="AY162" s="162">
        <f>'Returns per Bu.'!AF169</f>
        <v>3.3681930693069306</v>
      </c>
      <c r="AZ162" s="165"/>
      <c r="BA162" s="15">
        <f t="shared" ref="BA162:BA168" si="38">AY162-BB162</f>
        <v>2.2840346534653464</v>
      </c>
      <c r="BB162" s="93">
        <f>'Returns per Bu.'!AD169</f>
        <v>1.0841584158415842</v>
      </c>
      <c r="BC162" s="93">
        <f t="shared" si="15"/>
        <v>0.80141566788257768</v>
      </c>
    </row>
    <row r="163" spans="1:55" x14ac:dyDescent="0.2">
      <c r="A163" s="8">
        <v>43252</v>
      </c>
      <c r="C163" s="53"/>
      <c r="D163" s="93">
        <v>1.4030952141398476</v>
      </c>
      <c r="E163" s="95">
        <v>148.95238095238096</v>
      </c>
      <c r="F163" s="319">
        <v>0.24510000000000001</v>
      </c>
      <c r="G163" s="93">
        <v>3.3921131037530445</v>
      </c>
      <c r="H163" s="266">
        <v>4.33</v>
      </c>
      <c r="I163" s="184"/>
      <c r="K163" s="93">
        <f>'Returns per Gal.'!J170</f>
        <v>1.4030952141398476</v>
      </c>
      <c r="L163" s="93">
        <f>'Returns per Gal.'!K170</f>
        <v>0.4285647451963242</v>
      </c>
      <c r="M163" s="93">
        <f>'Returns per Gal.'!L170</f>
        <v>5.5900000000000005E-2</v>
      </c>
      <c r="N163" s="93">
        <f>'Returns per Gal.'!M170</f>
        <v>1.8875599593361718</v>
      </c>
      <c r="O163" s="110"/>
      <c r="P163" s="108"/>
      <c r="Q163" s="93">
        <f>'Returns per Gal.'!P170</f>
        <v>1.1902151241238752</v>
      </c>
      <c r="R163" s="93">
        <f>'Returns per Gal.'!Q170</f>
        <v>0.12989999999999999</v>
      </c>
      <c r="S163" s="93">
        <f>'Returns per Gal.'!R170</f>
        <v>0.21939999999999998</v>
      </c>
      <c r="T163" s="93">
        <f>'Returns per Gal.'!S170</f>
        <v>1.5395151241238751</v>
      </c>
      <c r="U163" s="93">
        <f>'Returns per Gal.'!T170</f>
        <v>0.19624601212121212</v>
      </c>
      <c r="V163" s="93">
        <f>'Returns per Gal.'!U170</f>
        <v>1.7357611362450873</v>
      </c>
      <c r="W163" s="93">
        <f>'Returns per Gal.'!V170</f>
        <v>1.2512963910487631</v>
      </c>
      <c r="X163" s="105"/>
      <c r="Y163" s="93"/>
      <c r="Z163" s="93">
        <f>'Returns per Gal.'!Y170</f>
        <v>0.52894483521229663</v>
      </c>
      <c r="AA163" s="93">
        <f>'Returns per Gal.'!Z170</f>
        <v>0.34804483521229668</v>
      </c>
      <c r="AB163" s="93">
        <f>'Returns per Gal.'!AA170</f>
        <v>0.1517988230910845</v>
      </c>
      <c r="AC163" s="80"/>
      <c r="AD163" s="15"/>
      <c r="AE163" s="81"/>
      <c r="AF163" s="93">
        <f>'Returns per Gal.'!AE170</f>
        <v>0.38040646169880149</v>
      </c>
      <c r="AG163" s="93">
        <f>'Returns per Gal.'!AF170</f>
        <v>0.80141566788257768</v>
      </c>
      <c r="AH163" s="93">
        <f>'Returns per Gal.'!AG170</f>
        <v>1.1818221295813791</v>
      </c>
      <c r="AI163" s="105">
        <f>'Returns per Gal.'!AH170</f>
        <v>0</v>
      </c>
      <c r="AJ163" s="104">
        <f>'Returns per Gal.'!AI170</f>
        <v>0</v>
      </c>
      <c r="AK163" s="93">
        <f>'Returns per Gal.'!AJ170</f>
        <v>1.5311221295813791</v>
      </c>
      <c r="AL163" s="93">
        <f>'Returns per Gal.'!AK170</f>
        <v>1.7273681417025912</v>
      </c>
      <c r="AM163" s="105">
        <f>'Returns per Gal.'!AL170</f>
        <v>0</v>
      </c>
      <c r="AN163" s="104"/>
      <c r="AO163" s="93">
        <f>'Returns per Gal.'!AN170</f>
        <v>0.35643782975479277</v>
      </c>
      <c r="AP163" s="93">
        <f>'Returns per Gal.'!AO170</f>
        <v>0.16019181763358059</v>
      </c>
      <c r="AQ163" s="93">
        <f>'Returns per Gal.'!AP170</f>
        <v>0.1517988230910845</v>
      </c>
      <c r="AR163" s="93">
        <f>'Returns per Gal.'!AQ170</f>
        <v>8.3929945424960906E-3</v>
      </c>
      <c r="AS163" s="52"/>
      <c r="AU163" s="177">
        <f>'Returns per Bu.'!G170</f>
        <v>3.3921131037530445</v>
      </c>
      <c r="AV163" s="166">
        <f>'Returns per Bu.'!N170</f>
        <v>5.3795458841080901</v>
      </c>
      <c r="AW163" s="166">
        <f>'Returns per Bu.'!O170</f>
        <v>3.8247397495626361</v>
      </c>
      <c r="AX163" s="169">
        <f>'Returns per Bu.'!Z170</f>
        <v>0.13174049446082328</v>
      </c>
      <c r="AY163" s="162">
        <f>'Returns per Bu.'!AF170</f>
        <v>3.3681930693069306</v>
      </c>
      <c r="AZ163" s="165"/>
      <c r="BA163" s="15">
        <f t="shared" si="38"/>
        <v>2.2840346534653464</v>
      </c>
      <c r="BB163" s="93">
        <f>'Returns per Bu.'!AD170</f>
        <v>1.0841584158415842</v>
      </c>
      <c r="BC163" s="93">
        <f t="shared" ref="BC163:BC168" si="39">AG163</f>
        <v>0.80141566788257768</v>
      </c>
    </row>
    <row r="164" spans="1:55" x14ac:dyDescent="0.2">
      <c r="A164" s="8">
        <v>43282</v>
      </c>
      <c r="C164" s="53"/>
      <c r="D164" s="93">
        <v>1.4059523968469529</v>
      </c>
      <c r="E164" s="95">
        <v>109.77380952380952</v>
      </c>
      <c r="F164" s="319">
        <v>0.2389</v>
      </c>
      <c r="G164" s="93">
        <v>3.2088987855684188</v>
      </c>
      <c r="H164" s="266">
        <v>4.46</v>
      </c>
      <c r="I164" s="184"/>
      <c r="K164" s="93">
        <f>'Returns per Gal.'!J171</f>
        <v>1.4059523968469529</v>
      </c>
      <c r="L164" s="93">
        <f>'Returns per Gal.'!K171</f>
        <v>0.31584043441938175</v>
      </c>
      <c r="M164" s="93">
        <f>'Returns per Gal.'!L171</f>
        <v>5.44859649122807E-2</v>
      </c>
      <c r="N164" s="93">
        <f>'Returns per Gal.'!M171</f>
        <v>1.7762787961786153</v>
      </c>
      <c r="O164" s="110"/>
      <c r="P164" s="108"/>
      <c r="Q164" s="93">
        <f>'Returns per Gal.'!P171</f>
        <v>1.1259293984450591</v>
      </c>
      <c r="R164" s="93">
        <f>'Returns per Gal.'!Q171</f>
        <v>0.13379999999999997</v>
      </c>
      <c r="S164" s="93">
        <f>'Returns per Gal.'!R171</f>
        <v>0.21939999999999998</v>
      </c>
      <c r="T164" s="93">
        <f>'Returns per Gal.'!S171</f>
        <v>1.4791293984450591</v>
      </c>
      <c r="U164" s="93">
        <f>'Returns per Gal.'!T171</f>
        <v>0.19624601212121212</v>
      </c>
      <c r="V164" s="93">
        <f>'Returns per Gal.'!U171</f>
        <v>1.6753754105662713</v>
      </c>
      <c r="W164" s="93">
        <f>'Returns per Gal.'!V171</f>
        <v>1.3050490112346089</v>
      </c>
      <c r="X164" s="105"/>
      <c r="Y164" s="93"/>
      <c r="Z164" s="93">
        <f>'Returns per Gal.'!Y171</f>
        <v>0.47804939773355626</v>
      </c>
      <c r="AA164" s="93">
        <f>'Returns per Gal.'!Z171</f>
        <v>0.2971493977335562</v>
      </c>
      <c r="AB164" s="93">
        <f>'Returns per Gal.'!AA171</f>
        <v>0.10090338561234402</v>
      </c>
      <c r="AC164" s="80"/>
      <c r="AD164" s="15"/>
      <c r="AE164" s="81"/>
      <c r="AF164" s="93">
        <f>'Returns per Gal.'!AE171</f>
        <v>0.38040646169880149</v>
      </c>
      <c r="AG164" s="93">
        <f>'Returns per Gal.'!AF171</f>
        <v>0.80141566788257768</v>
      </c>
      <c r="AH164" s="93">
        <f>'Returns per Gal.'!AG171</f>
        <v>1.1818221295813791</v>
      </c>
      <c r="AI164" s="105">
        <f>'Returns per Gal.'!AH171</f>
        <v>0</v>
      </c>
      <c r="AJ164" s="104">
        <f>'Returns per Gal.'!AI171</f>
        <v>0</v>
      </c>
      <c r="AK164" s="93">
        <f>'Returns per Gal.'!AJ171</f>
        <v>1.5350221295813791</v>
      </c>
      <c r="AL164" s="93">
        <f>'Returns per Gal.'!AK171</f>
        <v>1.7312681417025912</v>
      </c>
      <c r="AM164" s="105">
        <f>'Returns per Gal.'!AL171</f>
        <v>0</v>
      </c>
      <c r="AN164" s="104"/>
      <c r="AO164" s="93">
        <f>'Returns per Gal.'!AN171</f>
        <v>0.24125666659723621</v>
      </c>
      <c r="AP164" s="93">
        <f>'Returns per Gal.'!AO171</f>
        <v>4.5010654476024037E-2</v>
      </c>
      <c r="AQ164" s="93">
        <f>'Returns per Gal.'!AP171</f>
        <v>0.10090338561234402</v>
      </c>
      <c r="AR164" s="93">
        <f>'Returns per Gal.'!AQ171</f>
        <v>-5.5892731136319984E-2</v>
      </c>
      <c r="AS164" s="52"/>
      <c r="AU164" s="177">
        <f>'Returns per Bu.'!G171</f>
        <v>3.2088987855684188</v>
      </c>
      <c r="AV164" s="166">
        <f>'Returns per Bu.'!N171</f>
        <v>5.0623945691090544</v>
      </c>
      <c r="AW164" s="166">
        <f>'Returns per Bu.'!O171</f>
        <v>3.4964734345636002</v>
      </c>
      <c r="AX164" s="169">
        <f>'Returns per Bu.'!Z171</f>
        <v>8.7570256755976641E-2</v>
      </c>
      <c r="AY164" s="162">
        <f>'Returns per Bu.'!AF171</f>
        <v>3.3681930693069306</v>
      </c>
      <c r="AZ164" s="165"/>
      <c r="BA164" s="15">
        <f t="shared" si="38"/>
        <v>2.2840346534653464</v>
      </c>
      <c r="BB164" s="93">
        <f>'Returns per Bu.'!AD171</f>
        <v>1.0841584158415842</v>
      </c>
      <c r="BC164" s="93">
        <f t="shared" si="39"/>
        <v>0.80141566788257768</v>
      </c>
    </row>
    <row r="165" spans="1:55" x14ac:dyDescent="0.2">
      <c r="A165" s="8">
        <v>43313</v>
      </c>
      <c r="C165" s="53"/>
      <c r="D165" s="281">
        <v>1.3408695718516475</v>
      </c>
      <c r="E165" s="282">
        <v>131.72826086956522</v>
      </c>
      <c r="F165" s="281">
        <v>0.2397</v>
      </c>
      <c r="G165" s="281">
        <v>3.2968913057576055</v>
      </c>
      <c r="H165" s="266">
        <v>4.79</v>
      </c>
      <c r="I165" s="184"/>
      <c r="K165" s="93">
        <f>'Returns per Gal.'!J172</f>
        <v>1.3408695718516475</v>
      </c>
      <c r="L165" s="93">
        <f>'Returns per Gal.'!K172</f>
        <v>0.37900762776506475</v>
      </c>
      <c r="M165" s="93">
        <f>'Returns per Gal.'!L172</f>
        <v>5.4668421052631574E-2</v>
      </c>
      <c r="N165" s="93">
        <f>'Returns per Gal.'!M172</f>
        <v>1.7745456206693437</v>
      </c>
      <c r="O165" s="110"/>
      <c r="P165" s="108"/>
      <c r="Q165" s="93">
        <f>'Returns per Gal.'!P172</f>
        <v>1.1568039669324932</v>
      </c>
      <c r="R165" s="93">
        <f>'Returns per Gal.'!Q172</f>
        <v>0.14369999999999999</v>
      </c>
      <c r="S165" s="93">
        <f>'Returns per Gal.'!R172</f>
        <v>0.21939999999999998</v>
      </c>
      <c r="T165" s="93">
        <f>'Returns per Gal.'!S172</f>
        <v>1.5199039669324932</v>
      </c>
      <c r="U165" s="93">
        <f>'Returns per Gal.'!T172</f>
        <v>0.19624601212121212</v>
      </c>
      <c r="V165" s="93">
        <f>'Returns per Gal.'!U172</f>
        <v>1.7161499790537054</v>
      </c>
      <c r="W165" s="93">
        <f>'Returns per Gal.'!V172</f>
        <v>1.2824739302360091</v>
      </c>
      <c r="X165" s="105"/>
      <c r="Y165" s="93"/>
      <c r="Z165" s="93">
        <f>'Returns per Gal.'!Y172</f>
        <v>0.43554165373685055</v>
      </c>
      <c r="AA165" s="93">
        <f>'Returns per Gal.'!Z172</f>
        <v>0.25464165373685055</v>
      </c>
      <c r="AB165" s="93">
        <f>'Returns per Gal.'!AA172</f>
        <v>5.8395641615638372E-2</v>
      </c>
      <c r="AC165" s="80"/>
      <c r="AD165" s="15"/>
      <c r="AE165" s="81"/>
      <c r="AF165" s="93">
        <f>'Returns per Gal.'!AE172</f>
        <v>0.38040646169880149</v>
      </c>
      <c r="AG165" s="93">
        <f>'Returns per Gal.'!AF172</f>
        <v>0.80141566788257768</v>
      </c>
      <c r="AH165" s="93">
        <f>'Returns per Gal.'!AG172</f>
        <v>1.1818221295813791</v>
      </c>
      <c r="AI165" s="105">
        <f>'Returns per Gal.'!AH172</f>
        <v>0</v>
      </c>
      <c r="AJ165" s="104">
        <f>'Returns per Gal.'!AI172</f>
        <v>0</v>
      </c>
      <c r="AK165" s="93">
        <f>'Returns per Gal.'!AJ172</f>
        <v>1.5449221295813791</v>
      </c>
      <c r="AL165" s="93">
        <f>'Returns per Gal.'!AK172</f>
        <v>1.7411681417025913</v>
      </c>
      <c r="AM165" s="105">
        <f>'Returns per Gal.'!AL172</f>
        <v>0</v>
      </c>
      <c r="AN165" s="104"/>
      <c r="AO165" s="93">
        <f>'Returns per Gal.'!AN172</f>
        <v>0.22962349108796465</v>
      </c>
      <c r="AP165" s="93">
        <f>'Returns per Gal.'!AO172</f>
        <v>3.3377478966752472E-2</v>
      </c>
      <c r="AQ165" s="93">
        <f>'Returns per Gal.'!AP172</f>
        <v>5.8395641615638372E-2</v>
      </c>
      <c r="AR165" s="93">
        <f>'Returns per Gal.'!AQ172</f>
        <v>-2.50181626488859E-2</v>
      </c>
      <c r="AS165" s="52"/>
      <c r="AU165" s="177">
        <f>'Returns per Bu.'!G172</f>
        <v>3.2968913057576055</v>
      </c>
      <c r="AV165" s="166">
        <f>'Returns per Bu.'!N172</f>
        <v>5.0574550189076302</v>
      </c>
      <c r="AW165" s="166">
        <f>'Returns per Bu.'!O172</f>
        <v>3.4633188843621756</v>
      </c>
      <c r="AX165" s="169">
        <f>'Returns per Bu.'!Z172</f>
        <v>5.0679383042285815E-2</v>
      </c>
      <c r="AY165" s="162">
        <f>'Returns per Bu.'!AF172</f>
        <v>3.3681930693069306</v>
      </c>
      <c r="AZ165" s="165"/>
      <c r="BA165" s="15">
        <f t="shared" si="38"/>
        <v>2.2840346534653464</v>
      </c>
      <c r="BB165" s="93">
        <f>'Returns per Bu.'!AD172</f>
        <v>1.0841584158415842</v>
      </c>
      <c r="BC165" s="93">
        <f t="shared" si="39"/>
        <v>0.80141566788257768</v>
      </c>
    </row>
    <row r="166" spans="1:55" x14ac:dyDescent="0.2">
      <c r="A166" s="8">
        <v>43344</v>
      </c>
      <c r="C166" s="53"/>
      <c r="D166" s="281">
        <v>1.223750004172325</v>
      </c>
      <c r="E166" s="282">
        <v>131.11250000000001</v>
      </c>
      <c r="F166" s="281">
        <v>0.25019999999999998</v>
      </c>
      <c r="G166" s="281">
        <v>3.1718125075101851</v>
      </c>
      <c r="H166" s="266">
        <v>5.38</v>
      </c>
      <c r="I166" s="184"/>
      <c r="K166" s="93">
        <f>'Returns per Gal.'!J173</f>
        <v>1.223750004172325</v>
      </c>
      <c r="L166" s="93">
        <f>'Returns per Gal.'!K173</f>
        <v>0.37723596491228067</v>
      </c>
      <c r="M166" s="93">
        <f>'Returns per Gal.'!L173</f>
        <v>5.7063157894736836E-2</v>
      </c>
      <c r="N166" s="93">
        <f>'Returns per Gal.'!M173</f>
        <v>1.6580491269793427</v>
      </c>
      <c r="O166" s="110"/>
      <c r="P166" s="108"/>
      <c r="Q166" s="93">
        <f>'Returns per Gal.'!P173</f>
        <v>1.1129166693018193</v>
      </c>
      <c r="R166" s="93">
        <f>'Returns per Gal.'!Q173</f>
        <v>0.16140000000000002</v>
      </c>
      <c r="S166" s="93">
        <f>'Returns per Gal.'!R173</f>
        <v>0.21939999999999998</v>
      </c>
      <c r="T166" s="93">
        <f>'Returns per Gal.'!S173</f>
        <v>1.4937166693018193</v>
      </c>
      <c r="U166" s="93">
        <f>'Returns per Gal.'!T173</f>
        <v>0.19624601212121212</v>
      </c>
      <c r="V166" s="93">
        <f>'Returns per Gal.'!U173</f>
        <v>1.6899626814230315</v>
      </c>
      <c r="W166" s="93">
        <f>'Returns per Gal.'!V173</f>
        <v>1.2556635586160139</v>
      </c>
      <c r="X166" s="105"/>
      <c r="Y166" s="93"/>
      <c r="Z166" s="93">
        <f>'Returns per Gal.'!Y173</f>
        <v>0.34523245767752342</v>
      </c>
      <c r="AA166" s="93">
        <f>'Returns per Gal.'!Z173</f>
        <v>0.16433245767752336</v>
      </c>
      <c r="AB166" s="93">
        <f>'Returns per Gal.'!AA173</f>
        <v>-3.1913554443688819E-2</v>
      </c>
      <c r="AC166" s="80"/>
      <c r="AD166" s="15"/>
      <c r="AE166" s="81"/>
      <c r="AF166" s="93">
        <f>'Returns per Gal.'!AE173</f>
        <v>0.39742212674543503</v>
      </c>
      <c r="AG166" s="93">
        <f>'Returns per Gal.'!AF173</f>
        <v>0.80825277479412816</v>
      </c>
      <c r="AH166" s="93">
        <f>'Returns per Gal.'!AG173</f>
        <v>1.2056749015395631</v>
      </c>
      <c r="AI166" s="105">
        <f>'Returns per Gal.'!AH173</f>
        <v>0</v>
      </c>
      <c r="AJ166" s="104">
        <f>'Returns per Gal.'!AI173</f>
        <v>0</v>
      </c>
      <c r="AK166" s="93">
        <f>'Returns per Gal.'!AJ173</f>
        <v>1.5864749015395632</v>
      </c>
      <c r="AL166" s="93">
        <f>'Returns per Gal.'!AK173</f>
        <v>1.7827209136607753</v>
      </c>
      <c r="AM166" s="105">
        <f>'Returns per Gal.'!AL173</f>
        <v>0</v>
      </c>
      <c r="AN166" s="104"/>
      <c r="AO166" s="93">
        <f>'Returns per Gal.'!AN173</f>
        <v>7.1574225439779537E-2</v>
      </c>
      <c r="AP166" s="93">
        <f>'Returns per Gal.'!AO173</f>
        <v>-0.12467178668143264</v>
      </c>
      <c r="AQ166" s="93">
        <f>'Returns per Gal.'!AP173</f>
        <v>-3.1913554443688819E-2</v>
      </c>
      <c r="AR166" s="93">
        <f>'Returns per Gal.'!AQ173</f>
        <v>-9.2758232237743821E-2</v>
      </c>
      <c r="AS166" s="52"/>
      <c r="AU166" s="177">
        <f>'Returns per Bu.'!G173</f>
        <v>3.1718125075101851</v>
      </c>
      <c r="AV166" s="166">
        <f>'Returns per Bu.'!N173</f>
        <v>4.7254400118911271</v>
      </c>
      <c r="AW166" s="166">
        <f>'Returns per Bu.'!O173</f>
        <v>3.0808588773456727</v>
      </c>
      <c r="AX166" s="169">
        <f>'Returns per Bu.'!Z173</f>
        <v>-2.7696574695386146E-2</v>
      </c>
      <c r="AY166" s="162">
        <f>'Returns per Bu.'!AF173</f>
        <v>3.436173469387755</v>
      </c>
      <c r="AZ166" s="165"/>
      <c r="BA166" s="15">
        <f t="shared" si="38"/>
        <v>2.3035204081632652</v>
      </c>
      <c r="BB166" s="93">
        <f>'Returns per Bu.'!AD173</f>
        <v>1.1326530612244898</v>
      </c>
      <c r="BC166" s="93">
        <f t="shared" si="39"/>
        <v>0.80825277479412816</v>
      </c>
    </row>
    <row r="167" spans="1:55" x14ac:dyDescent="0.2">
      <c r="A167" s="8">
        <v>43374</v>
      </c>
      <c r="C167" s="53"/>
      <c r="D167" s="281">
        <v>1.1963636170734058</v>
      </c>
      <c r="E167" s="282">
        <v>130.26136363636363</v>
      </c>
      <c r="F167" s="281">
        <v>0.25059999999999999</v>
      </c>
      <c r="G167" s="281">
        <v>3.29</v>
      </c>
      <c r="H167" s="266">
        <v>5.05</v>
      </c>
      <c r="I167" s="184"/>
      <c r="K167" s="93">
        <f>'Returns per Gal.'!J174</f>
        <v>1.1963636170734058</v>
      </c>
      <c r="L167" s="93">
        <f>'Returns per Gal.'!K174</f>
        <v>0.37478708133971284</v>
      </c>
      <c r="M167" s="93">
        <f>'Returns per Gal.'!L174</f>
        <v>5.7154385964912284E-2</v>
      </c>
      <c r="N167" s="93">
        <f>'Returns per Gal.'!M174</f>
        <v>1.6283050843780309</v>
      </c>
      <c r="O167" s="110"/>
      <c r="P167" s="108"/>
      <c r="Q167" s="93">
        <f>'Returns per Gal.'!P174</f>
        <v>1.1543859649122807</v>
      </c>
      <c r="R167" s="93">
        <f>'Returns per Gal.'!Q174</f>
        <v>0.1515</v>
      </c>
      <c r="S167" s="93">
        <f>'Returns per Gal.'!R174</f>
        <v>0.21939999999999998</v>
      </c>
      <c r="T167" s="93">
        <f>'Returns per Gal.'!S174</f>
        <v>1.5252859649122807</v>
      </c>
      <c r="U167" s="93">
        <f>'Returns per Gal.'!T174</f>
        <v>0.19624601212121212</v>
      </c>
      <c r="V167" s="93">
        <f>'Returns per Gal.'!U174</f>
        <v>1.7215319770334929</v>
      </c>
      <c r="W167" s="93">
        <f>'Returns per Gal.'!V174</f>
        <v>1.289590509728868</v>
      </c>
      <c r="X167" s="105"/>
      <c r="Y167" s="93"/>
      <c r="Z167" s="93">
        <f>'Returns per Gal.'!Y174</f>
        <v>0.28391911946575021</v>
      </c>
      <c r="AA167" s="93">
        <f>'Returns per Gal.'!Z174</f>
        <v>0.10301911946575015</v>
      </c>
      <c r="AB167" s="93">
        <f>'Returns per Gal.'!AA174</f>
        <v>-9.3226892655462024E-2</v>
      </c>
      <c r="AC167" s="80"/>
      <c r="AD167" s="15"/>
      <c r="AE167" s="81"/>
      <c r="AF167" s="93">
        <f>'Returns per Gal.'!AE174</f>
        <v>0.39742212674543503</v>
      </c>
      <c r="AG167" s="93">
        <f>'Returns per Gal.'!AF174</f>
        <v>0.80825277479412816</v>
      </c>
      <c r="AH167" s="93">
        <f>'Returns per Gal.'!AG174</f>
        <v>1.2056749015395631</v>
      </c>
      <c r="AI167" s="105">
        <f>'Returns per Gal.'!AH174</f>
        <v>0</v>
      </c>
      <c r="AJ167" s="104">
        <f>'Returns per Gal.'!AI174</f>
        <v>0</v>
      </c>
      <c r="AK167" s="93">
        <f>'Returns per Gal.'!AJ174</f>
        <v>1.5765749015395631</v>
      </c>
      <c r="AL167" s="93">
        <f>'Returns per Gal.'!AK174</f>
        <v>1.7728209136607753</v>
      </c>
      <c r="AM167" s="105">
        <f>'Returns per Gal.'!AL174</f>
        <v>0</v>
      </c>
      <c r="AN167" s="104"/>
      <c r="AO167" s="93">
        <f>'Returns per Gal.'!AN174</f>
        <v>5.1730182838467753E-2</v>
      </c>
      <c r="AP167" s="93">
        <f>'Returns per Gal.'!AO174</f>
        <v>-0.14451582928274442</v>
      </c>
      <c r="AQ167" s="93">
        <f>'Returns per Gal.'!AP174</f>
        <v>-9.3226892655462024E-2</v>
      </c>
      <c r="AR167" s="93">
        <f>'Returns per Gal.'!AQ174</f>
        <v>-5.12889366272824E-2</v>
      </c>
      <c r="AS167" s="52"/>
      <c r="AU167" s="177">
        <f>'Returns per Bu.'!G174</f>
        <v>3.29</v>
      </c>
      <c r="AV167" s="166">
        <f>'Returns per Bu.'!N174</f>
        <v>4.6406694904773884</v>
      </c>
      <c r="AW167" s="166">
        <f>'Returns per Bu.'!O174</f>
        <v>3.0243033559319343</v>
      </c>
      <c r="AX167" s="169">
        <f>'Returns per Bu.'!Z174</f>
        <v>-8.0908116976026345E-2</v>
      </c>
      <c r="AY167" s="162">
        <f>'Returns per Bu.'!AF174</f>
        <v>3.436173469387755</v>
      </c>
      <c r="AZ167" s="165"/>
      <c r="BA167" s="15">
        <f t="shared" si="38"/>
        <v>2.3035204081632652</v>
      </c>
      <c r="BB167" s="93">
        <f>'Returns per Bu.'!AD174</f>
        <v>1.1326530612244898</v>
      </c>
      <c r="BC167" s="93">
        <f t="shared" si="39"/>
        <v>0.80825277479412816</v>
      </c>
    </row>
    <row r="168" spans="1:55" x14ac:dyDescent="0.2">
      <c r="A168" s="8">
        <v>43405</v>
      </c>
      <c r="C168" s="53"/>
      <c r="D168" s="281">
        <v>1.2295000076293945</v>
      </c>
      <c r="E168" s="282">
        <v>133.48750000000001</v>
      </c>
      <c r="F168" s="281">
        <v>0.24780000000000002</v>
      </c>
      <c r="G168" s="281">
        <v>3.3720625042915344</v>
      </c>
      <c r="H168" s="266">
        <v>5.82</v>
      </c>
      <c r="I168" s="184"/>
      <c r="K168" s="93">
        <f>'Returns per Gal.'!J175</f>
        <v>1.2295000076293945</v>
      </c>
      <c r="L168" s="93">
        <f>'Returns per Gal.'!K175</f>
        <v>0.38406929824561398</v>
      </c>
      <c r="M168" s="93">
        <f>'Returns per Gal.'!L175</f>
        <v>5.6515789473684214E-2</v>
      </c>
      <c r="N168" s="93">
        <f>'Returns per Gal.'!M175</f>
        <v>1.6700850953486928</v>
      </c>
      <c r="O168" s="110"/>
      <c r="P168" s="108"/>
      <c r="Q168" s="93">
        <f>'Returns per Gal.'!P175</f>
        <v>1.1831798260672051</v>
      </c>
      <c r="R168" s="93">
        <f>'Returns per Gal.'!Q175</f>
        <v>0.17460000000000001</v>
      </c>
      <c r="S168" s="93">
        <f>'Returns per Gal.'!R175</f>
        <v>0.21939999999999998</v>
      </c>
      <c r="T168" s="93">
        <f>'Returns per Gal.'!S175</f>
        <v>1.5771798260672052</v>
      </c>
      <c r="U168" s="93">
        <f>'Returns per Gal.'!T175</f>
        <v>0.19624601212121212</v>
      </c>
      <c r="V168" s="93">
        <f>'Returns per Gal.'!U175</f>
        <v>1.7734258381884174</v>
      </c>
      <c r="W168" s="93">
        <f>'Returns per Gal.'!V175</f>
        <v>1.3328407504691191</v>
      </c>
      <c r="X168" s="105"/>
      <c r="Y168" s="93"/>
      <c r="Z168" s="93">
        <f>'Returns per Gal.'!Y175</f>
        <v>0.27380526928148774</v>
      </c>
      <c r="AA168" s="93">
        <f>'Returns per Gal.'!Z175</f>
        <v>9.2905269281487568E-2</v>
      </c>
      <c r="AB168" s="93">
        <f>'Returns per Gal.'!AA175</f>
        <v>-0.10334074283972461</v>
      </c>
      <c r="AC168" s="80"/>
      <c r="AD168" s="15"/>
      <c r="AE168" s="81"/>
      <c r="AF168" s="93">
        <f>'Returns per Gal.'!AE175</f>
        <v>0.39742212674543503</v>
      </c>
      <c r="AG168" s="93">
        <f>'Returns per Gal.'!AF175</f>
        <v>0.80825277479412816</v>
      </c>
      <c r="AH168" s="93">
        <f>'Returns per Gal.'!AG175</f>
        <v>1.2056749015395631</v>
      </c>
      <c r="AI168" s="105">
        <f>'Returns per Gal.'!AH175</f>
        <v>0</v>
      </c>
      <c r="AJ168" s="104">
        <f>'Returns per Gal.'!AI175</f>
        <v>0</v>
      </c>
      <c r="AK168" s="93">
        <f>'Returns per Gal.'!AJ175</f>
        <v>1.5996749015395633</v>
      </c>
      <c r="AL168" s="93">
        <f>'Returns per Gal.'!AK175</f>
        <v>1.7959209136607754</v>
      </c>
      <c r="AM168" s="105">
        <f>'Returns per Gal.'!AL175</f>
        <v>0</v>
      </c>
      <c r="AN168" s="104"/>
      <c r="AO168" s="93">
        <f>'Returns per Gal.'!AN175</f>
        <v>7.0410193809129495E-2</v>
      </c>
      <c r="AP168" s="93">
        <f>'Returns per Gal.'!AO175</f>
        <v>-0.12583581831208268</v>
      </c>
      <c r="AQ168" s="93">
        <f>'Returns per Gal.'!AP175</f>
        <v>-0.10334074283972461</v>
      </c>
      <c r="AR168" s="93">
        <f>'Returns per Gal.'!AQ175</f>
        <v>-2.2495075472358073E-2</v>
      </c>
      <c r="AS168" s="52"/>
      <c r="AU168" s="177">
        <f>'Returns per Bu.'!G175</f>
        <v>3.3720625042915344</v>
      </c>
      <c r="AV168" s="166">
        <f>'Returns per Bu.'!N175</f>
        <v>4.7597425217437737</v>
      </c>
      <c r="AW168" s="166">
        <f>'Returns per Bu.'!O175</f>
        <v>3.0775413871983197</v>
      </c>
      <c r="AX168" s="169">
        <f>'Returns per Bu.'!Z175</f>
        <v>-8.9685547505760951E-2</v>
      </c>
      <c r="AY168" s="162">
        <f>'Returns per Bu.'!AF175</f>
        <v>3.436173469387755</v>
      </c>
      <c r="AZ168" s="165"/>
      <c r="BA168" s="15">
        <f t="shared" si="38"/>
        <v>2.3035204081632652</v>
      </c>
      <c r="BB168" s="93">
        <f>'Returns per Bu.'!AD175</f>
        <v>1.1326530612244898</v>
      </c>
      <c r="BC168" s="93">
        <f t="shared" si="39"/>
        <v>0.80825277479412816</v>
      </c>
    </row>
    <row r="169" spans="1:55" x14ac:dyDescent="0.2">
      <c r="A169" s="68">
        <v>43435</v>
      </c>
      <c r="B169" s="29"/>
      <c r="C169" s="56"/>
      <c r="D169" s="284">
        <v>1.1594117704559774</v>
      </c>
      <c r="E169" s="285">
        <v>165.1764705882353</v>
      </c>
      <c r="F169" s="284">
        <v>0.25730000000000003</v>
      </c>
      <c r="G169" s="284">
        <v>3.4561397152788498</v>
      </c>
      <c r="H169" s="286">
        <v>6.35</v>
      </c>
      <c r="I169" s="187"/>
      <c r="J169" s="29"/>
      <c r="K169" s="97">
        <f>'Returns per Gal.'!J176</f>
        <v>1.1594117704559774</v>
      </c>
      <c r="L169" s="97">
        <f>'Returns per Gal.'!K176</f>
        <v>0.47524458204334369</v>
      </c>
      <c r="M169" s="97">
        <f>'Returns per Gal.'!L176</f>
        <v>5.8682456140350885E-2</v>
      </c>
      <c r="N169" s="97">
        <f>'Returns per Gal.'!M176</f>
        <v>1.6933388086396721</v>
      </c>
      <c r="O169" s="113"/>
      <c r="P169" s="111"/>
      <c r="Q169" s="97">
        <f>'Returns per Gal.'!P176</f>
        <v>1.212680601852228</v>
      </c>
      <c r="R169" s="97">
        <f>'Returns per Gal.'!Q176</f>
        <v>0.1905</v>
      </c>
      <c r="S169" s="97">
        <f>'Returns per Gal.'!R176</f>
        <v>0.21939999999999998</v>
      </c>
      <c r="T169" s="97">
        <f>'Returns per Gal.'!S176</f>
        <v>1.622580601852228</v>
      </c>
      <c r="U169" s="97">
        <f>'Returns per Gal.'!T176</f>
        <v>0.19624601212121212</v>
      </c>
      <c r="V169" s="97">
        <f>'Returns per Gal.'!U176</f>
        <v>1.8188266139734401</v>
      </c>
      <c r="W169" s="97">
        <f>'Returns per Gal.'!V176</f>
        <v>1.2848995757897455</v>
      </c>
      <c r="X169" s="107"/>
      <c r="Y169" s="97"/>
      <c r="Z169" s="97">
        <f>'Returns per Gal.'!Y176</f>
        <v>0.25165820678744411</v>
      </c>
      <c r="AA169" s="97">
        <f>'Returns per Gal.'!Z176</f>
        <v>7.0758206787444156E-2</v>
      </c>
      <c r="AB169" s="97">
        <f>'Returns per Gal.'!AA176</f>
        <v>-0.12548780533376802</v>
      </c>
      <c r="AC169" s="82"/>
      <c r="AD169" s="65"/>
      <c r="AE169" s="83"/>
      <c r="AF169" s="97">
        <f>'Returns per Gal.'!AE176</f>
        <v>0.39742212674543503</v>
      </c>
      <c r="AG169" s="97">
        <f>'Returns per Gal.'!AF176</f>
        <v>0.80825277479412816</v>
      </c>
      <c r="AH169" s="97">
        <f>'Returns per Gal.'!AG176</f>
        <v>1.2056749015395631</v>
      </c>
      <c r="AI169" s="107">
        <f>'Returns per Gal.'!AH176</f>
        <v>0</v>
      </c>
      <c r="AJ169" s="106">
        <f>'Returns per Gal.'!AI176</f>
        <v>0</v>
      </c>
      <c r="AK169" s="97">
        <f>'Returns per Gal.'!AJ176</f>
        <v>1.6155749015395633</v>
      </c>
      <c r="AL169" s="97">
        <f>'Returns per Gal.'!AK176</f>
        <v>1.8118209136607755</v>
      </c>
      <c r="AM169" s="107">
        <f>'Returns per Gal.'!AL176</f>
        <v>0</v>
      </c>
      <c r="AN169" s="106"/>
      <c r="AO169" s="97">
        <f>'Returns per Gal.'!AN176</f>
        <v>7.7763907100108831E-2</v>
      </c>
      <c r="AP169" s="97">
        <f>'Returns per Gal.'!AO176</f>
        <v>-0.11848210502110335</v>
      </c>
      <c r="AQ169" s="97">
        <f>'Returns per Gal.'!AP176</f>
        <v>-0.12548780533376824</v>
      </c>
      <c r="AR169" s="97">
        <f>'Returns per Gal.'!AQ176</f>
        <v>7.0057003126648976E-3</v>
      </c>
      <c r="AS169" s="64"/>
      <c r="AT169" s="29"/>
      <c r="AU169" s="178">
        <f>'Returns per Bu.'!G176</f>
        <v>3.4561397152788498</v>
      </c>
      <c r="AV169" s="167">
        <f>'Returns per Bu.'!N176</f>
        <v>4.8260156046230653</v>
      </c>
      <c r="AW169" s="167">
        <f>'Returns per Bu.'!O176</f>
        <v>3.098499470077611</v>
      </c>
      <c r="AX169" s="170">
        <f>'Returns per Bu.'!Z176</f>
        <v>-0.10890615083065859</v>
      </c>
      <c r="AY169" s="163">
        <f>'Returns per Bu.'!AF176</f>
        <v>3.436173469387755</v>
      </c>
      <c r="AZ169" s="164"/>
      <c r="BA169" s="65">
        <f t="shared" ref="BA169:BA180" si="40">AY169-BB169</f>
        <v>2.3035204081632652</v>
      </c>
      <c r="BB169" s="97">
        <f>'Returns per Bu.'!AD176</f>
        <v>1.1326530612244898</v>
      </c>
      <c r="BC169" s="97">
        <f t="shared" ref="BC169:BC180" si="41">AG169</f>
        <v>0.80825277479412816</v>
      </c>
    </row>
    <row r="170" spans="1:55" x14ac:dyDescent="0.2">
      <c r="A170" s="21">
        <v>43484</v>
      </c>
      <c r="C170" s="53"/>
      <c r="D170" s="93">
        <v>1.1721428717885698</v>
      </c>
      <c r="E170" s="95">
        <v>155.14285714285714</v>
      </c>
      <c r="F170" s="319">
        <v>0.25319999999999998</v>
      </c>
      <c r="G170" s="93">
        <v>3.5409523873102096</v>
      </c>
      <c r="H170" s="266">
        <v>4.93</v>
      </c>
      <c r="I170" s="184"/>
      <c r="J170" s="12"/>
      <c r="K170" s="93">
        <f>'Returns per Gal.'!J177</f>
        <v>1.1721428717885698</v>
      </c>
      <c r="L170" s="93">
        <f>'Returns per Gal.'!K177</f>
        <v>0.44637593984962404</v>
      </c>
      <c r="M170" s="93">
        <f>'Returns per Gal.'!L177</f>
        <v>5.7747368421052631E-2</v>
      </c>
      <c r="N170" s="93">
        <f>'Returns per Gal.'!M177</f>
        <v>1.6762661800592464</v>
      </c>
      <c r="O170" s="110">
        <f>'Returns per Gal.'!N177</f>
        <v>0</v>
      </c>
      <c r="P170" s="108">
        <f>'Returns per Gal.'!O177</f>
        <v>0</v>
      </c>
      <c r="Q170" s="93">
        <f>'Returns per Gal.'!P177</f>
        <v>1.2424394341439331</v>
      </c>
      <c r="R170" s="93">
        <f>'Returns per Gal.'!Q177</f>
        <v>0.14789999999999998</v>
      </c>
      <c r="S170" s="93">
        <f>'Returns per Gal.'!R177</f>
        <v>0.21939999999999998</v>
      </c>
      <c r="T170" s="93">
        <f>'Returns per Gal.'!S177</f>
        <v>1.6097394341439331</v>
      </c>
      <c r="U170" s="93">
        <f>'Returns per Gal.'!T177</f>
        <v>0.19624601212121212</v>
      </c>
      <c r="V170" s="93">
        <f>'Returns per Gal.'!U177</f>
        <v>1.8059854462651452</v>
      </c>
      <c r="W170" s="93">
        <f>'Returns per Gal.'!V177</f>
        <v>1.3018621379944686</v>
      </c>
      <c r="X170" s="105"/>
      <c r="Y170" s="93">
        <f>'Returns per Gal.'!V177</f>
        <v>1.3018621379944686</v>
      </c>
      <c r="Z170" s="93">
        <f>'Returns per Gal.'!Y177</f>
        <v>0.24742674591531336</v>
      </c>
      <c r="AA170" s="93">
        <f>'Returns per Gal.'!Z177</f>
        <v>6.6526745915313379E-2</v>
      </c>
      <c r="AB170" s="93">
        <f>'Returns per Gal.'!AA177</f>
        <v>-0.1297192662058988</v>
      </c>
      <c r="AC170" s="80">
        <f>'Returns per Gal.'!AB177</f>
        <v>0</v>
      </c>
      <c r="AD170" s="15">
        <f>'Returns per Gal.'!AC177</f>
        <v>0</v>
      </c>
      <c r="AE170" s="81">
        <f>'Returns per Gal.'!AD177</f>
        <v>0</v>
      </c>
      <c r="AF170" s="93">
        <f>'Returns per Gal.'!AE177</f>
        <v>0.39742212674543503</v>
      </c>
      <c r="AG170" s="93">
        <f>'Returns per Gal.'!AF177</f>
        <v>0.80825277479412816</v>
      </c>
      <c r="AH170" s="93">
        <f>'Returns per Gal.'!AG177</f>
        <v>1.2056749015395631</v>
      </c>
      <c r="AI170" s="105">
        <f>'Returns per Gal.'!AH177</f>
        <v>0</v>
      </c>
      <c r="AJ170" s="104">
        <f>'Returns per Gal.'!AI177</f>
        <v>0</v>
      </c>
      <c r="AK170" s="93">
        <f>'Returns per Gal.'!AJ177</f>
        <v>1.5729749015395631</v>
      </c>
      <c r="AL170" s="93">
        <f>'Returns per Gal.'!AK177</f>
        <v>1.7692209136607753</v>
      </c>
      <c r="AM170" s="105">
        <f>'Returns per Gal.'!AL177</f>
        <v>0</v>
      </c>
      <c r="AN170" s="104"/>
      <c r="AO170" s="93">
        <f>'Returns per Gal.'!AN177</f>
        <v>0.10329127851968334</v>
      </c>
      <c r="AP170" s="93">
        <f>'Returns per Gal.'!AO177</f>
        <v>-9.2954733601528838E-2</v>
      </c>
      <c r="AQ170" s="93">
        <f>'Returns per Gal.'!AP177</f>
        <v>-0.1297192662058988</v>
      </c>
      <c r="AR170" s="93">
        <f>'Returns per Gal.'!AQ177</f>
        <v>3.6764532604369959E-2</v>
      </c>
      <c r="AS170" s="52"/>
      <c r="AU170" s="177">
        <f>'Returns per Bu.'!G177</f>
        <v>3.5409523873102096</v>
      </c>
      <c r="AV170" s="166">
        <f>'Returns per Bu.'!N177</f>
        <v>4.7773586131688521</v>
      </c>
      <c r="AW170" s="166">
        <f>'Returns per Bu.'!O177</f>
        <v>3.1712524786233978</v>
      </c>
      <c r="AX170" s="169">
        <f>'Returns per Bu.'!Z177</f>
        <v>-0.11257847671721474</v>
      </c>
      <c r="AY170" s="162">
        <f>'Returns per Bu.'!AF177</f>
        <v>3.436173469387755</v>
      </c>
      <c r="AZ170" s="165"/>
      <c r="BA170" s="15">
        <f t="shared" si="40"/>
        <v>2.3035204081632652</v>
      </c>
      <c r="BB170" s="93">
        <f>'Returns per Bu.'!AD177</f>
        <v>1.1326530612244898</v>
      </c>
      <c r="BC170" s="93">
        <f t="shared" si="41"/>
        <v>0.80825277479412816</v>
      </c>
    </row>
    <row r="171" spans="1:55" x14ac:dyDescent="0.2">
      <c r="A171" s="8">
        <v>43515</v>
      </c>
      <c r="C171" s="53"/>
      <c r="D171" s="93">
        <v>1.2102777693006728</v>
      </c>
      <c r="E171" s="95">
        <v>140</v>
      </c>
      <c r="F171" s="319">
        <v>0.25019999999999998</v>
      </c>
      <c r="G171" s="93">
        <v>3.5677430596616535</v>
      </c>
      <c r="H171" s="266">
        <v>4.67</v>
      </c>
      <c r="I171" s="184"/>
      <c r="J171" s="12"/>
      <c r="K171" s="93">
        <f>'Returns per Gal.'!J178</f>
        <v>1.2102777693006728</v>
      </c>
      <c r="L171" s="93">
        <f>'Returns per Gal.'!K178</f>
        <v>0.40280701754385961</v>
      </c>
      <c r="M171" s="93">
        <f>'Returns per Gal.'!L178</f>
        <v>5.7063157894736836E-2</v>
      </c>
      <c r="N171" s="93">
        <f>'Returns per Gal.'!M178</f>
        <v>1.6701479447392693</v>
      </c>
      <c r="O171" s="110">
        <f>'Returns per Gal.'!N178</f>
        <v>0</v>
      </c>
      <c r="P171" s="108">
        <f>'Returns per Gal.'!O178</f>
        <v>0</v>
      </c>
      <c r="Q171" s="93">
        <f>'Returns per Gal.'!P178</f>
        <v>1.2518396700567205</v>
      </c>
      <c r="R171" s="93">
        <f>'Returns per Gal.'!Q178</f>
        <v>0.1401</v>
      </c>
      <c r="S171" s="93">
        <f>'Returns per Gal.'!R178</f>
        <v>0.21939999999999998</v>
      </c>
      <c r="T171" s="93">
        <f>'Returns per Gal.'!S178</f>
        <v>1.6113396700567206</v>
      </c>
      <c r="U171" s="93">
        <f>'Returns per Gal.'!T178</f>
        <v>0.19624601212121212</v>
      </c>
      <c r="V171" s="93">
        <f>'Returns per Gal.'!U178</f>
        <v>1.8075856821779328</v>
      </c>
      <c r="W171" s="93">
        <f>'Returns per Gal.'!V178</f>
        <v>1.3477155067393363</v>
      </c>
      <c r="X171" s="105"/>
      <c r="Y171" s="93">
        <f>'Returns per Gal.'!V178</f>
        <v>1.3477155067393363</v>
      </c>
      <c r="Z171" s="93">
        <f>'Returns per Gal.'!Y178</f>
        <v>0.23970827468254882</v>
      </c>
      <c r="AA171" s="93">
        <f>'Returns per Gal.'!Z178</f>
        <v>5.8808274682548678E-2</v>
      </c>
      <c r="AB171" s="93">
        <f>'Returns per Gal.'!AA178</f>
        <v>-0.1374377374386635</v>
      </c>
      <c r="AC171" s="80">
        <f>'Returns per Gal.'!AB178</f>
        <v>0</v>
      </c>
      <c r="AD171" s="15">
        <f>'Returns per Gal.'!AC178</f>
        <v>0</v>
      </c>
      <c r="AE171" s="81">
        <f>'Returns per Gal.'!AD178</f>
        <v>0</v>
      </c>
      <c r="AF171" s="93">
        <f>'Returns per Gal.'!AE178</f>
        <v>0.39742212674543503</v>
      </c>
      <c r="AG171" s="93">
        <f>'Returns per Gal.'!AF178</f>
        <v>0.80825277479412816</v>
      </c>
      <c r="AH171" s="93">
        <f>'Returns per Gal.'!AG178</f>
        <v>1.2056749015395631</v>
      </c>
      <c r="AI171" s="105">
        <f>'Returns per Gal.'!AH178</f>
        <v>0</v>
      </c>
      <c r="AJ171" s="104">
        <f>'Returns per Gal.'!AI178</f>
        <v>0</v>
      </c>
      <c r="AK171" s="93">
        <f>'Returns per Gal.'!AJ178</f>
        <v>1.5651749015395631</v>
      </c>
      <c r="AL171" s="93">
        <f>'Returns per Gal.'!AK178</f>
        <v>1.7614209136607752</v>
      </c>
      <c r="AM171" s="105">
        <f>'Returns per Gal.'!AL178</f>
        <v>0</v>
      </c>
      <c r="AN171" s="104"/>
      <c r="AO171" s="93">
        <f>'Returns per Gal.'!AN178</f>
        <v>0.10497304319970624</v>
      </c>
      <c r="AP171" s="93">
        <f>'Returns per Gal.'!AO178</f>
        <v>-9.1272968921505937E-2</v>
      </c>
      <c r="AQ171" s="93">
        <f>'Returns per Gal.'!AP178</f>
        <v>-0.13743773743866328</v>
      </c>
      <c r="AR171" s="93">
        <f>'Returns per Gal.'!AQ178</f>
        <v>4.616476851715734E-2</v>
      </c>
      <c r="AS171" s="52"/>
      <c r="AU171" s="177">
        <f>'Returns per Bu.'!G178</f>
        <v>3.5677430596616535</v>
      </c>
      <c r="AV171" s="166">
        <f>'Returns per Bu.'!N178</f>
        <v>4.7599216425069173</v>
      </c>
      <c r="AW171" s="166">
        <f>'Returns per Bu.'!O178</f>
        <v>3.1760455079614633</v>
      </c>
      <c r="AX171" s="169">
        <f>'Returns per Bu.'!Z178</f>
        <v>-0.11927704786539733</v>
      </c>
      <c r="AY171" s="162">
        <f>'Returns per Bu.'!AF178</f>
        <v>3.436173469387755</v>
      </c>
      <c r="AZ171" s="165"/>
      <c r="BA171" s="15">
        <f t="shared" si="40"/>
        <v>2.3035204081632652</v>
      </c>
      <c r="BB171" s="93">
        <f>'Returns per Bu.'!AD178</f>
        <v>1.1326530612244898</v>
      </c>
      <c r="BC171" s="93">
        <f t="shared" si="41"/>
        <v>0.80825277479412816</v>
      </c>
    </row>
    <row r="172" spans="1:55" x14ac:dyDescent="0.2">
      <c r="A172" s="8">
        <v>43543</v>
      </c>
      <c r="C172" s="53"/>
      <c r="D172" s="93">
        <v>1.3085714067731584</v>
      </c>
      <c r="E172" s="95">
        <v>135.77380952380952</v>
      </c>
      <c r="F172" s="319">
        <v>0.2452</v>
      </c>
      <c r="G172" s="93">
        <v>3.5518154672213962</v>
      </c>
      <c r="H172" s="266">
        <v>4.8600000000000003</v>
      </c>
      <c r="I172" s="184"/>
      <c r="J172" s="12"/>
      <c r="K172" s="93">
        <f>'Returns per Gal.'!J179</f>
        <v>1.3085714067731584</v>
      </c>
      <c r="L172" s="93">
        <f>'Returns per Gal.'!K179</f>
        <v>0.39064745196324141</v>
      </c>
      <c r="M172" s="93">
        <f>'Returns per Gal.'!L179</f>
        <v>5.5922807017543853E-2</v>
      </c>
      <c r="N172" s="93">
        <f>'Returns per Gal.'!M179</f>
        <v>1.7551416657539438</v>
      </c>
      <c r="O172" s="110">
        <f>'Returns per Gal.'!N179</f>
        <v>0</v>
      </c>
      <c r="P172" s="108">
        <f>'Returns per Gal.'!O179</f>
        <v>0</v>
      </c>
      <c r="Q172" s="93">
        <f>'Returns per Gal.'!P179</f>
        <v>1.2462510411303145</v>
      </c>
      <c r="R172" s="93">
        <f>'Returns per Gal.'!Q179</f>
        <v>0.14580000000000001</v>
      </c>
      <c r="S172" s="93">
        <f>'Returns per Gal.'!R179</f>
        <v>0.21939999999999998</v>
      </c>
      <c r="T172" s="93">
        <f>'Returns per Gal.'!S179</f>
        <v>1.6114510411303145</v>
      </c>
      <c r="U172" s="93">
        <f>'Returns per Gal.'!T179</f>
        <v>0.19624601212121212</v>
      </c>
      <c r="V172" s="93">
        <f>'Returns per Gal.'!U179</f>
        <v>1.8076970532515266</v>
      </c>
      <c r="W172" s="93">
        <f>'Returns per Gal.'!V179</f>
        <v>1.3611267942707412</v>
      </c>
      <c r="X172" s="105"/>
      <c r="Y172" s="93">
        <f>'Returns per Gal.'!V179</f>
        <v>1.3611267942707412</v>
      </c>
      <c r="Z172" s="93">
        <f>'Returns per Gal.'!Y179</f>
        <v>0.32459062462362931</v>
      </c>
      <c r="AA172" s="93">
        <f>'Returns per Gal.'!Z179</f>
        <v>0.14369062462362936</v>
      </c>
      <c r="AB172" s="93">
        <f>'Returns per Gal.'!AA179</f>
        <v>-5.2555387497582817E-2</v>
      </c>
      <c r="AC172" s="80">
        <f>'Returns per Gal.'!AB179</f>
        <v>0</v>
      </c>
      <c r="AD172" s="15">
        <f>'Returns per Gal.'!AC179</f>
        <v>0</v>
      </c>
      <c r="AE172" s="81">
        <f>'Returns per Gal.'!AD179</f>
        <v>0</v>
      </c>
      <c r="AF172" s="93">
        <f>'Returns per Gal.'!AE179</f>
        <v>0.39742212674543503</v>
      </c>
      <c r="AG172" s="93">
        <f>'Returns per Gal.'!AF179</f>
        <v>0.80825277479412816</v>
      </c>
      <c r="AH172" s="93">
        <f>'Returns per Gal.'!AG179</f>
        <v>1.2056749015395631</v>
      </c>
      <c r="AI172" s="105">
        <f>'Returns per Gal.'!AH179</f>
        <v>0</v>
      </c>
      <c r="AJ172" s="104">
        <f>'Returns per Gal.'!AI179</f>
        <v>0</v>
      </c>
      <c r="AK172" s="93">
        <f>'Returns per Gal.'!AJ179</f>
        <v>1.5708749015395631</v>
      </c>
      <c r="AL172" s="93">
        <f>'Returns per Gal.'!AK179</f>
        <v>1.7671209136607753</v>
      </c>
      <c r="AM172" s="105">
        <f>'Returns per Gal.'!AL179</f>
        <v>0</v>
      </c>
      <c r="AN172" s="104"/>
      <c r="AO172" s="93">
        <f>'Returns per Gal.'!AN179</f>
        <v>0.18426676421438071</v>
      </c>
      <c r="AP172" s="93">
        <f>'Returns per Gal.'!AO179</f>
        <v>-1.1979247906831469E-2</v>
      </c>
      <c r="AQ172" s="93">
        <f>'Returns per Gal.'!AP179</f>
        <v>-5.2555387497582817E-2</v>
      </c>
      <c r="AR172" s="93">
        <f>'Returns per Gal.'!AQ179</f>
        <v>4.0576139590751348E-2</v>
      </c>
      <c r="AS172" s="52"/>
      <c r="AU172" s="177">
        <f>'Returns per Bu.'!G179</f>
        <v>3.5518154672213962</v>
      </c>
      <c r="AV172" s="166">
        <f>'Returns per Bu.'!N179</f>
        <v>5.0021537473987392</v>
      </c>
      <c r="AW172" s="166">
        <f>'Returns per Bu.'!O179</f>
        <v>3.4020326128532847</v>
      </c>
      <c r="AX172" s="169">
        <f>'Returns per Bu.'!Z179</f>
        <v>-4.5610845950744279E-2</v>
      </c>
      <c r="AY172" s="162">
        <f>'Returns per Bu.'!AF179</f>
        <v>3.436173469387755</v>
      </c>
      <c r="AZ172" s="165"/>
      <c r="BA172" s="15">
        <f t="shared" si="40"/>
        <v>2.3035204081632652</v>
      </c>
      <c r="BB172" s="93">
        <f>'Returns per Bu.'!AD179</f>
        <v>1.1326530612244898</v>
      </c>
      <c r="BC172" s="93">
        <f t="shared" si="41"/>
        <v>0.80825277479412816</v>
      </c>
    </row>
    <row r="173" spans="1:55" x14ac:dyDescent="0.2">
      <c r="A173" s="8">
        <v>43574</v>
      </c>
      <c r="C173" s="53"/>
      <c r="D173" s="93">
        <v>1.3038636202161962</v>
      </c>
      <c r="E173" s="95">
        <v>134.26136363636363</v>
      </c>
      <c r="F173" s="319">
        <v>0.25239999999999996</v>
      </c>
      <c r="G173" s="93">
        <v>3.4867613561586897</v>
      </c>
      <c r="H173" s="266">
        <v>4.3</v>
      </c>
      <c r="I173" s="184"/>
      <c r="J173" s="12"/>
      <c r="K173" s="93">
        <f>'Returns per Gal.'!J180</f>
        <v>1.3038636202161962</v>
      </c>
      <c r="L173" s="93">
        <f>'Returns per Gal.'!K180</f>
        <v>0.38629585326953741</v>
      </c>
      <c r="M173" s="93">
        <f>'Returns per Gal.'!L180</f>
        <v>5.7564912280701749E-2</v>
      </c>
      <c r="N173" s="93">
        <f>'Returns per Gal.'!M180</f>
        <v>1.7477243857664355</v>
      </c>
      <c r="O173" s="110"/>
      <c r="P173" s="108"/>
      <c r="Q173" s="93">
        <f>'Returns per Gal.'!P180</f>
        <v>1.223425037248663</v>
      </c>
      <c r="R173" s="93">
        <f>'Returns per Gal.'!Q180</f>
        <v>0.129</v>
      </c>
      <c r="S173" s="93">
        <f>'Returns per Gal.'!R180</f>
        <v>0.21939999999999998</v>
      </c>
      <c r="T173" s="93">
        <f>'Returns per Gal.'!S180</f>
        <v>1.5718250372486631</v>
      </c>
      <c r="U173" s="93">
        <f>'Returns per Gal.'!T180</f>
        <v>0.19624601212121212</v>
      </c>
      <c r="V173" s="93">
        <f>'Returns per Gal.'!U180</f>
        <v>1.7680710493698752</v>
      </c>
      <c r="W173" s="93">
        <f>'Returns per Gal.'!V180</f>
        <v>1.3242102838196361</v>
      </c>
      <c r="X173" s="105"/>
      <c r="Y173" s="93"/>
      <c r="Z173" s="93">
        <f>'Returns per Gal.'!Y180</f>
        <v>0.35679934851777251</v>
      </c>
      <c r="AA173" s="93">
        <f>'Returns per Gal.'!Z180</f>
        <v>0.17589934851777245</v>
      </c>
      <c r="AB173" s="93">
        <f>'Returns per Gal.'!AA180</f>
        <v>-2.034666360343973E-2</v>
      </c>
      <c r="AC173" s="80"/>
      <c r="AD173" s="15"/>
      <c r="AE173" s="81"/>
      <c r="AF173" s="93">
        <f>'Returns per Gal.'!AE180</f>
        <v>0.39742212674543503</v>
      </c>
      <c r="AG173" s="93">
        <f>'Returns per Gal.'!AF180</f>
        <v>0.80825277479412816</v>
      </c>
      <c r="AH173" s="93">
        <f>'Returns per Gal.'!AG180</f>
        <v>1.2056749015395631</v>
      </c>
      <c r="AI173" s="105">
        <f>'Returns per Gal.'!AH180</f>
        <v>0</v>
      </c>
      <c r="AJ173" s="104">
        <f>'Returns per Gal.'!AI180</f>
        <v>0</v>
      </c>
      <c r="AK173" s="93">
        <f>'Returns per Gal.'!AJ180</f>
        <v>1.5540749015395632</v>
      </c>
      <c r="AL173" s="93">
        <f>'Returns per Gal.'!AK180</f>
        <v>1.7503209136607754</v>
      </c>
      <c r="AM173" s="105">
        <f>'Returns per Gal.'!AL180</f>
        <v>0</v>
      </c>
      <c r="AN173" s="104"/>
      <c r="AO173" s="93">
        <f>'Returns per Gal.'!AN180</f>
        <v>0.19364948422687234</v>
      </c>
      <c r="AP173" s="93">
        <f>'Returns per Gal.'!AO180</f>
        <v>-2.5965278943398395E-3</v>
      </c>
      <c r="AQ173" s="93">
        <f>'Returns per Gal.'!AP180</f>
        <v>-2.034666360343973E-2</v>
      </c>
      <c r="AR173" s="93">
        <f>'Returns per Gal.'!AQ180</f>
        <v>1.775013570909989E-2</v>
      </c>
      <c r="AS173" s="52"/>
      <c r="AU173" s="177">
        <f>'Returns per Bu.'!G180</f>
        <v>3.4867613561586897</v>
      </c>
      <c r="AV173" s="166">
        <f>'Returns per Bu.'!N180</f>
        <v>4.981014499434341</v>
      </c>
      <c r="AW173" s="166">
        <f>'Returns per Bu.'!O180</f>
        <v>3.4287733648888867</v>
      </c>
      <c r="AX173" s="169">
        <f>'Returns per Bu.'!Z180</f>
        <v>-1.765810478080445E-2</v>
      </c>
      <c r="AY173" s="162">
        <f>'Returns per Bu.'!AF180</f>
        <v>3.436173469387755</v>
      </c>
      <c r="AZ173" s="165"/>
      <c r="BA173" s="15">
        <f t="shared" si="40"/>
        <v>2.3035204081632652</v>
      </c>
      <c r="BB173" s="93">
        <f>'Returns per Bu.'!AD180</f>
        <v>1.1326530612244898</v>
      </c>
      <c r="BC173" s="93">
        <f t="shared" si="41"/>
        <v>0.80825277479412816</v>
      </c>
    </row>
    <row r="174" spans="1:55" x14ac:dyDescent="0.2">
      <c r="A174" s="8">
        <v>43604</v>
      </c>
      <c r="C174" s="53"/>
      <c r="D174" s="93">
        <v>1.25238094159535</v>
      </c>
      <c r="E174" s="95">
        <v>118.63095238095238</v>
      </c>
      <c r="F174" s="319">
        <v>0.2505</v>
      </c>
      <c r="G174" s="93">
        <v>3.6257142708415078</v>
      </c>
      <c r="H174" s="266">
        <v>4.13</v>
      </c>
      <c r="I174" s="184"/>
      <c r="J174" s="12"/>
      <c r="K174" s="93">
        <f>'Returns per Gal.'!J181</f>
        <v>1.25238094159535</v>
      </c>
      <c r="L174" s="93">
        <f>'Returns per Gal.'!K181</f>
        <v>0.3413241436925647</v>
      </c>
      <c r="M174" s="93">
        <f>'Returns per Gal.'!L181</f>
        <v>5.7131578947368415E-2</v>
      </c>
      <c r="N174" s="93">
        <f>'Returns per Gal.'!M181</f>
        <v>1.650836664235283</v>
      </c>
      <c r="O174" s="110"/>
      <c r="P174" s="108"/>
      <c r="Q174" s="93">
        <f>'Returns per Gal.'!P181</f>
        <v>1.2721804459093009</v>
      </c>
      <c r="R174" s="93">
        <f>'Returns per Gal.'!Q181</f>
        <v>0.1239</v>
      </c>
      <c r="S174" s="93">
        <f>'Returns per Gal.'!R181</f>
        <v>0.21939999999999998</v>
      </c>
      <c r="T174" s="93">
        <f>'Returns per Gal.'!S181</f>
        <v>1.6154804459093008</v>
      </c>
      <c r="U174" s="93">
        <f>'Returns per Gal.'!T181</f>
        <v>0.19624601212121212</v>
      </c>
      <c r="V174" s="93">
        <f>'Returns per Gal.'!U181</f>
        <v>1.811726458030513</v>
      </c>
      <c r="W174" s="93">
        <f>'Returns per Gal.'!V181</f>
        <v>1.41327073539058</v>
      </c>
      <c r="X174" s="105"/>
      <c r="Y174" s="93"/>
      <c r="Z174" s="93">
        <f>'Returns per Gal.'!Y181</f>
        <v>0.21625621832598205</v>
      </c>
      <c r="AA174" s="93">
        <f>'Returns per Gal.'!Z181</f>
        <v>3.5356218325982125E-2</v>
      </c>
      <c r="AB174" s="93">
        <f>'Returns per Gal.'!AA181</f>
        <v>-0.16088979379523005</v>
      </c>
      <c r="AC174" s="80"/>
      <c r="AD174" s="15"/>
      <c r="AE174" s="81"/>
      <c r="AF174" s="93">
        <f>'Returns per Gal.'!AE181</f>
        <v>0.39742212674543503</v>
      </c>
      <c r="AG174" s="93">
        <f>'Returns per Gal.'!AF181</f>
        <v>0.80825277479412816</v>
      </c>
      <c r="AH174" s="93">
        <f>'Returns per Gal.'!AG181</f>
        <v>1.2056749015395631</v>
      </c>
      <c r="AI174" s="105">
        <f>'Returns per Gal.'!AH181</f>
        <v>0</v>
      </c>
      <c r="AJ174" s="104">
        <f>'Returns per Gal.'!AI181</f>
        <v>0</v>
      </c>
      <c r="AK174" s="93">
        <f>'Returns per Gal.'!AJ181</f>
        <v>1.5489749015395631</v>
      </c>
      <c r="AL174" s="93">
        <f>'Returns per Gal.'!AK181</f>
        <v>1.7452209136607753</v>
      </c>
      <c r="AM174" s="105">
        <f>'Returns per Gal.'!AL181</f>
        <v>0</v>
      </c>
      <c r="AN174" s="104"/>
      <c r="AO174" s="93">
        <f>'Returns per Gal.'!AN181</f>
        <v>0.10186176269571989</v>
      </c>
      <c r="AP174" s="93">
        <f>'Returns per Gal.'!AO181</f>
        <v>-9.4384249425492284E-2</v>
      </c>
      <c r="AQ174" s="93">
        <f>'Returns per Gal.'!AP181</f>
        <v>-0.16088979379523005</v>
      </c>
      <c r="AR174" s="93">
        <f>'Returns per Gal.'!AQ181</f>
        <v>6.6505544369737768E-2</v>
      </c>
      <c r="AS174" s="52"/>
      <c r="AU174" s="177">
        <f>'Returns per Bu.'!G181</f>
        <v>3.6257142708415078</v>
      </c>
      <c r="AV174" s="166">
        <f>'Returns per Bu.'!N181</f>
        <v>4.7048844930705567</v>
      </c>
      <c r="AW174" s="166">
        <f>'Returns per Bu.'!O181</f>
        <v>3.1671783585251028</v>
      </c>
      <c r="AX174" s="169">
        <f>'Returns per Bu.'!Z181</f>
        <v>-0.13963020632620646</v>
      </c>
      <c r="AY174" s="162">
        <f>'Returns per Bu.'!AF181</f>
        <v>3.436173469387755</v>
      </c>
      <c r="AZ174" s="165"/>
      <c r="BA174" s="15">
        <f t="shared" si="40"/>
        <v>2.3035204081632652</v>
      </c>
      <c r="BB174" s="93">
        <f>'Returns per Bu.'!AD181</f>
        <v>1.1326530612244898</v>
      </c>
      <c r="BC174" s="93">
        <f t="shared" si="41"/>
        <v>0.80825277479412816</v>
      </c>
    </row>
    <row r="175" spans="1:55" x14ac:dyDescent="0.2">
      <c r="A175" s="8">
        <v>43635</v>
      </c>
      <c r="C175" s="53"/>
      <c r="D175" s="93">
        <v>1.4487500071525574</v>
      </c>
      <c r="E175" s="95">
        <v>130.94999999999999</v>
      </c>
      <c r="F175" s="319">
        <v>0.25329999999999997</v>
      </c>
      <c r="G175" s="93">
        <v>4.1613750010728836</v>
      </c>
      <c r="H175" s="266">
        <v>4.1399999999999997</v>
      </c>
      <c r="I175" s="184"/>
      <c r="K175" s="93">
        <f>'Returns per Gal.'!J182</f>
        <v>1.4487500071525574</v>
      </c>
      <c r="L175" s="93">
        <f>'Returns per Gal.'!K182</f>
        <v>0.37676842105263147</v>
      </c>
      <c r="M175" s="93">
        <f>'Returns per Gal.'!L182</f>
        <v>5.7770175438596486E-2</v>
      </c>
      <c r="N175" s="93">
        <f>'Returns per Gal.'!M182</f>
        <v>1.8832886036437853</v>
      </c>
      <c r="O175" s="110"/>
      <c r="P175" s="108"/>
      <c r="Q175" s="93">
        <f>'Returns per Gal.'!P182</f>
        <v>1.4601315793238188</v>
      </c>
      <c r="R175" s="93">
        <f>'Returns per Gal.'!Q182</f>
        <v>0.12419999999999999</v>
      </c>
      <c r="S175" s="93">
        <f>'Returns per Gal.'!R182</f>
        <v>0.21939999999999998</v>
      </c>
      <c r="T175" s="93">
        <f>'Returns per Gal.'!S182</f>
        <v>1.8037315793238189</v>
      </c>
      <c r="U175" s="93">
        <f>'Returns per Gal.'!T182</f>
        <v>0.19624601212121212</v>
      </c>
      <c r="V175" s="93">
        <f>'Returns per Gal.'!U182</f>
        <v>1.9999775914450311</v>
      </c>
      <c r="W175" s="93">
        <f>'Returns per Gal.'!V182</f>
        <v>1.5654389949538032</v>
      </c>
      <c r="X175" s="105"/>
      <c r="Y175" s="93"/>
      <c r="Z175" s="93">
        <f>'Returns per Gal.'!Y182</f>
        <v>0.26045702431996653</v>
      </c>
      <c r="AA175" s="93">
        <f>'Returns per Gal.'!Z182</f>
        <v>7.9557024319966363E-2</v>
      </c>
      <c r="AB175" s="93">
        <f>'Returns per Gal.'!AA182</f>
        <v>-0.11668898780124581</v>
      </c>
      <c r="AC175" s="80"/>
      <c r="AD175" s="15"/>
      <c r="AE175" s="81"/>
      <c r="AF175" s="93">
        <f>'Returns per Gal.'!AE182</f>
        <v>0.39742212674543503</v>
      </c>
      <c r="AG175" s="93">
        <f>'Returns per Gal.'!AF182</f>
        <v>0.80825277479412816</v>
      </c>
      <c r="AH175" s="93">
        <f>'Returns per Gal.'!AG182</f>
        <v>1.2056749015395631</v>
      </c>
      <c r="AI175" s="105">
        <f>'Returns per Gal.'!AH182</f>
        <v>0</v>
      </c>
      <c r="AJ175" s="104">
        <f>'Returns per Gal.'!AI182</f>
        <v>0</v>
      </c>
      <c r="AK175" s="93">
        <f>'Returns per Gal.'!AJ182</f>
        <v>1.5492749015395633</v>
      </c>
      <c r="AL175" s="93">
        <f>'Returns per Gal.'!AK182</f>
        <v>1.7455209136607754</v>
      </c>
      <c r="AM175" s="105">
        <f>'Returns per Gal.'!AL182</f>
        <v>0</v>
      </c>
      <c r="AN175" s="104"/>
      <c r="AO175" s="93">
        <f>'Returns per Gal.'!AN182</f>
        <v>0.33401370210422199</v>
      </c>
      <c r="AP175" s="93">
        <f>'Returns per Gal.'!AO182</f>
        <v>0.13776768998300981</v>
      </c>
      <c r="AQ175" s="93">
        <f>'Returns per Gal.'!AP182</f>
        <v>-0.11668898780124581</v>
      </c>
      <c r="AR175" s="93">
        <f>'Returns per Gal.'!AQ182</f>
        <v>0.25445667778425562</v>
      </c>
      <c r="AS175" s="52"/>
      <c r="AU175" s="177">
        <f>'Returns per Bu.'!G182</f>
        <v>4.1613750010728836</v>
      </c>
      <c r="AV175" s="166">
        <f>'Returns per Bu.'!N182</f>
        <v>5.3673725203847891</v>
      </c>
      <c r="AW175" s="166">
        <f>'Returns per Bu.'!O182</f>
        <v>3.8288113858393347</v>
      </c>
      <c r="AX175" s="169">
        <f>'Returns per Bu.'!Z182</f>
        <v>-0.10126998772477225</v>
      </c>
      <c r="AY175" s="162">
        <f>'Returns per Bu.'!AF182</f>
        <v>3.436173469387755</v>
      </c>
      <c r="AZ175" s="165"/>
      <c r="BA175" s="15">
        <f t="shared" si="40"/>
        <v>2.3035204081632652</v>
      </c>
      <c r="BB175" s="93">
        <f>'Returns per Bu.'!AD182</f>
        <v>1.1326530612244898</v>
      </c>
      <c r="BC175" s="93">
        <f t="shared" si="41"/>
        <v>0.80825277479412816</v>
      </c>
    </row>
    <row r="176" spans="1:55" x14ac:dyDescent="0.2">
      <c r="A176" s="8">
        <v>43665</v>
      </c>
      <c r="C176" s="53"/>
      <c r="D176" s="93">
        <v>1.476818179542368</v>
      </c>
      <c r="E176" s="95">
        <v>131.46590909090909</v>
      </c>
      <c r="F176" s="319">
        <v>0.25239999999999996</v>
      </c>
      <c r="G176" s="93">
        <v>4.2723295390605927</v>
      </c>
      <c r="H176" s="266">
        <v>3.79</v>
      </c>
      <c r="I176" s="184"/>
      <c r="K176" s="93">
        <f>'Returns per Gal.'!J183</f>
        <v>1.476818179542368</v>
      </c>
      <c r="L176" s="93">
        <f>'Returns per Gal.'!K183</f>
        <v>0.37825279106858056</v>
      </c>
      <c r="M176" s="93">
        <f>'Returns per Gal.'!L183</f>
        <v>5.7564912280701749E-2</v>
      </c>
      <c r="N176" s="93">
        <f>'Returns per Gal.'!M183</f>
        <v>1.9126358828916503</v>
      </c>
      <c r="O176" s="110"/>
      <c r="P176" s="108"/>
      <c r="Q176" s="93">
        <f>'Returns per Gal.'!P183</f>
        <v>1.4990629961616113</v>
      </c>
      <c r="R176" s="93">
        <f>'Returns per Gal.'!Q183</f>
        <v>0.1137</v>
      </c>
      <c r="S176" s="93">
        <f>'Returns per Gal.'!R183</f>
        <v>0.21939999999999998</v>
      </c>
      <c r="T176" s="93">
        <f>'Returns per Gal.'!S183</f>
        <v>1.8321629961616113</v>
      </c>
      <c r="U176" s="93">
        <f>'Returns per Gal.'!T183</f>
        <v>0.19624601212121212</v>
      </c>
      <c r="V176" s="93">
        <f>'Returns per Gal.'!U183</f>
        <v>2.0284090082828232</v>
      </c>
      <c r="W176" s="93">
        <f>'Returns per Gal.'!V183</f>
        <v>1.5925913049335407</v>
      </c>
      <c r="X176" s="105"/>
      <c r="Y176" s="93"/>
      <c r="Z176" s="93">
        <f>'Returns per Gal.'!Y183</f>
        <v>0.261372886730039</v>
      </c>
      <c r="AA176" s="93">
        <f>'Returns per Gal.'!Z183</f>
        <v>8.047288673003905E-2</v>
      </c>
      <c r="AB176" s="93">
        <f>'Returns per Gal.'!AA183</f>
        <v>-0.1157731253911729</v>
      </c>
      <c r="AC176" s="80"/>
      <c r="AD176" s="15"/>
      <c r="AE176" s="81"/>
      <c r="AF176" s="93">
        <f>'Returns per Gal.'!AE183</f>
        <v>0.39742212674543503</v>
      </c>
      <c r="AG176" s="93">
        <f>'Returns per Gal.'!AF183</f>
        <v>0.80825277479412816</v>
      </c>
      <c r="AH176" s="93">
        <f>'Returns per Gal.'!AG183</f>
        <v>1.2056749015395631</v>
      </c>
      <c r="AI176" s="105">
        <f>'Returns per Gal.'!AH183</f>
        <v>0</v>
      </c>
      <c r="AJ176" s="104">
        <f>'Returns per Gal.'!AI183</f>
        <v>0</v>
      </c>
      <c r="AK176" s="93">
        <f>'Returns per Gal.'!AJ183</f>
        <v>1.5387749015395631</v>
      </c>
      <c r="AL176" s="93">
        <f>'Returns per Gal.'!AK183</f>
        <v>1.7350209136607753</v>
      </c>
      <c r="AM176" s="105">
        <f>'Returns per Gal.'!AL183</f>
        <v>0</v>
      </c>
      <c r="AN176" s="104"/>
      <c r="AO176" s="93">
        <f>'Returns per Gal.'!AN183</f>
        <v>0.37386098135208723</v>
      </c>
      <c r="AP176" s="93">
        <f>'Returns per Gal.'!AO183</f>
        <v>0.17761496923087505</v>
      </c>
      <c r="AQ176" s="93">
        <f>'Returns per Gal.'!AP183</f>
        <v>-0.11577312539117313</v>
      </c>
      <c r="AR176" s="93">
        <f>'Returns per Gal.'!AQ183</f>
        <v>0.29338809462204818</v>
      </c>
      <c r="AS176" s="52"/>
      <c r="AU176" s="177">
        <f>'Returns per Bu.'!G183</f>
        <v>4.2723295390605927</v>
      </c>
      <c r="AV176" s="166">
        <f>'Returns per Bu.'!N183</f>
        <v>5.4510122662412046</v>
      </c>
      <c r="AW176" s="166">
        <f>'Returns per Bu.'!O183</f>
        <v>3.9423761316957506</v>
      </c>
      <c r="AX176" s="169">
        <f>'Returns per Bu.'!Z183</f>
        <v>-0.10047514515416385</v>
      </c>
      <c r="AY176" s="162">
        <f>'Returns per Bu.'!AF183</f>
        <v>3.436173469387755</v>
      </c>
      <c r="AZ176" s="165"/>
      <c r="BA176" s="15">
        <f t="shared" si="40"/>
        <v>2.3035204081632652</v>
      </c>
      <c r="BB176" s="93">
        <f>'Returns per Bu.'!AD183</f>
        <v>1.1326530612244898</v>
      </c>
      <c r="BC176" s="93">
        <f t="shared" si="41"/>
        <v>0.80825277479412816</v>
      </c>
    </row>
    <row r="177" spans="1:55" x14ac:dyDescent="0.2">
      <c r="A177" s="8">
        <v>43696</v>
      </c>
      <c r="C177" s="53"/>
      <c r="D177" s="281">
        <v>1.3538636403734032</v>
      </c>
      <c r="E177" s="282">
        <v>126.82954545454545</v>
      </c>
      <c r="F177" s="281">
        <v>0.24420000000000003</v>
      </c>
      <c r="G177" s="281">
        <v>3.7810795588926838</v>
      </c>
      <c r="H177" s="266">
        <v>3.58</v>
      </c>
      <c r="I177" s="184"/>
      <c r="K177" s="93">
        <f>'Returns per Gal.'!J184</f>
        <v>1.3538636403734032</v>
      </c>
      <c r="L177" s="93">
        <f>'Returns per Gal.'!K184</f>
        <v>0.36491307814992019</v>
      </c>
      <c r="M177" s="93">
        <f>'Returns per Gal.'!L184</f>
        <v>5.5694736842105262E-2</v>
      </c>
      <c r="N177" s="93">
        <f>'Returns per Gal.'!M184</f>
        <v>1.7744714553654286</v>
      </c>
      <c r="O177" s="110"/>
      <c r="P177" s="108"/>
      <c r="Q177" s="93">
        <f>'Returns per Gal.'!P184</f>
        <v>1.3266945820676084</v>
      </c>
      <c r="R177" s="93">
        <f>'Returns per Gal.'!Q184</f>
        <v>0.10740000000000001</v>
      </c>
      <c r="S177" s="93">
        <f>'Returns per Gal.'!R184</f>
        <v>0.21939999999999998</v>
      </c>
      <c r="T177" s="93">
        <f>'Returns per Gal.'!S184</f>
        <v>1.6534945820676084</v>
      </c>
      <c r="U177" s="93">
        <f>'Returns per Gal.'!T184</f>
        <v>0.19624601212121212</v>
      </c>
      <c r="V177" s="93">
        <f>'Returns per Gal.'!U184</f>
        <v>1.8497405941888205</v>
      </c>
      <c r="W177" s="93">
        <f>'Returns per Gal.'!V184</f>
        <v>1.4291327791967952</v>
      </c>
      <c r="X177" s="105"/>
      <c r="Y177" s="93"/>
      <c r="Z177" s="93">
        <f>'Returns per Gal.'!Y184</f>
        <v>0.30187687329782026</v>
      </c>
      <c r="AA177" s="93">
        <f>'Returns per Gal.'!Z184</f>
        <v>0.12097687329782025</v>
      </c>
      <c r="AB177" s="93">
        <f>'Returns per Gal.'!AA184</f>
        <v>-7.5269138823391923E-2</v>
      </c>
      <c r="AC177" s="80"/>
      <c r="AD177" s="15"/>
      <c r="AE177" s="81"/>
      <c r="AF177" s="93">
        <f>'Returns per Gal.'!AE184</f>
        <v>0.39742212674543503</v>
      </c>
      <c r="AG177" s="93">
        <f>'Returns per Gal.'!AF184</f>
        <v>0.80825277479412816</v>
      </c>
      <c r="AH177" s="93">
        <f>'Returns per Gal.'!AG184</f>
        <v>1.2056749015395631</v>
      </c>
      <c r="AI177" s="105">
        <f>'Returns per Gal.'!AH184</f>
        <v>0</v>
      </c>
      <c r="AJ177" s="104">
        <f>'Returns per Gal.'!AI184</f>
        <v>0</v>
      </c>
      <c r="AK177" s="93">
        <f>'Returns per Gal.'!AJ184</f>
        <v>1.5324749015395631</v>
      </c>
      <c r="AL177" s="93">
        <f>'Returns per Gal.'!AK184</f>
        <v>1.7287209136607753</v>
      </c>
      <c r="AM177" s="105">
        <f>'Returns per Gal.'!AL184</f>
        <v>0</v>
      </c>
      <c r="AN177" s="104"/>
      <c r="AO177" s="93">
        <f>'Returns per Gal.'!AN184</f>
        <v>0.24199655382586549</v>
      </c>
      <c r="AP177" s="93">
        <f>'Returns per Gal.'!AO184</f>
        <v>4.5750541704653314E-2</v>
      </c>
      <c r="AQ177" s="93">
        <f>'Returns per Gal.'!AP184</f>
        <v>-7.5269138823391923E-2</v>
      </c>
      <c r="AR177" s="93">
        <f>'Returns per Gal.'!AQ184</f>
        <v>0.12101968052804524</v>
      </c>
      <c r="AS177" s="52"/>
      <c r="AU177" s="177">
        <f>'Returns per Bu.'!G184</f>
        <v>3.7810795588926838</v>
      </c>
      <c r="AV177" s="166">
        <f>'Returns per Bu.'!N184</f>
        <v>5.0572436477914717</v>
      </c>
      <c r="AW177" s="166">
        <f>'Returns per Bu.'!O184</f>
        <v>3.5665625132460179</v>
      </c>
      <c r="AX177" s="169">
        <f>'Returns per Bu.'!Z184</f>
        <v>-6.5323257218430464E-2</v>
      </c>
      <c r="AY177" s="162">
        <f>'Returns per Bu.'!AF184</f>
        <v>3.436173469387755</v>
      </c>
      <c r="AZ177" s="165"/>
      <c r="BA177" s="15">
        <f t="shared" si="40"/>
        <v>2.3035204081632652</v>
      </c>
      <c r="BB177" s="93">
        <f>'Returns per Bu.'!AD184</f>
        <v>1.1326530612244898</v>
      </c>
      <c r="BC177" s="93">
        <f t="shared" si="41"/>
        <v>0.80825277479412816</v>
      </c>
    </row>
    <row r="178" spans="1:55" x14ac:dyDescent="0.2">
      <c r="A178" s="8">
        <v>43727</v>
      </c>
      <c r="C178" s="53"/>
      <c r="D178" s="281">
        <v>1.3025000154972077</v>
      </c>
      <c r="E178" s="282">
        <v>130.72499999999999</v>
      </c>
      <c r="F178" s="281">
        <v>0.24179999999999999</v>
      </c>
      <c r="G178" s="281">
        <v>3.6517812460660934</v>
      </c>
      <c r="H178" s="266">
        <v>4.0199999999999996</v>
      </c>
      <c r="I178" s="184"/>
      <c r="K178" s="93">
        <f>'Returns per Gal.'!J185</f>
        <v>1.3025000154972077</v>
      </c>
      <c r="L178" s="93">
        <f>'Returns per Gal.'!K185</f>
        <v>0.37612105263157891</v>
      </c>
      <c r="M178" s="93">
        <f>'Returns per Gal.'!L185</f>
        <v>5.5147368421052632E-2</v>
      </c>
      <c r="N178" s="93">
        <f>'Returns per Gal.'!M185</f>
        <v>1.7337684365498394</v>
      </c>
      <c r="O178" s="110"/>
      <c r="P178" s="108"/>
      <c r="Q178" s="93">
        <f>'Returns per Gal.'!P185</f>
        <v>1.2813267530056467</v>
      </c>
      <c r="R178" s="93">
        <f>'Returns per Gal.'!Q185</f>
        <v>0.12059999999999998</v>
      </c>
      <c r="S178" s="93">
        <f>'Returns per Gal.'!R185</f>
        <v>0.21939999999999998</v>
      </c>
      <c r="T178" s="93">
        <f>'Returns per Gal.'!S185</f>
        <v>1.6213267530056468</v>
      </c>
      <c r="U178" s="93">
        <f>'Returns per Gal.'!T185</f>
        <v>0.19624601212121212</v>
      </c>
      <c r="V178" s="93">
        <f>'Returns per Gal.'!U185</f>
        <v>1.8175727651268589</v>
      </c>
      <c r="W178" s="93">
        <f>'Returns per Gal.'!V185</f>
        <v>1.3863043440742273</v>
      </c>
      <c r="X178" s="105"/>
      <c r="Y178" s="93"/>
      <c r="Z178" s="93">
        <f>'Returns per Gal.'!Y185</f>
        <v>0.29334168354419271</v>
      </c>
      <c r="AA178" s="93">
        <f>'Returns per Gal.'!Z185</f>
        <v>0.11244168354419259</v>
      </c>
      <c r="AB178" s="93">
        <f>'Returns per Gal.'!AA185</f>
        <v>-8.3804328577019582E-2</v>
      </c>
      <c r="AC178" s="80"/>
      <c r="AD178" s="15"/>
      <c r="AE178" s="81"/>
      <c r="AF178" s="93">
        <f>'Returns per Gal.'!AE185</f>
        <v>0.3880914407230196</v>
      </c>
      <c r="AG178" s="93">
        <f>'Returns per Gal.'!AF185</f>
        <v>0.8727272727272728</v>
      </c>
      <c r="AH178" s="93">
        <f>'Returns per Gal.'!AG185</f>
        <v>1.2608187134502924</v>
      </c>
      <c r="AI178" s="105">
        <f>'Returns per Gal.'!AH185</f>
        <v>0</v>
      </c>
      <c r="AJ178" s="104">
        <f>'Returns per Gal.'!AI185</f>
        <v>0</v>
      </c>
      <c r="AK178" s="93">
        <f>'Returns per Gal.'!AJ185</f>
        <v>1.6008187134502925</v>
      </c>
      <c r="AL178" s="93">
        <f>'Returns per Gal.'!AK185</f>
        <v>1.7970647255715047</v>
      </c>
      <c r="AM178" s="105">
        <f>'Returns per Gal.'!AL185</f>
        <v>0</v>
      </c>
      <c r="AN178" s="104"/>
      <c r="AO178" s="93">
        <f>'Returns per Gal.'!AN185</f>
        <v>0.13294972309954689</v>
      </c>
      <c r="AP178" s="93">
        <f>'Returns per Gal.'!AO185</f>
        <v>-6.3296289021665286E-2</v>
      </c>
      <c r="AQ178" s="93">
        <f>'Returns per Gal.'!AP185</f>
        <v>-8.3804328577019582E-2</v>
      </c>
      <c r="AR178" s="93">
        <f>'Returns per Gal.'!AQ185</f>
        <v>2.0508039555354296E-2</v>
      </c>
      <c r="AS178" s="52"/>
      <c r="AU178" s="177">
        <f>'Returns per Bu.'!G185</f>
        <v>3.6517812460660934</v>
      </c>
      <c r="AV178" s="166">
        <f>'Returns per Bu.'!N185</f>
        <v>4.9412400441670421</v>
      </c>
      <c r="AW178" s="166">
        <f>'Returns per Bu.'!O185</f>
        <v>3.4129389096215883</v>
      </c>
      <c r="AX178" s="169">
        <f>'Returns per Bu.'!Z185</f>
        <v>-7.2730627681277749E-2</v>
      </c>
      <c r="AY178" s="162">
        <f>'Returns per Bu.'!AF185</f>
        <v>3.5933333333333333</v>
      </c>
      <c r="AZ178" s="165"/>
      <c r="BA178" s="15">
        <f t="shared" si="40"/>
        <v>2.4872727272727273</v>
      </c>
      <c r="BB178" s="93">
        <f>'Returns per Bu.'!AD185</f>
        <v>1.106060606060606</v>
      </c>
      <c r="BC178" s="93">
        <f t="shared" si="41"/>
        <v>0.8727272727272728</v>
      </c>
    </row>
    <row r="179" spans="1:55" x14ac:dyDescent="0.2">
      <c r="A179" s="8">
        <v>43757</v>
      </c>
      <c r="C179" s="53"/>
      <c r="D179" s="281">
        <v>1.4821428599811735</v>
      </c>
      <c r="E179" s="282">
        <v>139.82142857142858</v>
      </c>
      <c r="F179" s="281">
        <v>0.2364</v>
      </c>
      <c r="G179" s="281">
        <v>3.8441250085830689</v>
      </c>
      <c r="H179" s="266">
        <v>4.09</v>
      </c>
      <c r="I179" s="184"/>
      <c r="K179" s="93">
        <f>'Returns per Gal.'!J186</f>
        <v>1.4821428599811735</v>
      </c>
      <c r="L179" s="93">
        <f>'Returns per Gal.'!K186</f>
        <v>0.40229323308270681</v>
      </c>
      <c r="M179" s="93">
        <f>'Returns per Gal.'!L186</f>
        <v>5.3915789473684209E-2</v>
      </c>
      <c r="N179" s="93">
        <f>'Returns per Gal.'!M186</f>
        <v>1.9383518825375643</v>
      </c>
      <c r="O179" s="110"/>
      <c r="P179" s="108"/>
      <c r="Q179" s="93">
        <f>'Returns per Gal.'!P186</f>
        <v>1.3488157924852873</v>
      </c>
      <c r="R179" s="93">
        <f>'Returns per Gal.'!Q186</f>
        <v>0.1227</v>
      </c>
      <c r="S179" s="93">
        <f>'Returns per Gal.'!R186</f>
        <v>0.21939999999999998</v>
      </c>
      <c r="T179" s="93">
        <f>'Returns per Gal.'!S186</f>
        <v>1.6909157924852873</v>
      </c>
      <c r="U179" s="93">
        <f>'Returns per Gal.'!T186</f>
        <v>0.19624601212121212</v>
      </c>
      <c r="V179" s="93">
        <f>'Returns per Gal.'!U186</f>
        <v>1.8871618046064995</v>
      </c>
      <c r="W179" s="93">
        <f>'Returns per Gal.'!V186</f>
        <v>1.4309527820501087</v>
      </c>
      <c r="X179" s="105"/>
      <c r="Y179" s="93"/>
      <c r="Z179" s="93">
        <f>'Returns per Gal.'!Y186</f>
        <v>0.42833609005227702</v>
      </c>
      <c r="AA179" s="93">
        <f>'Returns per Gal.'!Z186</f>
        <v>0.24743609005227696</v>
      </c>
      <c r="AB179" s="93">
        <f>'Returns per Gal.'!AA186</f>
        <v>5.1190077931064781E-2</v>
      </c>
      <c r="AC179" s="80"/>
      <c r="AD179" s="15"/>
      <c r="AE179" s="81"/>
      <c r="AF179" s="93">
        <f>'Returns per Gal.'!AE186</f>
        <v>0.3880914407230196</v>
      </c>
      <c r="AG179" s="93">
        <f>'Returns per Gal.'!AF186</f>
        <v>0.8727272727272728</v>
      </c>
      <c r="AH179" s="93">
        <f>'Returns per Gal.'!AG186</f>
        <v>1.2608187134502924</v>
      </c>
      <c r="AI179" s="105">
        <f>'Returns per Gal.'!AH186</f>
        <v>0</v>
      </c>
      <c r="AJ179" s="104">
        <f>'Returns per Gal.'!AI186</f>
        <v>0</v>
      </c>
      <c r="AK179" s="93">
        <f>'Returns per Gal.'!AJ186</f>
        <v>1.6029187134502925</v>
      </c>
      <c r="AL179" s="93">
        <f>'Returns per Gal.'!AK186</f>
        <v>1.7991647255715046</v>
      </c>
      <c r="AM179" s="105">
        <f>'Returns per Gal.'!AL186</f>
        <v>0</v>
      </c>
      <c r="AN179" s="104"/>
      <c r="AO179" s="93">
        <f>'Returns per Gal.'!AN186</f>
        <v>0.33543316908727183</v>
      </c>
      <c r="AP179" s="93">
        <f>'Returns per Gal.'!AO186</f>
        <v>0.13918715696605966</v>
      </c>
      <c r="AQ179" s="93">
        <f>'Returns per Gal.'!AP186</f>
        <v>5.1190077931064781E-2</v>
      </c>
      <c r="AR179" s="93">
        <f>'Returns per Gal.'!AQ186</f>
        <v>8.7997079034994874E-2</v>
      </c>
      <c r="AS179" s="52"/>
      <c r="AU179" s="177">
        <f>'Returns per Bu.'!G186</f>
        <v>3.8441250085830689</v>
      </c>
      <c r="AV179" s="166">
        <f>'Returns per Bu.'!N186</f>
        <v>5.5243028652320589</v>
      </c>
      <c r="AW179" s="166">
        <f>'Returns per Bu.'!O186</f>
        <v>3.9900167306866048</v>
      </c>
      <c r="AX179" s="169">
        <f>'Returns per Bu.'!Z186</f>
        <v>4.4425945081801345E-2</v>
      </c>
      <c r="AY179" s="162">
        <f>'Returns per Bu.'!AF186</f>
        <v>3.5933333333333333</v>
      </c>
      <c r="AZ179" s="165"/>
      <c r="BA179" s="15">
        <f t="shared" si="40"/>
        <v>2.4872727272727273</v>
      </c>
      <c r="BB179" s="93">
        <f>'Returns per Bu.'!AD186</f>
        <v>1.106060606060606</v>
      </c>
      <c r="BC179" s="93">
        <f t="shared" si="41"/>
        <v>0.8727272727272728</v>
      </c>
    </row>
    <row r="180" spans="1:55" x14ac:dyDescent="0.2">
      <c r="A180" s="8">
        <v>43788</v>
      </c>
      <c r="C180" s="53"/>
      <c r="D180" s="281">
        <v>1.4331578869568673</v>
      </c>
      <c r="E180" s="282">
        <v>138.44736842105263</v>
      </c>
      <c r="F180" s="281">
        <v>0.23070000000000002</v>
      </c>
      <c r="G180" s="281">
        <v>3.6492434172881274</v>
      </c>
      <c r="H180" s="266">
        <v>4.12</v>
      </c>
      <c r="I180" s="184"/>
      <c r="K180" s="93">
        <f>'Returns per Gal.'!J187</f>
        <v>1.4331578869568673</v>
      </c>
      <c r="L180" s="93">
        <f>'Returns per Gal.'!K187</f>
        <v>0.39833979686057241</v>
      </c>
      <c r="M180" s="93">
        <f>'Returns per Gal.'!L187</f>
        <v>5.2615789473684213E-2</v>
      </c>
      <c r="N180" s="93">
        <f>'Returns per Gal.'!M187</f>
        <v>1.884113473291124</v>
      </c>
      <c r="O180" s="110"/>
      <c r="P180" s="108"/>
      <c r="Q180" s="93">
        <f>'Returns per Gal.'!P187</f>
        <v>1.2804362867677639</v>
      </c>
      <c r="R180" s="93">
        <f>'Returns per Gal.'!Q187</f>
        <v>0.12360000000000002</v>
      </c>
      <c r="S180" s="93">
        <f>'Returns per Gal.'!R187</f>
        <v>0.21939999999999998</v>
      </c>
      <c r="T180" s="93">
        <f>'Returns per Gal.'!S187</f>
        <v>1.6234362867677639</v>
      </c>
      <c r="U180" s="93">
        <f>'Returns per Gal.'!T187</f>
        <v>0.19624601212121212</v>
      </c>
      <c r="V180" s="93">
        <f>'Returns per Gal.'!U187</f>
        <v>1.819682298888976</v>
      </c>
      <c r="W180" s="93">
        <f>'Returns per Gal.'!V187</f>
        <v>1.3687267125547193</v>
      </c>
      <c r="X180" s="105"/>
      <c r="Y180" s="93"/>
      <c r="Z180" s="93">
        <f>'Returns per Gal.'!Y187</f>
        <v>0.44157718652336009</v>
      </c>
      <c r="AA180" s="93">
        <f>'Returns per Gal.'!Z187</f>
        <v>0.26067718652336014</v>
      </c>
      <c r="AB180" s="93">
        <f>'Returns per Gal.'!AA187</f>
        <v>6.4431174402147962E-2</v>
      </c>
      <c r="AC180" s="80"/>
      <c r="AD180" s="15"/>
      <c r="AE180" s="81"/>
      <c r="AF180" s="93">
        <f>'Returns per Gal.'!AE187</f>
        <v>0.3880914407230196</v>
      </c>
      <c r="AG180" s="93">
        <f>'Returns per Gal.'!AF187</f>
        <v>0.8727272727272728</v>
      </c>
      <c r="AH180" s="93">
        <f>'Returns per Gal.'!AG187</f>
        <v>1.2608187134502924</v>
      </c>
      <c r="AI180" s="105">
        <f>'Returns per Gal.'!AH187</f>
        <v>0</v>
      </c>
      <c r="AJ180" s="104">
        <f>'Returns per Gal.'!AI187</f>
        <v>0</v>
      </c>
      <c r="AK180" s="93">
        <f>'Returns per Gal.'!AJ187</f>
        <v>1.6038187134502924</v>
      </c>
      <c r="AL180" s="93">
        <f>'Returns per Gal.'!AK187</f>
        <v>1.8000647255715045</v>
      </c>
      <c r="AM180" s="105">
        <f>'Returns per Gal.'!AL187</f>
        <v>0</v>
      </c>
      <c r="AN180" s="104"/>
      <c r="AO180" s="93">
        <f>'Returns per Gal.'!AN187</f>
        <v>0.28029475984083163</v>
      </c>
      <c r="AP180" s="93">
        <f>'Returns per Gal.'!AO187</f>
        <v>8.4048747719619454E-2</v>
      </c>
      <c r="AQ180" s="93">
        <f>'Returns per Gal.'!AP187</f>
        <v>6.4431174402147962E-2</v>
      </c>
      <c r="AR180" s="93">
        <f>'Returns per Gal.'!AQ187</f>
        <v>1.9617573317471493E-2</v>
      </c>
      <c r="AS180" s="52"/>
      <c r="AU180" s="177">
        <f>'Returns per Bu.'!G187</f>
        <v>3.6492434172881274</v>
      </c>
      <c r="AV180" s="166">
        <f>'Returns per Bu.'!N187</f>
        <v>5.3697233988797031</v>
      </c>
      <c r="AW180" s="166">
        <f>'Returns per Bu.'!O187</f>
        <v>3.8328722643342492</v>
      </c>
      <c r="AX180" s="169">
        <f>'Returns per Bu.'!Z187</f>
        <v>5.5917395152248951E-2</v>
      </c>
      <c r="AY180" s="162">
        <f>'Returns per Bu.'!AF187</f>
        <v>3.5933333333333333</v>
      </c>
      <c r="AZ180" s="165"/>
      <c r="BA180" s="15">
        <f t="shared" si="40"/>
        <v>2.4872727272727273</v>
      </c>
      <c r="BB180" s="93">
        <f>'Returns per Bu.'!AD187</f>
        <v>1.106060606060606</v>
      </c>
      <c r="BC180" s="93">
        <f t="shared" si="41"/>
        <v>0.8727272727272728</v>
      </c>
    </row>
    <row r="181" spans="1:55" x14ac:dyDescent="0.2">
      <c r="A181" s="68">
        <v>43818</v>
      </c>
      <c r="B181" s="64"/>
      <c r="C181" s="56"/>
      <c r="D181" s="284">
        <v>1.3645000159740448</v>
      </c>
      <c r="E181" s="285">
        <v>141.13749999999999</v>
      </c>
      <c r="F181" s="284">
        <v>0.23100000000000001</v>
      </c>
      <c r="G181" s="284">
        <v>3.7299374938011169</v>
      </c>
      <c r="H181" s="286">
        <v>4.22</v>
      </c>
      <c r="I181" s="187"/>
      <c r="J181" s="29"/>
      <c r="K181" s="97">
        <f>'Returns per Gal.'!J188</f>
        <v>1.3645000159740448</v>
      </c>
      <c r="L181" s="97">
        <f>'Returns per Gal.'!K188</f>
        <v>0.40607982456140346</v>
      </c>
      <c r="M181" s="97">
        <f>'Returns per Gal.'!L188</f>
        <v>5.2684210526315792E-2</v>
      </c>
      <c r="N181" s="97">
        <f>'Returns per Gal.'!M188</f>
        <v>1.8232640510617641</v>
      </c>
      <c r="O181" s="113"/>
      <c r="P181" s="111"/>
      <c r="Q181" s="97">
        <f>'Returns per Gal.'!P188</f>
        <v>1.3087499978249533</v>
      </c>
      <c r="R181" s="97">
        <f>'Returns per Gal.'!Q188</f>
        <v>0.12659999999999999</v>
      </c>
      <c r="S181" s="97">
        <f>'Returns per Gal.'!R188</f>
        <v>0.21939999999999998</v>
      </c>
      <c r="T181" s="97">
        <f>'Returns per Gal.'!S188</f>
        <v>1.6547499978249534</v>
      </c>
      <c r="U181" s="97">
        <f>'Returns per Gal.'!T188</f>
        <v>0.19624601212121212</v>
      </c>
      <c r="V181" s="97">
        <f>'Returns per Gal.'!U188</f>
        <v>1.8509960099461655</v>
      </c>
      <c r="W181" s="97">
        <f>'Returns per Gal.'!V188</f>
        <v>1.3922319748584462</v>
      </c>
      <c r="X181" s="107"/>
      <c r="Y181" s="97"/>
      <c r="Z181" s="97">
        <f>'Returns per Gal.'!Y188</f>
        <v>0.34941405323681091</v>
      </c>
      <c r="AA181" s="97">
        <f>'Returns per Gal.'!Z188</f>
        <v>0.16851405323681079</v>
      </c>
      <c r="AB181" s="97">
        <f>'Returns per Gal.'!AA188</f>
        <v>-2.7731958884401386E-2</v>
      </c>
      <c r="AC181" s="82"/>
      <c r="AD181" s="65"/>
      <c r="AE181" s="83"/>
      <c r="AF181" s="97">
        <f>'Returns per Gal.'!AE188</f>
        <v>0.3880914407230196</v>
      </c>
      <c r="AG181" s="97">
        <f>'Returns per Gal.'!AF188</f>
        <v>0.8727272727272728</v>
      </c>
      <c r="AH181" s="97">
        <f>'Returns per Gal.'!AG188</f>
        <v>1.2608187134502924</v>
      </c>
      <c r="AI181" s="107">
        <f>'Returns per Gal.'!AH188</f>
        <v>0</v>
      </c>
      <c r="AJ181" s="106">
        <f>'Returns per Gal.'!AI188</f>
        <v>0</v>
      </c>
      <c r="AK181" s="97">
        <f>'Returns per Gal.'!AJ188</f>
        <v>1.6068187134502925</v>
      </c>
      <c r="AL181" s="97">
        <f>'Returns per Gal.'!AK188</f>
        <v>1.8030647255715047</v>
      </c>
      <c r="AM181" s="107">
        <f>'Returns per Gal.'!AL188</f>
        <v>0</v>
      </c>
      <c r="AN181" s="106"/>
      <c r="AO181" s="97">
        <f>'Returns per Gal.'!AN188</f>
        <v>0.21644533761147167</v>
      </c>
      <c r="AP181" s="97">
        <f>'Returns per Gal.'!AO188</f>
        <v>2.019932549025949E-2</v>
      </c>
      <c r="AQ181" s="97">
        <f>'Returns per Gal.'!AP188</f>
        <v>-2.7731958884401386E-2</v>
      </c>
      <c r="AR181" s="97">
        <f>'Returns per Gal.'!AQ188</f>
        <v>4.7931284374660876E-2</v>
      </c>
      <c r="AS181" s="64"/>
      <c r="AT181" s="29"/>
      <c r="AU181" s="178">
        <f>'Returns per Bu.'!G188</f>
        <v>3.7299374938011169</v>
      </c>
      <c r="AV181" s="167">
        <f>'Returns per Bu.'!N188</f>
        <v>5.1963025455260272</v>
      </c>
      <c r="AW181" s="167">
        <f>'Returns per Bu.'!O188</f>
        <v>3.6509014109805733</v>
      </c>
      <c r="AX181" s="170">
        <f>'Returns per Bu.'!Z188</f>
        <v>-2.4067525040072684E-2</v>
      </c>
      <c r="AY181" s="163">
        <f>'Returns per Bu.'!AF188</f>
        <v>3.5933333333333333</v>
      </c>
      <c r="AZ181" s="164"/>
      <c r="BA181" s="65">
        <f t="shared" ref="BA181:BA205" si="42">AY181-BB181</f>
        <v>2.4872727272727273</v>
      </c>
      <c r="BB181" s="97">
        <f>'Returns per Bu.'!AD188</f>
        <v>1.106060606060606</v>
      </c>
      <c r="BC181" s="97">
        <f t="shared" ref="BC181:BC205" si="43">AG181</f>
        <v>0.8727272727272728</v>
      </c>
    </row>
    <row r="182" spans="1:55" x14ac:dyDescent="0.2">
      <c r="A182" s="21">
        <v>43849</v>
      </c>
      <c r="C182" s="53"/>
      <c r="D182" s="93">
        <v>1.244523789201464</v>
      </c>
      <c r="E182" s="95">
        <v>141.91666666666666</v>
      </c>
      <c r="F182" s="319">
        <v>0.25440000000000002</v>
      </c>
      <c r="G182" s="93">
        <v>3.8147618884132024</v>
      </c>
      <c r="H182" s="308">
        <v>4.8</v>
      </c>
      <c r="I182" s="184"/>
      <c r="J182" s="12"/>
      <c r="K182" s="93">
        <f>'Returns per Gal.'!J189</f>
        <v>1.244523789201464</v>
      </c>
      <c r="L182" s="93">
        <f>'Returns per Gal.'!K189</f>
        <v>0.40832163742690053</v>
      </c>
      <c r="M182" s="93">
        <f>'Returns per Gal.'!L189</f>
        <v>5.8021052631578945E-2</v>
      </c>
      <c r="N182" s="93">
        <f>'Returns per Gal.'!M189</f>
        <v>1.7108664792599435</v>
      </c>
      <c r="O182" s="110">
        <f>'Returns per Gal.'!N189</f>
        <v>0</v>
      </c>
      <c r="P182" s="108">
        <f>'Returns per Gal.'!O189</f>
        <v>0</v>
      </c>
      <c r="Q182" s="93">
        <f>'Returns per Gal.'!P189</f>
        <v>1.338512943302878</v>
      </c>
      <c r="R182" s="93">
        <f>'Returns per Gal.'!Q189</f>
        <v>0.14399999999999999</v>
      </c>
      <c r="S182" s="93">
        <f>'Returns per Gal.'!R189</f>
        <v>0.21939999999999998</v>
      </c>
      <c r="T182" s="93">
        <f>'Returns per Gal.'!S189</f>
        <v>1.7019129433028779</v>
      </c>
      <c r="U182" s="93">
        <f>'Returns per Gal.'!T189</f>
        <v>0.19624601212121212</v>
      </c>
      <c r="V182" s="93">
        <f>'Returns per Gal.'!U189</f>
        <v>1.8981589554240901</v>
      </c>
      <c r="W182" s="93">
        <f>'Returns per Gal.'!V189</f>
        <v>1.4318162653656106</v>
      </c>
      <c r="X182" s="105"/>
      <c r="Y182" s="93">
        <f>'Returns per Gal.'!V189</f>
        <v>1.4318162653656106</v>
      </c>
      <c r="Z182" s="93">
        <f>'Returns per Gal.'!Y189</f>
        <v>0.18985353595706556</v>
      </c>
      <c r="AA182" s="93">
        <f>'Returns per Gal.'!Z189</f>
        <v>8.9535359570656059E-3</v>
      </c>
      <c r="AB182" s="93">
        <f>'Returns per Gal.'!AA189</f>
        <v>-0.18729247616414657</v>
      </c>
      <c r="AC182" s="80">
        <f>'Returns per Gal.'!AB189</f>
        <v>0</v>
      </c>
      <c r="AD182" s="15">
        <f>'Returns per Gal.'!AC189</f>
        <v>0</v>
      </c>
      <c r="AE182" s="81">
        <f>'Returns per Gal.'!AD189</f>
        <v>0</v>
      </c>
      <c r="AF182" s="93">
        <f>'Returns per Gal.'!AE189</f>
        <v>0.3880914407230196</v>
      </c>
      <c r="AG182" s="93">
        <f>'Returns per Gal.'!AF189</f>
        <v>0.8727272727272728</v>
      </c>
      <c r="AH182" s="93">
        <f>'Returns per Gal.'!AG189</f>
        <v>1.2608187134502924</v>
      </c>
      <c r="AI182" s="105">
        <f>'Returns per Gal.'!AH189</f>
        <v>0</v>
      </c>
      <c r="AJ182" s="104">
        <f>'Returns per Gal.'!AI189</f>
        <v>0</v>
      </c>
      <c r="AK182" s="93">
        <f>'Returns per Gal.'!AJ189</f>
        <v>1.6242187134502923</v>
      </c>
      <c r="AL182" s="93">
        <f>'Returns per Gal.'!AK189</f>
        <v>1.8204647255715045</v>
      </c>
      <c r="AM182" s="105">
        <f>'Returns per Gal.'!AL189</f>
        <v>0</v>
      </c>
      <c r="AN182" s="104"/>
      <c r="AO182" s="93">
        <f>'Returns per Gal.'!AN189</f>
        <v>8.6647765809651167E-2</v>
      </c>
      <c r="AP182" s="93">
        <f>'Returns per Gal.'!AO189</f>
        <v>-0.10959824631156101</v>
      </c>
      <c r="AQ182" s="93">
        <f>'Returns per Gal.'!AP189</f>
        <v>-0.18729247616414657</v>
      </c>
      <c r="AR182" s="93">
        <f>'Returns per Gal.'!AQ189</f>
        <v>7.7694229852585561E-2</v>
      </c>
      <c r="AS182" s="52"/>
      <c r="AU182" s="177">
        <f>'Returns per Bu.'!G189</f>
        <v>3.8147618884132024</v>
      </c>
      <c r="AV182" s="166">
        <f>'Returns per Bu.'!N189</f>
        <v>4.8759694658908384</v>
      </c>
      <c r="AW182" s="166">
        <f>'Returns per Bu.'!O189</f>
        <v>3.2809783313453842</v>
      </c>
      <c r="AX182" s="169">
        <f>'Returns per Bu.'!Z189</f>
        <v>-0.16254410222832469</v>
      </c>
      <c r="AY182" s="162">
        <f>'Returns per Bu.'!AF189</f>
        <v>3.5933333333333333</v>
      </c>
      <c r="AZ182" s="165"/>
      <c r="BA182" s="15">
        <f t="shared" si="42"/>
        <v>2.4872727272727273</v>
      </c>
      <c r="BB182" s="93">
        <f>'Returns per Bu.'!AD189</f>
        <v>1.106060606060606</v>
      </c>
      <c r="BC182" s="93">
        <f t="shared" si="43"/>
        <v>0.8727272727272728</v>
      </c>
    </row>
    <row r="183" spans="1:55" x14ac:dyDescent="0.2">
      <c r="A183" s="8">
        <v>43880</v>
      </c>
      <c r="C183" s="53"/>
      <c r="D183" s="93">
        <v>1.2384210304210062</v>
      </c>
      <c r="E183" s="95">
        <v>143</v>
      </c>
      <c r="F183" s="319">
        <v>0.27399999999999997</v>
      </c>
      <c r="G183" s="93">
        <v>3.7578947364656554</v>
      </c>
      <c r="H183" s="308">
        <v>4.13</v>
      </c>
      <c r="I183" s="184"/>
      <c r="J183" s="12"/>
      <c r="K183" s="93">
        <f>'Returns per Gal.'!J190</f>
        <v>1.2384210304210062</v>
      </c>
      <c r="L183" s="93">
        <f>'Returns per Gal.'!K190</f>
        <v>0.41143859649122799</v>
      </c>
      <c r="M183" s="93">
        <f>'Returns per Gal.'!L190</f>
        <v>6.2491228070175431E-2</v>
      </c>
      <c r="N183" s="93">
        <f>'Returns per Gal.'!M190</f>
        <v>1.7123508549824096</v>
      </c>
      <c r="O183" s="110">
        <f>'Returns per Gal.'!N190</f>
        <v>0</v>
      </c>
      <c r="P183" s="108">
        <f>'Returns per Gal.'!O190</f>
        <v>0</v>
      </c>
      <c r="Q183" s="93">
        <f>'Returns per Gal.'!P190</f>
        <v>1.318559556654616</v>
      </c>
      <c r="R183" s="93">
        <f>'Returns per Gal.'!Q190</f>
        <v>0.1239</v>
      </c>
      <c r="S183" s="93">
        <f>'Returns per Gal.'!R190</f>
        <v>0.21939999999999998</v>
      </c>
      <c r="T183" s="93">
        <f>'Returns per Gal.'!S190</f>
        <v>1.6618595566546159</v>
      </c>
      <c r="U183" s="93">
        <f>'Returns per Gal.'!T190</f>
        <v>0.19624601212121212</v>
      </c>
      <c r="V183" s="93">
        <f>'Returns per Gal.'!U190</f>
        <v>1.8581055687758281</v>
      </c>
      <c r="W183" s="93">
        <f>'Returns per Gal.'!V190</f>
        <v>1.3841757442144247</v>
      </c>
      <c r="X183" s="105"/>
      <c r="Y183" s="93">
        <f>'Returns per Gal.'!V190</f>
        <v>1.3841757442144247</v>
      </c>
      <c r="Z183" s="93">
        <f>'Returns per Gal.'!Y190</f>
        <v>0.23139129832779357</v>
      </c>
      <c r="AA183" s="93">
        <f>'Returns per Gal.'!Z190</f>
        <v>5.0491298327793643E-2</v>
      </c>
      <c r="AB183" s="93">
        <f>'Returns per Gal.'!AA190</f>
        <v>-0.14575471379341853</v>
      </c>
      <c r="AC183" s="80">
        <f>'Returns per Gal.'!AB190</f>
        <v>0</v>
      </c>
      <c r="AD183" s="15">
        <f>'Returns per Gal.'!AC190</f>
        <v>0</v>
      </c>
      <c r="AE183" s="81">
        <f>'Returns per Gal.'!AD190</f>
        <v>0</v>
      </c>
      <c r="AF183" s="93">
        <f>'Returns per Gal.'!AE190</f>
        <v>0.3880914407230196</v>
      </c>
      <c r="AG183" s="93">
        <f>'Returns per Gal.'!AF190</f>
        <v>0.8727272727272728</v>
      </c>
      <c r="AH183" s="93">
        <f>'Returns per Gal.'!AG190</f>
        <v>1.2608187134502924</v>
      </c>
      <c r="AI183" s="105">
        <f>'Returns per Gal.'!AH190</f>
        <v>0</v>
      </c>
      <c r="AJ183" s="104">
        <f>'Returns per Gal.'!AI190</f>
        <v>0</v>
      </c>
      <c r="AK183" s="93">
        <f>'Returns per Gal.'!AJ190</f>
        <v>1.6041187134502923</v>
      </c>
      <c r="AL183" s="93">
        <f>'Returns per Gal.'!AK190</f>
        <v>1.8003647255715045</v>
      </c>
      <c r="AM183" s="105">
        <f>'Returns per Gal.'!AL190</f>
        <v>0</v>
      </c>
      <c r="AN183" s="104"/>
      <c r="AO183" s="93">
        <f>'Returns per Gal.'!AN190</f>
        <v>0.10823214153211724</v>
      </c>
      <c r="AP183" s="93">
        <f>'Returns per Gal.'!AO190</f>
        <v>-8.8013870589094934E-2</v>
      </c>
      <c r="AQ183" s="93">
        <f>'Returns per Gal.'!AP190</f>
        <v>-0.14575471379341853</v>
      </c>
      <c r="AR183" s="93">
        <f>'Returns per Gal.'!AQ190</f>
        <v>5.77408432043236E-2</v>
      </c>
      <c r="AS183" s="52"/>
      <c r="AU183" s="177">
        <f>'Returns per Bu.'!G190</f>
        <v>3.7578947364656554</v>
      </c>
      <c r="AV183" s="166">
        <f>'Returns per Bu.'!N190</f>
        <v>4.8801999366998672</v>
      </c>
      <c r="AW183" s="166">
        <f>'Returns per Bu.'!O190</f>
        <v>3.3424938021544128</v>
      </c>
      <c r="AX183" s="169">
        <f>'Returns per Bu.'!Z190</f>
        <v>-0.12649503911910409</v>
      </c>
      <c r="AY183" s="162">
        <f>'Returns per Bu.'!AF190</f>
        <v>3.5933333333333333</v>
      </c>
      <c r="AZ183" s="165"/>
      <c r="BA183" s="15">
        <f t="shared" si="42"/>
        <v>2.4872727272727273</v>
      </c>
      <c r="BB183" s="93">
        <f>'Returns per Bu.'!AD190</f>
        <v>1.106060606060606</v>
      </c>
      <c r="BC183" s="93">
        <f t="shared" si="43"/>
        <v>0.8727272727272728</v>
      </c>
    </row>
    <row r="184" spans="1:55" x14ac:dyDescent="0.2">
      <c r="A184" s="8">
        <v>43909</v>
      </c>
      <c r="C184" s="53"/>
      <c r="D184" s="93">
        <v>1.074285707303456</v>
      </c>
      <c r="E184" s="95">
        <v>147.04761904761904</v>
      </c>
      <c r="F184" s="319">
        <v>0.2676</v>
      </c>
      <c r="G184" s="93">
        <v>3.4467613620107822</v>
      </c>
      <c r="H184" s="308">
        <v>4.17</v>
      </c>
      <c r="I184" s="184"/>
      <c r="J184" s="12"/>
      <c r="K184" s="93">
        <f>'Returns per Gal.'!J191</f>
        <v>1.074285707303456</v>
      </c>
      <c r="L184" s="93">
        <f>'Returns per Gal.'!K191</f>
        <v>0.42308437761069334</v>
      </c>
      <c r="M184" s="93">
        <f>'Returns per Gal.'!L191</f>
        <v>6.1031578947368423E-2</v>
      </c>
      <c r="N184" s="93">
        <f>'Returns per Gal.'!M191</f>
        <v>1.5584016638615177</v>
      </c>
      <c r="O184" s="110">
        <f>'Returns per Gal.'!N191</f>
        <v>0</v>
      </c>
      <c r="P184" s="108">
        <f>'Returns per Gal.'!O191</f>
        <v>0</v>
      </c>
      <c r="Q184" s="93">
        <f>'Returns per Gal.'!P191</f>
        <v>1.2093899515827307</v>
      </c>
      <c r="R184" s="93">
        <f>'Returns per Gal.'!Q191</f>
        <v>0.12509999999999999</v>
      </c>
      <c r="S184" s="93">
        <f>'Returns per Gal.'!R191</f>
        <v>0.21939999999999998</v>
      </c>
      <c r="T184" s="93">
        <f>'Returns per Gal.'!S191</f>
        <v>1.5538899515827307</v>
      </c>
      <c r="U184" s="93">
        <f>'Returns per Gal.'!T191</f>
        <v>0.19624601212121212</v>
      </c>
      <c r="V184" s="93">
        <f>'Returns per Gal.'!U191</f>
        <v>1.7501359637039429</v>
      </c>
      <c r="W184" s="93">
        <f>'Returns per Gal.'!V191</f>
        <v>1.2660200071458811</v>
      </c>
      <c r="X184" s="105"/>
      <c r="Y184" s="93">
        <f>'Returns per Gal.'!V191</f>
        <v>1.2660200071458811</v>
      </c>
      <c r="Z184" s="93">
        <f>'Returns per Gal.'!Y191</f>
        <v>0.18541171227878703</v>
      </c>
      <c r="AA184" s="93">
        <f>'Returns per Gal.'!Z191</f>
        <v>4.5117122787869945E-3</v>
      </c>
      <c r="AB184" s="93">
        <f>'Returns per Gal.'!AA191</f>
        <v>-0.19173429984242518</v>
      </c>
      <c r="AC184" s="80">
        <f>'Returns per Gal.'!AB191</f>
        <v>0</v>
      </c>
      <c r="AD184" s="15">
        <f>'Returns per Gal.'!AC191</f>
        <v>0</v>
      </c>
      <c r="AE184" s="81">
        <f>'Returns per Gal.'!AD191</f>
        <v>0</v>
      </c>
      <c r="AF184" s="93">
        <f>'Returns per Gal.'!AE191</f>
        <v>0.3880914407230196</v>
      </c>
      <c r="AG184" s="93">
        <f>'Returns per Gal.'!AF191</f>
        <v>0.8727272727272728</v>
      </c>
      <c r="AH184" s="93">
        <f>'Returns per Gal.'!AG191</f>
        <v>1.2608187134502924</v>
      </c>
      <c r="AI184" s="105">
        <f>'Returns per Gal.'!AH191</f>
        <v>0</v>
      </c>
      <c r="AJ184" s="104">
        <f>'Returns per Gal.'!AI191</f>
        <v>0</v>
      </c>
      <c r="AK184" s="93">
        <f>'Returns per Gal.'!AJ191</f>
        <v>1.6053187134502924</v>
      </c>
      <c r="AL184" s="93">
        <f>'Returns per Gal.'!AK191</f>
        <v>1.8015647255715046</v>
      </c>
      <c r="AM184" s="105">
        <f>'Returns per Gal.'!AL191</f>
        <v>0</v>
      </c>
      <c r="AN184" s="104"/>
      <c r="AO184" s="93">
        <f>'Returns per Gal.'!AN191</f>
        <v>-4.691704958877474E-2</v>
      </c>
      <c r="AP184" s="93">
        <f>'Returns per Gal.'!AO191</f>
        <v>-0.24316306170998692</v>
      </c>
      <c r="AQ184" s="93">
        <f>'Returns per Gal.'!AP191</f>
        <v>-0.19173429984242518</v>
      </c>
      <c r="AR184" s="93">
        <f>'Returns per Gal.'!AQ191</f>
        <v>-5.1428761867561734E-2</v>
      </c>
      <c r="AS184" s="52"/>
      <c r="AU184" s="177">
        <f>'Returns per Bu.'!G191</f>
        <v>3.4467613620107822</v>
      </c>
      <c r="AV184" s="166">
        <f>'Returns per Bu.'!N191</f>
        <v>4.4414447420053254</v>
      </c>
      <c r="AW184" s="166">
        <f>'Returns per Bu.'!O191</f>
        <v>2.9003186074598708</v>
      </c>
      <c r="AX184" s="169">
        <f>'Returns per Bu.'!Z191</f>
        <v>-0.16639899408959463</v>
      </c>
      <c r="AY184" s="162">
        <f>'Returns per Bu.'!AF191</f>
        <v>3.5933333333333333</v>
      </c>
      <c r="AZ184" s="165"/>
      <c r="BA184" s="15">
        <f t="shared" si="42"/>
        <v>2.4872727272727273</v>
      </c>
      <c r="BB184" s="93">
        <f>'Returns per Bu.'!AD191</f>
        <v>1.106060606060606</v>
      </c>
      <c r="BC184" s="93">
        <f t="shared" si="43"/>
        <v>0.8727272727272728</v>
      </c>
    </row>
    <row r="185" spans="1:55" x14ac:dyDescent="0.2">
      <c r="A185" s="8">
        <v>43940</v>
      </c>
      <c r="C185" s="53"/>
      <c r="D185" s="281">
        <v>0.77250001105395227</v>
      </c>
      <c r="E185" s="282">
        <v>192.04545454545453</v>
      </c>
      <c r="F185" s="319">
        <v>0.29609999999999997</v>
      </c>
      <c r="G185" s="281">
        <v>2.9318181845274838</v>
      </c>
      <c r="H185" s="308">
        <v>3.93</v>
      </c>
      <c r="I185" s="184"/>
      <c r="J185" s="12"/>
      <c r="K185" s="93">
        <f>'Returns per Gal.'!J192</f>
        <v>0.77250001105395227</v>
      </c>
      <c r="L185" s="93">
        <f>'Returns per Gal.'!K192</f>
        <v>0.55255183413078135</v>
      </c>
      <c r="M185" s="93">
        <f>'Returns per Gal.'!L192</f>
        <v>6.7531578947368415E-2</v>
      </c>
      <c r="N185" s="93">
        <f>'Returns per Gal.'!M192</f>
        <v>1.392583424132102</v>
      </c>
      <c r="O185" s="110"/>
      <c r="P185" s="108"/>
      <c r="Q185" s="93">
        <f>'Returns per Gal.'!P192</f>
        <v>1.028708134921924</v>
      </c>
      <c r="R185" s="93">
        <f>'Returns per Gal.'!Q192</f>
        <v>0.1179</v>
      </c>
      <c r="S185" s="93">
        <f>'Returns per Gal.'!R192</f>
        <v>0.21939999999999998</v>
      </c>
      <c r="T185" s="93">
        <f>'Returns per Gal.'!S192</f>
        <v>1.366008134921924</v>
      </c>
      <c r="U185" s="93">
        <f>'Returns per Gal.'!T192</f>
        <v>0.19624601212121212</v>
      </c>
      <c r="V185" s="93">
        <f>'Returns per Gal.'!U192</f>
        <v>1.5622541470431361</v>
      </c>
      <c r="W185" s="93">
        <f>'Returns per Gal.'!V192</f>
        <v>0.94217073396498641</v>
      </c>
      <c r="X185" s="105"/>
      <c r="Y185" s="93"/>
      <c r="Z185" s="93">
        <f>'Returns per Gal.'!Y192</f>
        <v>0.20747528921017797</v>
      </c>
      <c r="AA185" s="93">
        <f>'Returns per Gal.'!Z192</f>
        <v>2.6575289210178044E-2</v>
      </c>
      <c r="AB185" s="93">
        <f>'Returns per Gal.'!AA192</f>
        <v>-0.16967072291103413</v>
      </c>
      <c r="AC185" s="80"/>
      <c r="AD185" s="15"/>
      <c r="AE185" s="81"/>
      <c r="AF185" s="93">
        <f>'Returns per Gal.'!AE192</f>
        <v>0.3880914407230196</v>
      </c>
      <c r="AG185" s="93">
        <f>'Returns per Gal.'!AF192</f>
        <v>0.8727272727272728</v>
      </c>
      <c r="AH185" s="93">
        <f>'Returns per Gal.'!AG192</f>
        <v>1.2608187134502924</v>
      </c>
      <c r="AI185" s="105">
        <f>'Returns per Gal.'!AH192</f>
        <v>0</v>
      </c>
      <c r="AJ185" s="104">
        <f>'Returns per Gal.'!AI192</f>
        <v>0</v>
      </c>
      <c r="AK185" s="93">
        <f>'Returns per Gal.'!AJ192</f>
        <v>1.5981187134502923</v>
      </c>
      <c r="AL185" s="93">
        <f>'Returns per Gal.'!AK192</f>
        <v>1.7943647255715045</v>
      </c>
      <c r="AM185" s="105">
        <f>'Returns per Gal.'!AL192</f>
        <v>0</v>
      </c>
      <c r="AN185" s="104"/>
      <c r="AO185" s="93">
        <f>'Returns per Gal.'!AN192</f>
        <v>-0.20553528931819032</v>
      </c>
      <c r="AP185" s="93">
        <f>'Returns per Gal.'!AO192</f>
        <v>-0.40178130143940249</v>
      </c>
      <c r="AQ185" s="93">
        <f>'Returns per Gal.'!AP192</f>
        <v>-0.16967072291103413</v>
      </c>
      <c r="AR185" s="93">
        <f>'Returns per Gal.'!AQ192</f>
        <v>-0.23211057852836836</v>
      </c>
      <c r="AS185" s="52"/>
      <c r="AU185" s="177">
        <f>'Returns per Bu.'!G192</f>
        <v>2.9318181845274838</v>
      </c>
      <c r="AV185" s="166">
        <f>'Returns per Bu.'!N192</f>
        <v>3.9688627587764906</v>
      </c>
      <c r="AW185" s="166">
        <f>'Returns per Bu.'!O192</f>
        <v>2.448256624231036</v>
      </c>
      <c r="AX185" s="169">
        <f>'Returns per Bu.'!Z192</f>
        <v>-0.14725084474741082</v>
      </c>
      <c r="AY185" s="162">
        <f>'Returns per Bu.'!AF192</f>
        <v>3.5933333333333333</v>
      </c>
      <c r="AZ185" s="165"/>
      <c r="BA185" s="15">
        <f t="shared" si="42"/>
        <v>2.4872727272727273</v>
      </c>
      <c r="BB185" s="93">
        <f>'Returns per Bu.'!AD192</f>
        <v>1.106060606060606</v>
      </c>
      <c r="BC185" s="93">
        <f t="shared" si="43"/>
        <v>0.8727272727272728</v>
      </c>
    </row>
    <row r="186" spans="1:55" x14ac:dyDescent="0.2">
      <c r="A186" s="8">
        <v>43970</v>
      </c>
      <c r="C186" s="53"/>
      <c r="D186" s="281">
        <v>0.99650000929832461</v>
      </c>
      <c r="E186" s="282">
        <v>143.33333333333334</v>
      </c>
      <c r="F186" s="319">
        <v>0.28129999999999999</v>
      </c>
      <c r="G186" s="281">
        <v>2.9458437502384185</v>
      </c>
      <c r="H186" s="308">
        <v>4.12</v>
      </c>
      <c r="I186" s="184"/>
      <c r="J186" s="12"/>
      <c r="K186" s="93">
        <f>'Returns per Gal.'!J193</f>
        <v>0.99650000929832461</v>
      </c>
      <c r="L186" s="93">
        <f>'Returns per Gal.'!K193</f>
        <v>0.41239766081871343</v>
      </c>
      <c r="M186" s="93">
        <f>'Returns per Gal.'!L193</f>
        <v>6.4156140350877189E-2</v>
      </c>
      <c r="N186" s="93">
        <f>'Returns per Gal.'!M193</f>
        <v>1.4730538104679152</v>
      </c>
      <c r="O186" s="110"/>
      <c r="P186" s="108"/>
      <c r="Q186" s="93">
        <f>'Returns per Gal.'!P193</f>
        <v>1.0336293860485679</v>
      </c>
      <c r="R186" s="93">
        <f>'Returns per Gal.'!Q193</f>
        <v>0.12360000000000002</v>
      </c>
      <c r="S186" s="93">
        <f>'Returns per Gal.'!R193</f>
        <v>0.21939999999999998</v>
      </c>
      <c r="T186" s="93">
        <f>'Returns per Gal.'!S193</f>
        <v>1.3766293860485679</v>
      </c>
      <c r="U186" s="93">
        <f>'Returns per Gal.'!T193</f>
        <v>0.19624601212121212</v>
      </c>
      <c r="V186" s="93">
        <f>'Returns per Gal.'!U193</f>
        <v>1.5728753981697801</v>
      </c>
      <c r="W186" s="93">
        <f>'Returns per Gal.'!V193</f>
        <v>1.0963215970001894</v>
      </c>
      <c r="X186" s="105"/>
      <c r="Y186" s="93"/>
      <c r="Z186" s="93">
        <f>'Returns per Gal.'!Y193</f>
        <v>0.27732442441934724</v>
      </c>
      <c r="AA186" s="93">
        <f>'Returns per Gal.'!Z193</f>
        <v>9.6424424419347288E-2</v>
      </c>
      <c r="AB186" s="93">
        <f>'Returns per Gal.'!AA193</f>
        <v>-9.9821587701864889E-2</v>
      </c>
      <c r="AC186" s="80"/>
      <c r="AD186" s="15"/>
      <c r="AE186" s="81"/>
      <c r="AF186" s="93">
        <f>'Returns per Gal.'!AE193</f>
        <v>0.3880914407230196</v>
      </c>
      <c r="AG186" s="93">
        <f>'Returns per Gal.'!AF193</f>
        <v>0.8727272727272728</v>
      </c>
      <c r="AH186" s="93">
        <f>'Returns per Gal.'!AG193</f>
        <v>1.2608187134502924</v>
      </c>
      <c r="AI186" s="105">
        <f>'Returns per Gal.'!AH193</f>
        <v>0</v>
      </c>
      <c r="AJ186" s="104">
        <f>'Returns per Gal.'!AI193</f>
        <v>0</v>
      </c>
      <c r="AK186" s="93">
        <f>'Returns per Gal.'!AJ193</f>
        <v>1.6038187134502924</v>
      </c>
      <c r="AL186" s="93">
        <f>'Returns per Gal.'!AK193</f>
        <v>1.8000647255715045</v>
      </c>
      <c r="AM186" s="105">
        <f>'Returns per Gal.'!AL193</f>
        <v>0</v>
      </c>
      <c r="AN186" s="104"/>
      <c r="AO186" s="93">
        <f>'Returns per Gal.'!AN193</f>
        <v>-0.1307649029823772</v>
      </c>
      <c r="AP186" s="93">
        <f>'Returns per Gal.'!AO193</f>
        <v>-0.32701091510358937</v>
      </c>
      <c r="AQ186" s="93">
        <f>'Returns per Gal.'!AP193</f>
        <v>-9.9821587701864889E-2</v>
      </c>
      <c r="AR186" s="93">
        <f>'Returns per Gal.'!AQ193</f>
        <v>-0.22718932740172448</v>
      </c>
      <c r="AS186" s="52"/>
      <c r="AU186" s="177">
        <f>'Returns per Bu.'!G193</f>
        <v>2.9458437502384185</v>
      </c>
      <c r="AV186" s="166">
        <f>'Returns per Bu.'!N193</f>
        <v>4.1982033598335589</v>
      </c>
      <c r="AW186" s="166">
        <f>'Returns per Bu.'!O193</f>
        <v>2.6613522252881041</v>
      </c>
      <c r="AX186" s="169">
        <f>'Returns per Bu.'!Z193</f>
        <v>-8.6631404999874692E-2</v>
      </c>
      <c r="AY186" s="162">
        <f>'Returns per Bu.'!AF193</f>
        <v>3.5933333333333333</v>
      </c>
      <c r="AZ186" s="165"/>
      <c r="BA186" s="15">
        <f t="shared" si="42"/>
        <v>2.4872727272727273</v>
      </c>
      <c r="BB186" s="93">
        <f>'Returns per Bu.'!AD193</f>
        <v>1.106060606060606</v>
      </c>
      <c r="BC186" s="93">
        <f t="shared" si="43"/>
        <v>0.8727272727272728</v>
      </c>
    </row>
    <row r="187" spans="1:55" x14ac:dyDescent="0.2">
      <c r="A187" s="8">
        <v>44001</v>
      </c>
      <c r="C187" s="53"/>
      <c r="D187" s="281">
        <v>1.1869047639483497</v>
      </c>
      <c r="E187" s="282">
        <v>127.48809523809524</v>
      </c>
      <c r="F187" s="319">
        <v>0.2482</v>
      </c>
      <c r="G187" s="281">
        <v>3.1045238082749504</v>
      </c>
      <c r="H187" s="308">
        <v>3.58</v>
      </c>
      <c r="I187" s="184"/>
      <c r="K187" s="93">
        <f>'Returns per Gal.'!J194</f>
        <v>1.1869047639483497</v>
      </c>
      <c r="L187" s="93">
        <f>'Returns per Gal.'!K194</f>
        <v>0.36680785296574769</v>
      </c>
      <c r="M187" s="93">
        <f>'Returns per Gal.'!L194</f>
        <v>5.6607017543859647E-2</v>
      </c>
      <c r="N187" s="93">
        <f>'Returns per Gal.'!M194</f>
        <v>1.6103196344579569</v>
      </c>
      <c r="O187" s="110"/>
      <c r="P187" s="108"/>
      <c r="Q187" s="93">
        <f>'Returns per Gal.'!P194</f>
        <v>1.0893065993947195</v>
      </c>
      <c r="R187" s="93">
        <f>'Returns per Gal.'!Q194</f>
        <v>0.10740000000000001</v>
      </c>
      <c r="S187" s="93">
        <f>'Returns per Gal.'!R194</f>
        <v>0.21939999999999998</v>
      </c>
      <c r="T187" s="93">
        <f>'Returns per Gal.'!S194</f>
        <v>1.4161065993947195</v>
      </c>
      <c r="U187" s="93">
        <f>'Returns per Gal.'!T194</f>
        <v>0.19624601212121212</v>
      </c>
      <c r="V187" s="93">
        <f>'Returns per Gal.'!U194</f>
        <v>1.6123526115159317</v>
      </c>
      <c r="W187" s="93">
        <f>'Returns per Gal.'!V194</f>
        <v>1.1889377410063244</v>
      </c>
      <c r="X187" s="105"/>
      <c r="Y187" s="93"/>
      <c r="Z187" s="93">
        <f>'Returns per Gal.'!Y194</f>
        <v>0.3751130350632374</v>
      </c>
      <c r="AA187" s="93">
        <f>'Returns per Gal.'!Z194</f>
        <v>0.19421303506323739</v>
      </c>
      <c r="AB187" s="93">
        <f>'Returns per Gal.'!AA194</f>
        <v>-2.032977057974783E-3</v>
      </c>
      <c r="AC187" s="80"/>
      <c r="AD187" s="15"/>
      <c r="AE187" s="81"/>
      <c r="AF187" s="93">
        <f>'Returns per Gal.'!AE194</f>
        <v>0.3880914407230196</v>
      </c>
      <c r="AG187" s="93">
        <f>'Returns per Gal.'!AF194</f>
        <v>0.8727272727272728</v>
      </c>
      <c r="AH187" s="93">
        <f>'Returns per Gal.'!AG194</f>
        <v>1.2608187134502924</v>
      </c>
      <c r="AI187" s="105">
        <f>'Returns per Gal.'!AH194</f>
        <v>0</v>
      </c>
      <c r="AJ187" s="104">
        <f>'Returns per Gal.'!AI194</f>
        <v>0</v>
      </c>
      <c r="AK187" s="93">
        <f>'Returns per Gal.'!AJ194</f>
        <v>1.5876187134502924</v>
      </c>
      <c r="AL187" s="93">
        <f>'Returns per Gal.'!AK194</f>
        <v>1.7838647255715046</v>
      </c>
      <c r="AM187" s="105">
        <f>'Returns per Gal.'!AL194</f>
        <v>0</v>
      </c>
      <c r="AN187" s="104"/>
      <c r="AO187" s="93">
        <f>'Returns per Gal.'!AN194</f>
        <v>2.2700921007664521E-2</v>
      </c>
      <c r="AP187" s="93">
        <f>'Returns per Gal.'!AO194</f>
        <v>-0.17354509111354766</v>
      </c>
      <c r="AQ187" s="93">
        <f>'Returns per Gal.'!AP194</f>
        <v>-2.032977057974783E-3</v>
      </c>
      <c r="AR187" s="93">
        <f>'Returns per Gal.'!AQ194</f>
        <v>-0.17151211405557287</v>
      </c>
      <c r="AS187" s="52"/>
      <c r="AU187" s="177">
        <f>'Returns per Bu.'!G194</f>
        <v>3.1045238082749504</v>
      </c>
      <c r="AV187" s="166">
        <f>'Returns per Bu.'!N194</f>
        <v>4.5894109582051774</v>
      </c>
      <c r="AW187" s="166">
        <f>'Returns per Bu.'!O194</f>
        <v>3.0987298236597232</v>
      </c>
      <c r="AX187" s="169">
        <f>'Returns per Bu.'!Z194</f>
        <v>-1.7643443960323978E-3</v>
      </c>
      <c r="AY187" s="162">
        <f>'Returns per Bu.'!AF194</f>
        <v>3.5933333333333333</v>
      </c>
      <c r="AZ187" s="165"/>
      <c r="BA187" s="15">
        <f t="shared" si="42"/>
        <v>2.4872727272727273</v>
      </c>
      <c r="BB187" s="93">
        <f>'Returns per Bu.'!AD194</f>
        <v>1.106060606060606</v>
      </c>
      <c r="BC187" s="93">
        <f t="shared" si="43"/>
        <v>0.8727272727272728</v>
      </c>
    </row>
    <row r="188" spans="1:55" x14ac:dyDescent="0.2">
      <c r="A188" s="8">
        <v>44031</v>
      </c>
      <c r="C188" s="53"/>
      <c r="D188" s="281">
        <v>1.2840908847071908</v>
      </c>
      <c r="E188" s="282">
        <v>117.82954545454545</v>
      </c>
      <c r="F188" s="319">
        <v>0.23260000000000003</v>
      </c>
      <c r="G188" s="281">
        <v>3.1061363734982232</v>
      </c>
      <c r="H188" s="308">
        <v>3.63</v>
      </c>
      <c r="I188" s="184"/>
      <c r="K188" s="93">
        <f>'Returns per Gal.'!J195</f>
        <v>1.2840908847071908</v>
      </c>
      <c r="L188" s="93">
        <f>'Returns per Gal.'!K195</f>
        <v>0.33901834130781494</v>
      </c>
      <c r="M188" s="93">
        <f>'Returns per Gal.'!L195</f>
        <v>5.3049122807017547E-2</v>
      </c>
      <c r="N188" s="93">
        <f>'Returns per Gal.'!M195</f>
        <v>1.6761583488220233</v>
      </c>
      <c r="O188" s="110"/>
      <c r="P188" s="108"/>
      <c r="Q188" s="93">
        <f>'Returns per Gal.'!P195</f>
        <v>1.0898724117537626</v>
      </c>
      <c r="R188" s="93">
        <f>'Returns per Gal.'!Q195</f>
        <v>0.1089</v>
      </c>
      <c r="S188" s="93">
        <f>'Returns per Gal.'!R195</f>
        <v>0.21939999999999998</v>
      </c>
      <c r="T188" s="93">
        <f>'Returns per Gal.'!S195</f>
        <v>1.4181724117537626</v>
      </c>
      <c r="U188" s="93">
        <f>'Returns per Gal.'!T195</f>
        <v>0.19624601212121212</v>
      </c>
      <c r="V188" s="93">
        <f>'Returns per Gal.'!U195</f>
        <v>1.6144184238749748</v>
      </c>
      <c r="W188" s="93">
        <f>'Returns per Gal.'!V195</f>
        <v>1.2223509597601423</v>
      </c>
      <c r="X188" s="105"/>
      <c r="Y188" s="93"/>
      <c r="Z188" s="93">
        <f>'Returns per Gal.'!Y195</f>
        <v>0.43888593706826073</v>
      </c>
      <c r="AA188" s="93">
        <f>'Returns per Gal.'!Z195</f>
        <v>0.25798593706826067</v>
      </c>
      <c r="AB188" s="93">
        <f>'Returns per Gal.'!AA195</f>
        <v>6.1739924947048497E-2</v>
      </c>
      <c r="AC188" s="80"/>
      <c r="AD188" s="15"/>
      <c r="AE188" s="81"/>
      <c r="AF188" s="93">
        <f>'Returns per Gal.'!AE195</f>
        <v>0.3880914407230196</v>
      </c>
      <c r="AG188" s="93">
        <f>'Returns per Gal.'!AF195</f>
        <v>0.8727272727272728</v>
      </c>
      <c r="AH188" s="93">
        <f>'Returns per Gal.'!AG195</f>
        <v>1.2608187134502924</v>
      </c>
      <c r="AI188" s="105">
        <f>'Returns per Gal.'!AH195</f>
        <v>0</v>
      </c>
      <c r="AJ188" s="104">
        <f>'Returns per Gal.'!AI195</f>
        <v>0</v>
      </c>
      <c r="AK188" s="93">
        <f>'Returns per Gal.'!AJ195</f>
        <v>1.5891187134502924</v>
      </c>
      <c r="AL188" s="93">
        <f>'Returns per Gal.'!AK195</f>
        <v>1.7853647255715046</v>
      </c>
      <c r="AM188" s="105">
        <f>'Returns per Gal.'!AL195</f>
        <v>0</v>
      </c>
      <c r="AN188" s="104"/>
      <c r="AO188" s="93">
        <f>'Returns per Gal.'!AN195</f>
        <v>8.7039635371730872E-2</v>
      </c>
      <c r="AP188" s="93">
        <f>'Returns per Gal.'!AO195</f>
        <v>-0.1092063767494813</v>
      </c>
      <c r="AQ188" s="93">
        <f>'Returns per Gal.'!AP195</f>
        <v>6.1739924947048497E-2</v>
      </c>
      <c r="AR188" s="93">
        <f>'Returns per Gal.'!AQ195</f>
        <v>-0.1709463016965298</v>
      </c>
      <c r="AS188" s="52"/>
      <c r="AU188" s="177">
        <f>'Returns per Bu.'!G195</f>
        <v>3.1061363734982232</v>
      </c>
      <c r="AV188" s="166">
        <f>'Returns per Bu.'!N195</f>
        <v>4.7770512941427663</v>
      </c>
      <c r="AW188" s="166">
        <f>'Returns per Bu.'!O195</f>
        <v>3.2820951595973118</v>
      </c>
      <c r="AX188" s="169">
        <f>'Returns per Bu.'!Z195</f>
        <v>5.3581760878460977E-2</v>
      </c>
      <c r="AY188" s="162">
        <f>'Returns per Bu.'!AF195</f>
        <v>3.5933333333333333</v>
      </c>
      <c r="AZ188" s="165"/>
      <c r="BA188" s="15">
        <f t="shared" si="42"/>
        <v>2.4872727272727273</v>
      </c>
      <c r="BB188" s="93">
        <f>'Returns per Bu.'!AD195</f>
        <v>1.106060606060606</v>
      </c>
      <c r="BC188" s="93">
        <f t="shared" si="43"/>
        <v>0.8727272727272728</v>
      </c>
    </row>
    <row r="189" spans="1:55" x14ac:dyDescent="0.2">
      <c r="A189" s="8">
        <v>44062</v>
      </c>
      <c r="C189" s="53"/>
      <c r="D189" s="281">
        <v>1.1823809544245403</v>
      </c>
      <c r="E189" s="282">
        <v>121.94047619047619</v>
      </c>
      <c r="F189" s="281">
        <v>0.2432</v>
      </c>
      <c r="G189" s="281">
        <v>3.0920833405994235</v>
      </c>
      <c r="H189" s="308">
        <v>4.16</v>
      </c>
      <c r="I189" s="184"/>
      <c r="K189" s="93">
        <f>'Returns per Gal.'!J196</f>
        <v>1.1823809544245403</v>
      </c>
      <c r="L189" s="93">
        <f>'Returns per Gal.'!K196</f>
        <v>0.35084628237259813</v>
      </c>
      <c r="M189" s="93">
        <f>'Returns per Gal.'!L196</f>
        <v>5.5466666666666664E-2</v>
      </c>
      <c r="N189" s="93">
        <f>'Returns per Gal.'!M196</f>
        <v>1.5886939034638052</v>
      </c>
      <c r="O189" s="110"/>
      <c r="P189" s="108"/>
      <c r="Q189" s="93">
        <f>'Returns per Gal.'!P196</f>
        <v>1.0849415230173416</v>
      </c>
      <c r="R189" s="93">
        <f>'Returns per Gal.'!Q196</f>
        <v>0.12480000000000002</v>
      </c>
      <c r="S189" s="93">
        <f>'Returns per Gal.'!R196</f>
        <v>0.21939999999999998</v>
      </c>
      <c r="T189" s="93">
        <f>'Returns per Gal.'!S196</f>
        <v>1.4291415230173417</v>
      </c>
      <c r="U189" s="93">
        <f>'Returns per Gal.'!T196</f>
        <v>0.19624601212121212</v>
      </c>
      <c r="V189" s="93">
        <f>'Returns per Gal.'!U196</f>
        <v>1.6253875351385538</v>
      </c>
      <c r="W189" s="93">
        <f>'Returns per Gal.'!V196</f>
        <v>1.2190745860992891</v>
      </c>
      <c r="X189" s="105"/>
      <c r="Y189" s="93"/>
      <c r="Z189" s="93">
        <f>'Returns per Gal.'!Y196</f>
        <v>0.34045238044646364</v>
      </c>
      <c r="AA189" s="93">
        <f>'Returns per Gal.'!Z196</f>
        <v>0.15955238044646358</v>
      </c>
      <c r="AB189" s="93">
        <f>'Returns per Gal.'!AA196</f>
        <v>-3.6693631674748595E-2</v>
      </c>
      <c r="AC189" s="80"/>
      <c r="AD189" s="15"/>
      <c r="AE189" s="81"/>
      <c r="AF189" s="93">
        <f>'Returns per Gal.'!AE196</f>
        <v>0.3880914407230196</v>
      </c>
      <c r="AG189" s="93">
        <f>'Returns per Gal.'!AF196</f>
        <v>0.8727272727272728</v>
      </c>
      <c r="AH189" s="93">
        <f>'Returns per Gal.'!AG196</f>
        <v>1.2608187134502924</v>
      </c>
      <c r="AI189" s="105">
        <f>'Returns per Gal.'!AH196</f>
        <v>0</v>
      </c>
      <c r="AJ189" s="104">
        <f>'Returns per Gal.'!AI196</f>
        <v>0</v>
      </c>
      <c r="AK189" s="93">
        <f>'Returns per Gal.'!AJ196</f>
        <v>1.6050187134502925</v>
      </c>
      <c r="AL189" s="93">
        <f>'Returns per Gal.'!AK196</f>
        <v>1.8012647255715046</v>
      </c>
      <c r="AM189" s="105">
        <f>'Returns per Gal.'!AL196</f>
        <v>0</v>
      </c>
      <c r="AN189" s="104"/>
      <c r="AO189" s="93">
        <f>'Returns per Gal.'!AN196</f>
        <v>-1.6324809986487221E-2</v>
      </c>
      <c r="AP189" s="93">
        <f>'Returns per Gal.'!AO196</f>
        <v>-0.2125708221076994</v>
      </c>
      <c r="AQ189" s="93">
        <f>'Returns per Gal.'!AP196</f>
        <v>-3.6693631674748595E-2</v>
      </c>
      <c r="AR189" s="93">
        <f>'Returns per Gal.'!AQ196</f>
        <v>-0.1758771904329508</v>
      </c>
      <c r="AS189" s="52"/>
      <c r="AU189" s="177">
        <f>'Returns per Bu.'!G196</f>
        <v>3.0920833405994235</v>
      </c>
      <c r="AV189" s="166">
        <f>'Returns per Bu.'!N196</f>
        <v>4.5277776248718444</v>
      </c>
      <c r="AW189" s="166">
        <f>'Returns per Bu.'!O196</f>
        <v>2.9875064903263904</v>
      </c>
      <c r="AX189" s="169">
        <f>'Returns per Bu.'!Z196</f>
        <v>-3.1845024104660502E-2</v>
      </c>
      <c r="AY189" s="162">
        <f>'Returns per Bu.'!AF196</f>
        <v>3.5933333333333333</v>
      </c>
      <c r="AZ189" s="165"/>
      <c r="BA189" s="15">
        <f t="shared" si="42"/>
        <v>2.4872727272727273</v>
      </c>
      <c r="BB189" s="93">
        <f>'Returns per Bu.'!AD196</f>
        <v>1.106060606060606</v>
      </c>
      <c r="BC189" s="93">
        <f t="shared" si="43"/>
        <v>0.8727272727272728</v>
      </c>
    </row>
    <row r="190" spans="1:55" x14ac:dyDescent="0.2">
      <c r="A190" s="8">
        <v>44093</v>
      </c>
      <c r="C190" s="53"/>
      <c r="D190" s="281">
        <v>1.3026190570422582</v>
      </c>
      <c r="E190" s="282">
        <v>138.1547619047619</v>
      </c>
      <c r="F190" s="281">
        <v>0.27600000000000002</v>
      </c>
      <c r="G190" s="281">
        <v>3.5054761966069541</v>
      </c>
      <c r="H190" s="308">
        <v>4.9000000000000004</v>
      </c>
      <c r="I190" s="184"/>
      <c r="K190" s="93">
        <f>'Returns per Gal.'!J197</f>
        <v>1.3026190570422582</v>
      </c>
      <c r="L190" s="93">
        <f>'Returns per Gal.'!K197</f>
        <v>0.39749791144527979</v>
      </c>
      <c r="M190" s="93">
        <f>'Returns per Gal.'!L197</f>
        <v>6.2947368421052641E-2</v>
      </c>
      <c r="N190" s="93">
        <f>'Returns per Gal.'!M197</f>
        <v>1.7630643369085908</v>
      </c>
      <c r="O190" s="110"/>
      <c r="P190" s="108"/>
      <c r="Q190" s="93">
        <f>'Returns per Gal.'!P197</f>
        <v>1.2299916479322646</v>
      </c>
      <c r="R190" s="93">
        <f>'Returns per Gal.'!Q197</f>
        <v>0.14700000000000002</v>
      </c>
      <c r="S190" s="93">
        <f>'Returns per Gal.'!R197</f>
        <v>0.21939999999999998</v>
      </c>
      <c r="T190" s="93">
        <f>'Returns per Gal.'!S197</f>
        <v>1.5963916479322646</v>
      </c>
      <c r="U190" s="93">
        <f>'Returns per Gal.'!T197</f>
        <v>0.19624601212121212</v>
      </c>
      <c r="V190" s="93">
        <f>'Returns per Gal.'!U197</f>
        <v>1.7926376600534768</v>
      </c>
      <c r="W190" s="93">
        <f>'Returns per Gal.'!V197</f>
        <v>1.3321923801871445</v>
      </c>
      <c r="X190" s="105"/>
      <c r="Y190" s="93"/>
      <c r="Z190" s="93">
        <f>'Returns per Gal.'!Y197</f>
        <v>0.34757268897632621</v>
      </c>
      <c r="AA190" s="93">
        <f>'Returns per Gal.'!Z197</f>
        <v>0.16667268897632614</v>
      </c>
      <c r="AB190" s="93">
        <f>'Returns per Gal.'!AA197</f>
        <v>-2.9573323144886032E-2</v>
      </c>
      <c r="AC190" s="80"/>
      <c r="AD190" s="15"/>
      <c r="AE190" s="81"/>
      <c r="AF190" s="93">
        <f>'Returns per Gal.'!AE197</f>
        <v>0.44008325899494499</v>
      </c>
      <c r="AG190" s="93">
        <f>'Returns per Gal.'!AF197</f>
        <v>0.95104767568639104</v>
      </c>
      <c r="AH190" s="93">
        <f>'Returns per Gal.'!AG197</f>
        <v>1.3911309346813361</v>
      </c>
      <c r="AI190" s="105">
        <f>'Returns per Gal.'!AH197</f>
        <v>0</v>
      </c>
      <c r="AJ190" s="104">
        <f>'Returns per Gal.'!AI197</f>
        <v>0</v>
      </c>
      <c r="AK190" s="93">
        <f>'Returns per Gal.'!AJ197</f>
        <v>1.7575309346813361</v>
      </c>
      <c r="AL190" s="93">
        <f>'Returns per Gal.'!AK197</f>
        <v>1.9537769468025483</v>
      </c>
      <c r="AM190" s="105">
        <f>'Returns per Gal.'!AL197</f>
        <v>0</v>
      </c>
      <c r="AN190" s="104"/>
      <c r="AO190" s="93">
        <f>'Returns per Gal.'!AN197</f>
        <v>5.5334022272546246E-3</v>
      </c>
      <c r="AP190" s="93">
        <f>'Returns per Gal.'!AO197</f>
        <v>-0.19071260989395755</v>
      </c>
      <c r="AQ190" s="93">
        <f>'Returns per Gal.'!AP197</f>
        <v>-2.9573323144886032E-2</v>
      </c>
      <c r="AR190" s="93">
        <f>'Returns per Gal.'!AQ197</f>
        <v>-0.16113928674907152</v>
      </c>
      <c r="AS190" s="52"/>
      <c r="AU190" s="177">
        <f>'Returns per Bu.'!G197</f>
        <v>3.5054761966069541</v>
      </c>
      <c r="AV190" s="166">
        <f>'Returns per Bu.'!N197</f>
        <v>5.0247333601894839</v>
      </c>
      <c r="AW190" s="166">
        <f>'Returns per Bu.'!O197</f>
        <v>3.4211922256440297</v>
      </c>
      <c r="AX190" s="169">
        <f>'Returns per Bu.'!Z197</f>
        <v>-2.5665575889341489E-2</v>
      </c>
      <c r="AY190" s="162">
        <f>'Returns per Bu.'!AF197</f>
        <v>3.9647231638418079</v>
      </c>
      <c r="AZ190" s="165"/>
      <c r="BA190" s="15">
        <f t="shared" si="42"/>
        <v>2.7104858757062145</v>
      </c>
      <c r="BB190" s="93">
        <f>'Returns per Bu.'!AD197</f>
        <v>1.2542372881355932</v>
      </c>
      <c r="BC190" s="93">
        <f t="shared" si="43"/>
        <v>0.95104767568639104</v>
      </c>
    </row>
    <row r="191" spans="1:55" x14ac:dyDescent="0.2">
      <c r="A191" s="8">
        <v>44123</v>
      </c>
      <c r="C191" s="53"/>
      <c r="D191" s="281">
        <v>1.3699999792235238</v>
      </c>
      <c r="E191" s="282">
        <v>156.33333333333334</v>
      </c>
      <c r="F191" s="281">
        <v>0.2944</v>
      </c>
      <c r="G191" s="281">
        <v>3.8160714166504994</v>
      </c>
      <c r="H191" s="308">
        <v>4.5599999999999996</v>
      </c>
      <c r="I191" s="184"/>
      <c r="K191" s="93">
        <f>'Returns per Gal.'!J198</f>
        <v>1.3699999792235238</v>
      </c>
      <c r="L191" s="93">
        <f>'Returns per Gal.'!K198</f>
        <v>0.44980116959064326</v>
      </c>
      <c r="M191" s="93">
        <f>'Returns per Gal.'!L198</f>
        <v>6.7143859649122811E-2</v>
      </c>
      <c r="N191" s="93">
        <f>'Returns per Gal.'!M198</f>
        <v>1.8869450084632897</v>
      </c>
      <c r="O191" s="110"/>
      <c r="P191" s="108"/>
      <c r="Q191" s="93">
        <f>'Returns per Gal.'!P198</f>
        <v>1.3389724268949121</v>
      </c>
      <c r="R191" s="93">
        <f>'Returns per Gal.'!Q198</f>
        <v>0.1368</v>
      </c>
      <c r="S191" s="93">
        <f>'Returns per Gal.'!R198</f>
        <v>0.21939999999999998</v>
      </c>
      <c r="T191" s="93">
        <f>'Returns per Gal.'!S198</f>
        <v>1.6951724268949122</v>
      </c>
      <c r="U191" s="93">
        <f>'Returns per Gal.'!T198</f>
        <v>0.19624601212121212</v>
      </c>
      <c r="V191" s="93">
        <f>'Returns per Gal.'!U198</f>
        <v>1.8914184390161244</v>
      </c>
      <c r="W191" s="93">
        <f>'Returns per Gal.'!V198</f>
        <v>1.3744734097763585</v>
      </c>
      <c r="X191" s="105"/>
      <c r="Y191" s="93"/>
      <c r="Z191" s="93">
        <f>'Returns per Gal.'!Y198</f>
        <v>0.37267258156837757</v>
      </c>
      <c r="AA191" s="93">
        <f>'Returns per Gal.'!Z198</f>
        <v>0.19177258156837751</v>
      </c>
      <c r="AB191" s="93">
        <f>'Returns per Gal.'!AA198</f>
        <v>-4.4734305528346674E-3</v>
      </c>
      <c r="AC191" s="80"/>
      <c r="AD191" s="15"/>
      <c r="AE191" s="81"/>
      <c r="AF191" s="93">
        <f>'Returns per Gal.'!AE198</f>
        <v>0.44008325899494499</v>
      </c>
      <c r="AG191" s="93">
        <f>'Returns per Gal.'!AF198</f>
        <v>0.95104767568639104</v>
      </c>
      <c r="AH191" s="93">
        <f>'Returns per Gal.'!AG198</f>
        <v>1.3911309346813361</v>
      </c>
      <c r="AI191" s="105">
        <f>'Returns per Gal.'!AH198</f>
        <v>0</v>
      </c>
      <c r="AJ191" s="104">
        <f>'Returns per Gal.'!AI198</f>
        <v>0</v>
      </c>
      <c r="AK191" s="93">
        <f>'Returns per Gal.'!AJ198</f>
        <v>1.7473309346813362</v>
      </c>
      <c r="AL191" s="93">
        <f>'Returns per Gal.'!AK198</f>
        <v>1.9435769468025483</v>
      </c>
      <c r="AM191" s="105">
        <f>'Returns per Gal.'!AL198</f>
        <v>0</v>
      </c>
      <c r="AN191" s="104"/>
      <c r="AO191" s="93">
        <f>'Returns per Gal.'!AN198</f>
        <v>0.13961407378195356</v>
      </c>
      <c r="AP191" s="93">
        <f>'Returns per Gal.'!AO198</f>
        <v>-5.6631938339258614E-2</v>
      </c>
      <c r="AQ191" s="93">
        <f>'Returns per Gal.'!AP198</f>
        <v>-4.4734305528346674E-3</v>
      </c>
      <c r="AR191" s="93">
        <f>'Returns per Gal.'!AQ198</f>
        <v>-5.2158507786423947E-2</v>
      </c>
      <c r="AS191" s="52"/>
      <c r="AU191" s="177">
        <f>'Returns per Bu.'!G198</f>
        <v>3.8160714166504994</v>
      </c>
      <c r="AV191" s="166">
        <f>'Returns per Bu.'!N198</f>
        <v>5.3777932741203767</v>
      </c>
      <c r="AW191" s="166">
        <f>'Returns per Bu.'!O198</f>
        <v>3.8033221395749224</v>
      </c>
      <c r="AX191" s="169">
        <f>'Returns per Bu.'!Z198</f>
        <v>-3.8823222800145937E-3</v>
      </c>
      <c r="AY191" s="162">
        <f>'Returns per Bu.'!AF198</f>
        <v>3.9647231638418079</v>
      </c>
      <c r="AZ191" s="165"/>
      <c r="BA191" s="15">
        <f t="shared" si="42"/>
        <v>2.7104858757062145</v>
      </c>
      <c r="BB191" s="93">
        <f>'Returns per Bu.'!AD198</f>
        <v>1.2542372881355932</v>
      </c>
      <c r="BC191" s="93">
        <f t="shared" si="43"/>
        <v>0.95104767568639104</v>
      </c>
    </row>
    <row r="192" spans="1:55" x14ac:dyDescent="0.2">
      <c r="A192" s="8">
        <v>44154</v>
      </c>
      <c r="C192" s="53"/>
      <c r="D192" s="281">
        <v>1.3832352967823254</v>
      </c>
      <c r="E192" s="282">
        <v>183.76470588235293</v>
      </c>
      <c r="F192" s="281">
        <v>0.32530000000000003</v>
      </c>
      <c r="G192" s="281">
        <v>4.0791776180267334</v>
      </c>
      <c r="H192" s="308">
        <v>5.65</v>
      </c>
      <c r="I192" s="184"/>
      <c r="K192" s="93">
        <f>'Returns per Gal.'!J199</f>
        <v>1.3832352967823254</v>
      </c>
      <c r="L192" s="93">
        <f>'Returns per Gal.'!K199</f>
        <v>0.52872652218782246</v>
      </c>
      <c r="M192" s="93">
        <f>'Returns per Gal.'!L199</f>
        <v>7.4191228070175447E-2</v>
      </c>
      <c r="N192" s="93">
        <f>'Returns per Gal.'!M199</f>
        <v>1.9861530470403235</v>
      </c>
      <c r="O192" s="110"/>
      <c r="P192" s="108"/>
      <c r="Q192" s="93">
        <f>'Returns per Gal.'!P199</f>
        <v>1.4312903922900819</v>
      </c>
      <c r="R192" s="93">
        <f>'Returns per Gal.'!Q199</f>
        <v>0.16950000000000001</v>
      </c>
      <c r="S192" s="93">
        <f>'Returns per Gal.'!R199</f>
        <v>0.21939999999999998</v>
      </c>
      <c r="T192" s="93">
        <f>'Returns per Gal.'!S199</f>
        <v>1.8201903922900819</v>
      </c>
      <c r="U192" s="93">
        <f>'Returns per Gal.'!T199</f>
        <v>0.19624601212121212</v>
      </c>
      <c r="V192" s="93">
        <f>'Returns per Gal.'!U199</f>
        <v>2.0164364044112939</v>
      </c>
      <c r="W192" s="93">
        <f>'Returns per Gal.'!V199</f>
        <v>1.4135186541532958</v>
      </c>
      <c r="X192" s="105"/>
      <c r="Y192" s="93"/>
      <c r="Z192" s="93">
        <f>'Returns per Gal.'!Y199</f>
        <v>0.34686265475024158</v>
      </c>
      <c r="AA192" s="93">
        <f>'Returns per Gal.'!Z199</f>
        <v>0.16596265475024152</v>
      </c>
      <c r="AB192" s="93">
        <f>'Returns per Gal.'!AA199</f>
        <v>-3.0283357370970432E-2</v>
      </c>
      <c r="AC192" s="80"/>
      <c r="AD192" s="15"/>
      <c r="AE192" s="81"/>
      <c r="AF192" s="93">
        <f>'Returns per Gal.'!AE199</f>
        <v>0.44008325899494499</v>
      </c>
      <c r="AG192" s="93">
        <f>'Returns per Gal.'!AF199</f>
        <v>0.95104767568639104</v>
      </c>
      <c r="AH192" s="93">
        <f>'Returns per Gal.'!AG199</f>
        <v>1.3911309346813361</v>
      </c>
      <c r="AI192" s="105">
        <f>'Returns per Gal.'!AH199</f>
        <v>0</v>
      </c>
      <c r="AJ192" s="104">
        <f>'Returns per Gal.'!AI199</f>
        <v>0</v>
      </c>
      <c r="AK192" s="93">
        <f>'Returns per Gal.'!AJ199</f>
        <v>1.7800309346813361</v>
      </c>
      <c r="AL192" s="93">
        <f>'Returns per Gal.'!AK199</f>
        <v>1.9762769468025483</v>
      </c>
      <c r="AM192" s="105">
        <f>'Returns per Gal.'!AL199</f>
        <v>0</v>
      </c>
      <c r="AN192" s="104"/>
      <c r="AO192" s="93">
        <f>'Returns per Gal.'!AN199</f>
        <v>0.20612211235898736</v>
      </c>
      <c r="AP192" s="93">
        <f>'Returns per Gal.'!AO199</f>
        <v>9.8761002377751872E-3</v>
      </c>
      <c r="AQ192" s="93">
        <f>'Returns per Gal.'!AP199</f>
        <v>-3.0283357370970654E-2</v>
      </c>
      <c r="AR192" s="93">
        <f>'Returns per Gal.'!AQ199</f>
        <v>4.0159457608745841E-2</v>
      </c>
      <c r="AS192" s="52"/>
      <c r="AU192" s="177">
        <f>'Returns per Bu.'!G199</f>
        <v>4.0791776180267334</v>
      </c>
      <c r="AV192" s="166">
        <f>'Returns per Bu.'!N199</f>
        <v>5.6605361840649211</v>
      </c>
      <c r="AW192" s="166">
        <f>'Returns per Bu.'!O199</f>
        <v>3.9928700495194667</v>
      </c>
      <c r="AX192" s="169">
        <f>'Returns per Bu.'!Z199</f>
        <v>-2.6281787913412468E-2</v>
      </c>
      <c r="AY192" s="162">
        <f>'Returns per Bu.'!AF199</f>
        <v>3.9647231638418079</v>
      </c>
      <c r="AZ192" s="165"/>
      <c r="BA192" s="15">
        <f t="shared" si="42"/>
        <v>2.7104858757062145</v>
      </c>
      <c r="BB192" s="93">
        <f>'Returns per Bu.'!AD199</f>
        <v>1.2542372881355932</v>
      </c>
      <c r="BC192" s="93">
        <f t="shared" si="43"/>
        <v>0.95104767568639104</v>
      </c>
    </row>
    <row r="193" spans="1:55" x14ac:dyDescent="0.2">
      <c r="A193" s="68">
        <v>44184</v>
      </c>
      <c r="B193" s="64"/>
      <c r="C193" s="56"/>
      <c r="D193" s="284">
        <v>1.2119047499838329</v>
      </c>
      <c r="E193" s="285">
        <v>204.0595238095238</v>
      </c>
      <c r="F193" s="284">
        <v>0.34770000000000001</v>
      </c>
      <c r="G193" s="284">
        <v>4.254047603834243</v>
      </c>
      <c r="H193" s="309">
        <v>5.16</v>
      </c>
      <c r="I193" s="187"/>
      <c r="J193" s="29"/>
      <c r="K193" s="97">
        <f>'Returns per Gal.'!J200</f>
        <v>1.2119047499838329</v>
      </c>
      <c r="L193" s="97">
        <f>'Returns per Gal.'!K200</f>
        <v>0.58711862990810348</v>
      </c>
      <c r="M193" s="97">
        <f>'Returns per Gal.'!L200</f>
        <v>7.9299999999999995E-2</v>
      </c>
      <c r="N193" s="97">
        <f>'Returns per Gal.'!M200</f>
        <v>1.8783233798919363</v>
      </c>
      <c r="O193" s="113"/>
      <c r="P193" s="111"/>
      <c r="Q193" s="97">
        <f>'Returns per Gal.'!P200</f>
        <v>1.4926482820471028</v>
      </c>
      <c r="R193" s="97">
        <f>'Returns per Gal.'!Q200</f>
        <v>0.15480000000000002</v>
      </c>
      <c r="S193" s="97">
        <f>'Returns per Gal.'!R200</f>
        <v>0.21939999999999998</v>
      </c>
      <c r="T193" s="97">
        <f>'Returns per Gal.'!S200</f>
        <v>1.8668482820471028</v>
      </c>
      <c r="U193" s="97">
        <f>'Returns per Gal.'!T200</f>
        <v>0.19624601212121212</v>
      </c>
      <c r="V193" s="97">
        <f>'Returns per Gal.'!U200</f>
        <v>2.063094294168315</v>
      </c>
      <c r="W193" s="97">
        <f>'Returns per Gal.'!V200</f>
        <v>1.3966756642602116</v>
      </c>
      <c r="X193" s="107"/>
      <c r="Y193" s="97"/>
      <c r="Z193" s="97">
        <f>'Returns per Gal.'!Y200</f>
        <v>0.19237509784483353</v>
      </c>
      <c r="AA193" s="97">
        <f>'Returns per Gal.'!Z200</f>
        <v>1.1475097844833471E-2</v>
      </c>
      <c r="AB193" s="97">
        <f>'Returns per Gal.'!AA200</f>
        <v>-0.18477091427637871</v>
      </c>
      <c r="AC193" s="82"/>
      <c r="AD193" s="65"/>
      <c r="AE193" s="83"/>
      <c r="AF193" s="97">
        <f>'Returns per Gal.'!AE200</f>
        <v>0.44008325899494499</v>
      </c>
      <c r="AG193" s="97">
        <f>'Returns per Gal.'!AF200</f>
        <v>0.95104767568639104</v>
      </c>
      <c r="AH193" s="97">
        <f>'Returns per Gal.'!AG200</f>
        <v>1.3911309346813361</v>
      </c>
      <c r="AI193" s="107">
        <f>'Returns per Gal.'!AH200</f>
        <v>0</v>
      </c>
      <c r="AJ193" s="106">
        <f>'Returns per Gal.'!AI200</f>
        <v>0</v>
      </c>
      <c r="AK193" s="97">
        <f>'Returns per Gal.'!AJ200</f>
        <v>1.7653309346813362</v>
      </c>
      <c r="AL193" s="97">
        <f>'Returns per Gal.'!AK200</f>
        <v>1.9615769468025483</v>
      </c>
      <c r="AM193" s="107">
        <f>'Returns per Gal.'!AL200</f>
        <v>0</v>
      </c>
      <c r="AN193" s="106"/>
      <c r="AO193" s="97">
        <f>'Returns per Gal.'!AN200</f>
        <v>0.11299244521060015</v>
      </c>
      <c r="AP193" s="97">
        <f>'Returns per Gal.'!AO200</f>
        <v>-8.3253566910612031E-2</v>
      </c>
      <c r="AQ193" s="97">
        <f>'Returns per Gal.'!AP200</f>
        <v>-0.18477091427637871</v>
      </c>
      <c r="AR193" s="97">
        <f>'Returns per Gal.'!AQ200</f>
        <v>0.10151734736576667</v>
      </c>
      <c r="AS193" s="64"/>
      <c r="AT193" s="29"/>
      <c r="AU193" s="178">
        <f>'Returns per Bu.'!G200</f>
        <v>4.254047603834243</v>
      </c>
      <c r="AV193" s="167">
        <f>'Returns per Bu.'!N200</f>
        <v>5.3532216326920183</v>
      </c>
      <c r="AW193" s="167">
        <f>'Returns per Bu.'!O200</f>
        <v>3.7274504981465642</v>
      </c>
      <c r="AX193" s="170">
        <f>'Returns per Bu.'!Z200</f>
        <v>-0.16035573341792339</v>
      </c>
      <c r="AY193" s="163">
        <f>'Returns per Bu.'!AF200</f>
        <v>3.9647231638418079</v>
      </c>
      <c r="AZ193" s="164"/>
      <c r="BA193" s="65">
        <f t="shared" si="42"/>
        <v>2.7104858757062145</v>
      </c>
      <c r="BB193" s="97">
        <f>'Returns per Bu.'!AD200</f>
        <v>1.2542372881355932</v>
      </c>
      <c r="BC193" s="97">
        <f t="shared" si="43"/>
        <v>0.95104767568639104</v>
      </c>
    </row>
    <row r="194" spans="1:55" x14ac:dyDescent="0.2">
      <c r="A194" s="21">
        <v>44215</v>
      </c>
      <c r="C194" s="53"/>
      <c r="D194" s="93">
        <v>1.3913157976301094</v>
      </c>
      <c r="E194" s="95">
        <v>216.55263157894737</v>
      </c>
      <c r="F194" s="319">
        <v>0.39390000000000003</v>
      </c>
      <c r="G194" s="93">
        <v>4.9731578990032794</v>
      </c>
      <c r="H194" s="308">
        <v>4.47</v>
      </c>
      <c r="I194" s="184"/>
      <c r="J194" s="12"/>
      <c r="K194" s="93">
        <f>'Returns per Gal.'!J201</f>
        <v>1.3913157976301094</v>
      </c>
      <c r="L194" s="93">
        <f>'Returns per Gal.'!K201</f>
        <v>0.62306371191135723</v>
      </c>
      <c r="M194" s="93">
        <f>'Returns per Gal.'!L201</f>
        <v>8.9836842105263159E-2</v>
      </c>
      <c r="N194" s="93">
        <f>'Returns per Gal.'!M201</f>
        <v>2.10421635164673</v>
      </c>
      <c r="O194" s="110">
        <f>'Returns per Gal.'!N201</f>
        <v>0</v>
      </c>
      <c r="P194" s="108">
        <f>'Returns per Gal.'!O201</f>
        <v>0</v>
      </c>
      <c r="Q194" s="93">
        <f>'Returns per Gal.'!P201</f>
        <v>1.7449676838607997</v>
      </c>
      <c r="R194" s="93">
        <f>'Returns per Gal.'!Q201</f>
        <v>0.1341</v>
      </c>
      <c r="S194" s="93">
        <f>'Returns per Gal.'!R201</f>
        <v>0.21939999999999998</v>
      </c>
      <c r="T194" s="93">
        <f>'Returns per Gal.'!S201</f>
        <v>2.0984676838607994</v>
      </c>
      <c r="U194" s="93">
        <f>'Returns per Gal.'!T201</f>
        <v>0.19624601212121212</v>
      </c>
      <c r="V194" s="93">
        <f>'Returns per Gal.'!U201</f>
        <v>2.2947136959820114</v>
      </c>
      <c r="W194" s="93">
        <f>'Returns per Gal.'!V201</f>
        <v>1.5818131419653911</v>
      </c>
      <c r="X194" s="105"/>
      <c r="Y194" s="93">
        <f>'Returns per Gal.'!V201</f>
        <v>1.5818131419653911</v>
      </c>
      <c r="Z194" s="93">
        <f>'Returns per Gal.'!Y201</f>
        <v>0.18664866778593034</v>
      </c>
      <c r="AA194" s="93">
        <f>'Returns per Gal.'!Z201</f>
        <v>5.748667785930639E-3</v>
      </c>
      <c r="AB194" s="93">
        <f>'Returns per Gal.'!AA201</f>
        <v>-0.19049734433528132</v>
      </c>
      <c r="AC194" s="80">
        <f>'Returns per Gal.'!AB201</f>
        <v>0</v>
      </c>
      <c r="AD194" s="15">
        <f>'Returns per Gal.'!AC201</f>
        <v>0</v>
      </c>
      <c r="AE194" s="81">
        <f>'Returns per Gal.'!AD201</f>
        <v>0</v>
      </c>
      <c r="AF194" s="93">
        <f>'Returns per Gal.'!AE201</f>
        <v>0.44008325899494499</v>
      </c>
      <c r="AG194" s="93">
        <f>'Returns per Gal.'!AF201</f>
        <v>0.95104767568639104</v>
      </c>
      <c r="AH194" s="93">
        <f>'Returns per Gal.'!AG201</f>
        <v>1.3911309346813361</v>
      </c>
      <c r="AI194" s="105">
        <f>'Returns per Gal.'!AH201</f>
        <v>0</v>
      </c>
      <c r="AJ194" s="104">
        <f>'Returns per Gal.'!AI201</f>
        <v>0</v>
      </c>
      <c r="AK194" s="93">
        <f>'Returns per Gal.'!AJ201</f>
        <v>1.744630934681336</v>
      </c>
      <c r="AL194" s="93">
        <f>'Returns per Gal.'!AK201</f>
        <v>1.9408769468025482</v>
      </c>
      <c r="AM194" s="105">
        <f>'Returns per Gal.'!AL201</f>
        <v>0</v>
      </c>
      <c r="AN194" s="104"/>
      <c r="AO194" s="93">
        <f>'Returns per Gal.'!AN201</f>
        <v>0.35958541696539403</v>
      </c>
      <c r="AP194" s="93">
        <f>'Returns per Gal.'!AO201</f>
        <v>0.16333940484418186</v>
      </c>
      <c r="AQ194" s="93">
        <f>'Returns per Gal.'!AP201</f>
        <v>-0.19049734433528176</v>
      </c>
      <c r="AR194" s="93">
        <f>'Returns per Gal.'!AQ201</f>
        <v>0.35383674917946362</v>
      </c>
      <c r="AS194" s="52"/>
      <c r="AU194" s="177">
        <f>'Returns per Bu.'!G201</f>
        <v>4.9731578990032794</v>
      </c>
      <c r="AV194" s="166">
        <f>'Returns per Bu.'!N201</f>
        <v>5.9970166021931801</v>
      </c>
      <c r="AW194" s="166">
        <f>'Returns per Bu.'!O201</f>
        <v>4.4302404676477263</v>
      </c>
      <c r="AX194" s="169">
        <f>'Returns per Bu.'!Z201</f>
        <v>-0.1653254868856599</v>
      </c>
      <c r="AY194" s="162">
        <f>'Returns per Bu.'!AF201</f>
        <v>3.9647231638418079</v>
      </c>
      <c r="AZ194" s="165"/>
      <c r="BA194" s="15">
        <f t="shared" si="42"/>
        <v>2.7104858757062145</v>
      </c>
      <c r="BB194" s="93">
        <f>'Returns per Bu.'!AD201</f>
        <v>1.2542372881355932</v>
      </c>
      <c r="BC194" s="93">
        <f t="shared" si="43"/>
        <v>0.95104767568639104</v>
      </c>
    </row>
    <row r="195" spans="1:55" x14ac:dyDescent="0.2">
      <c r="A195" s="8">
        <v>44246</v>
      </c>
      <c r="C195" s="53"/>
      <c r="D195" s="93">
        <v>1.5415789359494259</v>
      </c>
      <c r="E195" s="95">
        <v>230.19736842105263</v>
      </c>
      <c r="F195" s="319">
        <v>0.43180000000000002</v>
      </c>
      <c r="G195" s="93">
        <v>5.3529276283163769</v>
      </c>
      <c r="H195" s="308">
        <v>7.38</v>
      </c>
      <c r="I195" s="184"/>
      <c r="J195" s="12"/>
      <c r="K195" s="93">
        <f>'Returns per Gal.'!J202</f>
        <v>1.5415789359494259</v>
      </c>
      <c r="L195" s="93">
        <f>'Returns per Gal.'!K202</f>
        <v>0.66232225300092329</v>
      </c>
      <c r="M195" s="93">
        <f>'Returns per Gal.'!L202</f>
        <v>9.8480701754385974E-2</v>
      </c>
      <c r="N195" s="93">
        <f>'Returns per Gal.'!M202</f>
        <v>2.3023818907047353</v>
      </c>
      <c r="O195" s="110">
        <f>'Returns per Gal.'!N202</f>
        <v>0</v>
      </c>
      <c r="P195" s="108">
        <f>'Returns per Gal.'!O202</f>
        <v>0</v>
      </c>
      <c r="Q195" s="93">
        <f>'Returns per Gal.'!P202</f>
        <v>1.8782202204618865</v>
      </c>
      <c r="R195" s="93">
        <f>'Returns per Gal.'!Q202</f>
        <v>0.22140000000000001</v>
      </c>
      <c r="S195" s="93">
        <f>'Returns per Gal.'!R202</f>
        <v>0.21939999999999998</v>
      </c>
      <c r="T195" s="93">
        <f>'Returns per Gal.'!S202</f>
        <v>2.3190202204618862</v>
      </c>
      <c r="U195" s="93">
        <f>'Returns per Gal.'!T202</f>
        <v>0.19624601212121212</v>
      </c>
      <c r="V195" s="93">
        <f>'Returns per Gal.'!U202</f>
        <v>2.5152662325830981</v>
      </c>
      <c r="W195" s="93">
        <f>'Returns per Gal.'!V202</f>
        <v>1.7544632778277887</v>
      </c>
      <c r="X195" s="105"/>
      <c r="Y195" s="93">
        <f>'Returns per Gal.'!V202</f>
        <v>1.7544632778277887</v>
      </c>
      <c r="Z195" s="93">
        <f>'Returns per Gal.'!Y202</f>
        <v>0.16426167024284877</v>
      </c>
      <c r="AA195" s="93">
        <f>'Returns per Gal.'!Z202</f>
        <v>-1.6638329757150849E-2</v>
      </c>
      <c r="AB195" s="93">
        <f>'Returns per Gal.'!AA202</f>
        <v>-0.2128843418783628</v>
      </c>
      <c r="AC195" s="80">
        <f>'Returns per Gal.'!AB202</f>
        <v>0</v>
      </c>
      <c r="AD195" s="15">
        <f>'Returns per Gal.'!AC202</f>
        <v>0</v>
      </c>
      <c r="AE195" s="81">
        <f>'Returns per Gal.'!AD202</f>
        <v>0</v>
      </c>
      <c r="AF195" s="93">
        <f>'Returns per Gal.'!AE202</f>
        <v>0.44008325899494499</v>
      </c>
      <c r="AG195" s="93">
        <f>'Returns per Gal.'!AF202</f>
        <v>0.95104767568639104</v>
      </c>
      <c r="AH195" s="93">
        <f>'Returns per Gal.'!AG202</f>
        <v>1.3911309346813361</v>
      </c>
      <c r="AI195" s="105">
        <f>'Returns per Gal.'!AH202</f>
        <v>0</v>
      </c>
      <c r="AJ195" s="104">
        <f>'Returns per Gal.'!AI202</f>
        <v>0</v>
      </c>
      <c r="AK195" s="93">
        <f>'Returns per Gal.'!AJ202</f>
        <v>1.8319309346813362</v>
      </c>
      <c r="AL195" s="93">
        <f>'Returns per Gal.'!AK202</f>
        <v>2.0281769468025481</v>
      </c>
      <c r="AM195" s="105">
        <f>'Returns per Gal.'!AL202</f>
        <v>0</v>
      </c>
      <c r="AN195" s="104"/>
      <c r="AO195" s="93">
        <f>'Returns per Gal.'!AN202</f>
        <v>0.47045095602339915</v>
      </c>
      <c r="AP195" s="93">
        <f>'Returns per Gal.'!AO202</f>
        <v>0.27420494390218719</v>
      </c>
      <c r="AQ195" s="93">
        <f>'Returns per Gal.'!AP202</f>
        <v>-0.21288434187836325</v>
      </c>
      <c r="AR195" s="93">
        <f>'Returns per Gal.'!AQ202</f>
        <v>0.48708928578055044</v>
      </c>
      <c r="AS195" s="52"/>
      <c r="AU195" s="177">
        <f>'Returns per Bu.'!G202</f>
        <v>5.3529276283163769</v>
      </c>
      <c r="AV195" s="166">
        <f>'Returns per Bu.'!N202</f>
        <v>6.5617883885084956</v>
      </c>
      <c r="AW195" s="166">
        <f>'Returns per Bu.'!O202</f>
        <v>4.7462072539630418</v>
      </c>
      <c r="AX195" s="169">
        <f>'Returns per Bu.'!Z202</f>
        <v>-0.18475432082364843</v>
      </c>
      <c r="AY195" s="162">
        <f>'Returns per Bu.'!AF202</f>
        <v>3.9647231638418079</v>
      </c>
      <c r="AZ195" s="165"/>
      <c r="BA195" s="15">
        <f t="shared" si="42"/>
        <v>2.7104858757062145</v>
      </c>
      <c r="BB195" s="93">
        <f>'Returns per Bu.'!AD202</f>
        <v>1.2542372881355932</v>
      </c>
      <c r="BC195" s="93">
        <f t="shared" si="43"/>
        <v>0.95104767568639104</v>
      </c>
    </row>
    <row r="196" spans="1:55" x14ac:dyDescent="0.2">
      <c r="A196" s="8">
        <v>44274</v>
      </c>
      <c r="C196" s="53"/>
      <c r="D196" s="93">
        <v>1.7289130506308183</v>
      </c>
      <c r="E196" s="95">
        <v>222.41304347826087</v>
      </c>
      <c r="F196" s="319">
        <v>0.50340000000000007</v>
      </c>
      <c r="G196" s="93">
        <v>5.3846739115922349</v>
      </c>
      <c r="H196" s="308">
        <v>6.37</v>
      </c>
      <c r="I196" s="184"/>
      <c r="J196" s="12"/>
      <c r="K196" s="93">
        <f>'Returns per Gal.'!J203</f>
        <v>1.7289130506308183</v>
      </c>
      <c r="L196" s="93">
        <f>'Returns per Gal.'!K203</f>
        <v>0.6399252479023646</v>
      </c>
      <c r="M196" s="93">
        <f>'Returns per Gal.'!L203</f>
        <v>0.11481052631578949</v>
      </c>
      <c r="N196" s="93">
        <f>'Returns per Gal.'!M203</f>
        <v>2.4836488248489723</v>
      </c>
      <c r="O196" s="110">
        <f>'Returns per Gal.'!N203</f>
        <v>0</v>
      </c>
      <c r="P196" s="108">
        <f>'Returns per Gal.'!O203</f>
        <v>0</v>
      </c>
      <c r="Q196" s="93">
        <f>'Returns per Gal.'!P203</f>
        <v>1.8893592672253454</v>
      </c>
      <c r="R196" s="93">
        <f>'Returns per Gal.'!Q203</f>
        <v>0.19109999999999999</v>
      </c>
      <c r="S196" s="93">
        <f>'Returns per Gal.'!R203</f>
        <v>0.21939999999999998</v>
      </c>
      <c r="T196" s="93">
        <f>'Returns per Gal.'!S203</f>
        <v>2.2998592672253451</v>
      </c>
      <c r="U196" s="93">
        <f>'Returns per Gal.'!T203</f>
        <v>0.19624601212121212</v>
      </c>
      <c r="V196" s="93">
        <f>'Returns per Gal.'!U203</f>
        <v>2.496105279346557</v>
      </c>
      <c r="W196" s="93">
        <f>'Returns per Gal.'!V203</f>
        <v>1.7413695051284028</v>
      </c>
      <c r="X196" s="105"/>
      <c r="Y196" s="93">
        <f>'Returns per Gal.'!V203</f>
        <v>1.7413695051284028</v>
      </c>
      <c r="Z196" s="93">
        <f>'Returns per Gal.'!Y203</f>
        <v>0.36468955762362693</v>
      </c>
      <c r="AA196" s="93">
        <f>'Returns per Gal.'!Z203</f>
        <v>0.18378955762362725</v>
      </c>
      <c r="AB196" s="93">
        <f>'Returns per Gal.'!AA203</f>
        <v>-1.2456454497584701E-2</v>
      </c>
      <c r="AC196" s="80">
        <f>'Returns per Gal.'!AB203</f>
        <v>0</v>
      </c>
      <c r="AD196" s="15">
        <f>'Returns per Gal.'!AC203</f>
        <v>0</v>
      </c>
      <c r="AE196" s="81">
        <f>'Returns per Gal.'!AD203</f>
        <v>0</v>
      </c>
      <c r="AF196" s="93">
        <f>'Returns per Gal.'!AE203</f>
        <v>0.44008325899494499</v>
      </c>
      <c r="AG196" s="93">
        <f>'Returns per Gal.'!AF203</f>
        <v>0.95104767568639104</v>
      </c>
      <c r="AH196" s="93">
        <f>'Returns per Gal.'!AG203</f>
        <v>1.3911309346813361</v>
      </c>
      <c r="AI196" s="105">
        <f>'Returns per Gal.'!AH203</f>
        <v>0</v>
      </c>
      <c r="AJ196" s="104">
        <f>'Returns per Gal.'!AI203</f>
        <v>0</v>
      </c>
      <c r="AK196" s="93">
        <f>'Returns per Gal.'!AJ203</f>
        <v>1.8016309346813362</v>
      </c>
      <c r="AL196" s="93">
        <f>'Returns per Gal.'!AK203</f>
        <v>1.9978769468025483</v>
      </c>
      <c r="AM196" s="105">
        <f>'Returns per Gal.'!AL203</f>
        <v>0</v>
      </c>
      <c r="AN196" s="104"/>
      <c r="AO196" s="93">
        <f>'Returns per Gal.'!AN203</f>
        <v>0.68201789016763614</v>
      </c>
      <c r="AP196" s="93">
        <f>'Returns per Gal.'!AO203</f>
        <v>0.48577187804642397</v>
      </c>
      <c r="AQ196" s="93">
        <f>'Returns per Gal.'!AP203</f>
        <v>-1.2456454497585367E-2</v>
      </c>
      <c r="AR196" s="93">
        <f>'Returns per Gal.'!AQ203</f>
        <v>0.49822833254400933</v>
      </c>
      <c r="AS196" s="52"/>
      <c r="AU196" s="177">
        <f>'Returns per Bu.'!G203</f>
        <v>5.3846739115922349</v>
      </c>
      <c r="AV196" s="166">
        <f>'Returns per Bu.'!N203</f>
        <v>7.078399150819572</v>
      </c>
      <c r="AW196" s="166">
        <f>'Returns per Bu.'!O203</f>
        <v>5.3491730162741176</v>
      </c>
      <c r="AX196" s="169">
        <f>'Returns per Bu.'!Z203</f>
        <v>-1.0810488785910581E-2</v>
      </c>
      <c r="AY196" s="162">
        <f>'Returns per Bu.'!AF203</f>
        <v>3.9647231638418079</v>
      </c>
      <c r="AZ196" s="165"/>
      <c r="BA196" s="15">
        <f t="shared" si="42"/>
        <v>2.7104858757062145</v>
      </c>
      <c r="BB196" s="93">
        <f>'Returns per Bu.'!AD203</f>
        <v>1.2542372881355932</v>
      </c>
      <c r="BC196" s="93">
        <f t="shared" si="43"/>
        <v>0.95104767568639104</v>
      </c>
    </row>
    <row r="197" spans="1:55" x14ac:dyDescent="0.2">
      <c r="A197" s="8">
        <v>44305</v>
      </c>
      <c r="C197" s="53"/>
      <c r="D197" s="281">
        <v>1.978095219248817</v>
      </c>
      <c r="E197" s="282">
        <v>203.77380952380952</v>
      </c>
      <c r="F197" s="319">
        <v>0.52139999999999997</v>
      </c>
      <c r="G197" s="281">
        <v>6.0182440564745949</v>
      </c>
      <c r="H197" s="308">
        <v>5.88</v>
      </c>
      <c r="I197" s="184"/>
      <c r="J197" s="12"/>
      <c r="K197" s="93">
        <f>'Returns per Gal.'!J204</f>
        <v>1.978095219248817</v>
      </c>
      <c r="L197" s="93">
        <f>'Returns per Gal.'!K204</f>
        <v>0.58629657477025887</v>
      </c>
      <c r="M197" s="93">
        <f>'Returns per Gal.'!L204</f>
        <v>0.1189157894736842</v>
      </c>
      <c r="N197" s="93">
        <f>'Returns per Gal.'!M204</f>
        <v>2.68330758349276</v>
      </c>
      <c r="O197" s="110"/>
      <c r="P197" s="108"/>
      <c r="Q197" s="93">
        <f>'Returns per Gal.'!P204</f>
        <v>2.1116645812191561</v>
      </c>
      <c r="R197" s="93">
        <f>'Returns per Gal.'!Q204</f>
        <v>0.1764</v>
      </c>
      <c r="S197" s="93">
        <f>'Returns per Gal.'!R204</f>
        <v>0.21939999999999998</v>
      </c>
      <c r="T197" s="93">
        <f>'Returns per Gal.'!S204</f>
        <v>2.5074645812191561</v>
      </c>
      <c r="U197" s="93">
        <f>'Returns per Gal.'!T204</f>
        <v>0.19624601212121212</v>
      </c>
      <c r="V197" s="93">
        <f>'Returns per Gal.'!U204</f>
        <v>2.703710593340368</v>
      </c>
      <c r="W197" s="93">
        <f>'Returns per Gal.'!V204</f>
        <v>1.998498229096425</v>
      </c>
      <c r="X197" s="105"/>
      <c r="Y197" s="93"/>
      <c r="Z197" s="93">
        <f>'Returns per Gal.'!Y204</f>
        <v>0.35674300227360389</v>
      </c>
      <c r="AA197" s="93">
        <f>'Returns per Gal.'!Z204</f>
        <v>0.17584300227360394</v>
      </c>
      <c r="AB197" s="93">
        <f>'Returns per Gal.'!AA204</f>
        <v>-2.0403009847608011E-2</v>
      </c>
      <c r="AC197" s="80"/>
      <c r="AD197" s="15"/>
      <c r="AE197" s="81"/>
      <c r="AF197" s="93">
        <f>'Returns per Gal.'!AE204</f>
        <v>0.44008325899494499</v>
      </c>
      <c r="AG197" s="93">
        <f>'Returns per Gal.'!AF204</f>
        <v>0.95104767568639104</v>
      </c>
      <c r="AH197" s="93">
        <f>'Returns per Gal.'!AG204</f>
        <v>1.3911309346813361</v>
      </c>
      <c r="AI197" s="105">
        <f>'Returns per Gal.'!AH204</f>
        <v>0</v>
      </c>
      <c r="AJ197" s="104">
        <f>'Returns per Gal.'!AI204</f>
        <v>0</v>
      </c>
      <c r="AK197" s="93">
        <f>'Returns per Gal.'!AJ204</f>
        <v>1.786930934681336</v>
      </c>
      <c r="AL197" s="93">
        <f>'Returns per Gal.'!AK204</f>
        <v>1.9831769468025482</v>
      </c>
      <c r="AM197" s="105">
        <f>'Returns per Gal.'!AL204</f>
        <v>0</v>
      </c>
      <c r="AN197" s="104"/>
      <c r="AO197" s="93">
        <f>'Returns per Gal.'!AN204</f>
        <v>0.89637664881142398</v>
      </c>
      <c r="AP197" s="93">
        <f>'Returns per Gal.'!AO204</f>
        <v>0.70013063669021181</v>
      </c>
      <c r="AQ197" s="93">
        <f>'Returns per Gal.'!AP204</f>
        <v>-2.0403009847608233E-2</v>
      </c>
      <c r="AR197" s="93">
        <f>'Returns per Gal.'!AQ204</f>
        <v>0.72053364653782004</v>
      </c>
      <c r="AS197" s="52"/>
      <c r="AU197" s="177">
        <f>'Returns per Bu.'!G204</f>
        <v>6.0182440564745949</v>
      </c>
      <c r="AV197" s="166">
        <f>'Returns per Bu.'!N204</f>
        <v>7.6474266129543675</v>
      </c>
      <c r="AW197" s="166">
        <f>'Returns per Bu.'!O204</f>
        <v>5.9600954784089133</v>
      </c>
      <c r="AX197" s="169">
        <f>'Returns per Bu.'!Z204</f>
        <v>-1.770700556881151E-2</v>
      </c>
      <c r="AY197" s="162">
        <f>'Returns per Bu.'!AF204</f>
        <v>3.9647231638418079</v>
      </c>
      <c r="AZ197" s="165"/>
      <c r="BA197" s="15">
        <f t="shared" si="42"/>
        <v>2.7104858757062145</v>
      </c>
      <c r="BB197" s="93">
        <f>'Returns per Bu.'!AD204</f>
        <v>1.2542372881355932</v>
      </c>
      <c r="BC197" s="93">
        <f t="shared" si="43"/>
        <v>0.95104767568639104</v>
      </c>
    </row>
    <row r="198" spans="1:55" x14ac:dyDescent="0.2">
      <c r="A198" s="8">
        <v>44335</v>
      </c>
      <c r="C198" s="53"/>
      <c r="D198" s="281">
        <v>2.4390000283718107</v>
      </c>
      <c r="E198" s="282">
        <v>233.57499999999999</v>
      </c>
      <c r="F198" s="319">
        <v>0.51840000000000008</v>
      </c>
      <c r="G198" s="281">
        <v>7.0493750095367433</v>
      </c>
      <c r="H198" s="308">
        <v>5.97</v>
      </c>
      <c r="I198" s="184"/>
      <c r="J198" s="12"/>
      <c r="K198" s="93">
        <f>'Returns per Gal.'!J205</f>
        <v>2.4390000283718107</v>
      </c>
      <c r="L198" s="93">
        <f>'Returns per Gal.'!K205</f>
        <v>0.67204035087719283</v>
      </c>
      <c r="M198" s="93">
        <f>'Returns per Gal.'!L205</f>
        <v>0.11823157894736845</v>
      </c>
      <c r="N198" s="93">
        <f>'Returns per Gal.'!M205</f>
        <v>3.2292719581963722</v>
      </c>
      <c r="O198" s="110"/>
      <c r="P198" s="108"/>
      <c r="Q198" s="93">
        <f>'Returns per Gal.'!P205</f>
        <v>2.4734649156269275</v>
      </c>
      <c r="R198" s="93">
        <f>'Returns per Gal.'!Q205</f>
        <v>0.17909999999999998</v>
      </c>
      <c r="S198" s="93">
        <f>'Returns per Gal.'!R205</f>
        <v>0.21939999999999998</v>
      </c>
      <c r="T198" s="93">
        <f>'Returns per Gal.'!S205</f>
        <v>2.8719649156269274</v>
      </c>
      <c r="U198" s="93">
        <f>'Returns per Gal.'!T205</f>
        <v>0.19624601212121212</v>
      </c>
      <c r="V198" s="93">
        <f>'Returns per Gal.'!U205</f>
        <v>3.0682109277481393</v>
      </c>
      <c r="W198" s="93">
        <f>'Returns per Gal.'!V205</f>
        <v>2.2779389979235778</v>
      </c>
      <c r="X198" s="105"/>
      <c r="Y198" s="93"/>
      <c r="Z198" s="93">
        <f>'Returns per Gal.'!Y205</f>
        <v>0.53820704256944474</v>
      </c>
      <c r="AA198" s="93">
        <f>'Returns per Gal.'!Z205</f>
        <v>0.3573070425694449</v>
      </c>
      <c r="AB198" s="93">
        <f>'Returns per Gal.'!AA205</f>
        <v>0.16106103044823294</v>
      </c>
      <c r="AC198" s="80"/>
      <c r="AD198" s="15"/>
      <c r="AE198" s="81"/>
      <c r="AF198" s="93">
        <f>'Returns per Gal.'!AE205</f>
        <v>0.44008325899494499</v>
      </c>
      <c r="AG198" s="93">
        <f>'Returns per Gal.'!AF205</f>
        <v>0.95104767568639104</v>
      </c>
      <c r="AH198" s="93">
        <f>'Returns per Gal.'!AG205</f>
        <v>1.3911309346813361</v>
      </c>
      <c r="AI198" s="105">
        <f>'Returns per Gal.'!AH205</f>
        <v>0</v>
      </c>
      <c r="AJ198" s="104">
        <f>'Returns per Gal.'!AI205</f>
        <v>0</v>
      </c>
      <c r="AK198" s="93">
        <f>'Returns per Gal.'!AJ205</f>
        <v>1.7896309346813362</v>
      </c>
      <c r="AL198" s="93">
        <f>'Returns per Gal.'!AK205</f>
        <v>1.9858769468025483</v>
      </c>
      <c r="AM198" s="105">
        <f>'Returns per Gal.'!AL205</f>
        <v>0</v>
      </c>
      <c r="AN198" s="104"/>
      <c r="AO198" s="93">
        <f>'Returns per Gal.'!AN205</f>
        <v>1.4396410235150361</v>
      </c>
      <c r="AP198" s="93">
        <f>'Returns per Gal.'!AO205</f>
        <v>1.2433950113938239</v>
      </c>
      <c r="AQ198" s="93">
        <f>'Returns per Gal.'!AP205</f>
        <v>0.1610610304482325</v>
      </c>
      <c r="AR198" s="93">
        <f>'Returns per Gal.'!AQ205</f>
        <v>1.0823339809455914</v>
      </c>
      <c r="AS198" s="52"/>
      <c r="AU198" s="177">
        <f>'Returns per Bu.'!G205</f>
        <v>7.0493750095367433</v>
      </c>
      <c r="AV198" s="166">
        <f>'Returns per Bu.'!N205</f>
        <v>9.2034250808596596</v>
      </c>
      <c r="AW198" s="166">
        <f>'Returns per Bu.'!O205</f>
        <v>7.5083989463142045</v>
      </c>
      <c r="AX198" s="169">
        <f>'Returns per Bu.'!Z205</f>
        <v>0.13977881618283744</v>
      </c>
      <c r="AY198" s="162">
        <f>'Returns per Bu.'!AF205</f>
        <v>3.9647231638418079</v>
      </c>
      <c r="AZ198" s="165"/>
      <c r="BA198" s="15">
        <f t="shared" si="42"/>
        <v>2.7104858757062145</v>
      </c>
      <c r="BB198" s="93">
        <f>'Returns per Bu.'!AD205</f>
        <v>1.2542372881355932</v>
      </c>
      <c r="BC198" s="93">
        <f t="shared" si="43"/>
        <v>0.95104767568639104</v>
      </c>
    </row>
    <row r="199" spans="1:55" x14ac:dyDescent="0.2">
      <c r="A199" s="8">
        <v>44366</v>
      </c>
      <c r="C199" s="53"/>
      <c r="D199" s="281">
        <v>2.3145454688505693</v>
      </c>
      <c r="E199" s="282">
        <v>198.52272727272728</v>
      </c>
      <c r="F199" s="319">
        <v>0.55889999999999995</v>
      </c>
      <c r="G199" s="281">
        <v>6.8402556885372512</v>
      </c>
      <c r="H199" s="308">
        <v>5.92</v>
      </c>
      <c r="I199" s="184"/>
      <c r="K199" s="93">
        <f>'Returns per Gal.'!J206</f>
        <v>2.3145454688505693</v>
      </c>
      <c r="L199" s="93">
        <f>'Returns per Gal.'!K206</f>
        <v>0.57118819776714502</v>
      </c>
      <c r="M199" s="93">
        <f>'Returns per Gal.'!L206</f>
        <v>0.12746842105263156</v>
      </c>
      <c r="N199" s="93">
        <f>'Returns per Gal.'!M206</f>
        <v>3.0132020876703463</v>
      </c>
      <c r="O199" s="110"/>
      <c r="P199" s="108"/>
      <c r="Q199" s="93">
        <f>'Returns per Gal.'!P206</f>
        <v>2.4000897152762284</v>
      </c>
      <c r="R199" s="93">
        <f>'Returns per Gal.'!Q206</f>
        <v>0.17760000000000001</v>
      </c>
      <c r="S199" s="93">
        <f>'Returns per Gal.'!R206</f>
        <v>0.21939999999999998</v>
      </c>
      <c r="T199" s="93">
        <f>'Returns per Gal.'!S206</f>
        <v>2.7970897152762282</v>
      </c>
      <c r="U199" s="93">
        <f>'Returns per Gal.'!T206</f>
        <v>0.19624601212121212</v>
      </c>
      <c r="V199" s="93">
        <f>'Returns per Gal.'!U206</f>
        <v>2.9933357273974401</v>
      </c>
      <c r="W199" s="93">
        <f>'Returns per Gal.'!V206</f>
        <v>2.2946791085776637</v>
      </c>
      <c r="X199" s="105"/>
      <c r="Y199" s="93"/>
      <c r="Z199" s="93">
        <f>'Returns per Gal.'!Y206</f>
        <v>0.39701237239411791</v>
      </c>
      <c r="AA199" s="93">
        <f>'Returns per Gal.'!Z206</f>
        <v>0.21611237239411807</v>
      </c>
      <c r="AB199" s="93">
        <f>'Returns per Gal.'!AA206</f>
        <v>1.9866360272906114E-2</v>
      </c>
      <c r="AC199" s="80"/>
      <c r="AD199" s="15"/>
      <c r="AE199" s="81"/>
      <c r="AF199" s="93">
        <f>'Returns per Gal.'!AE206</f>
        <v>0.44008325899494499</v>
      </c>
      <c r="AG199" s="93">
        <f>'Returns per Gal.'!AF206</f>
        <v>0.95104767568639104</v>
      </c>
      <c r="AH199" s="93">
        <f>'Returns per Gal.'!AG206</f>
        <v>1.3911309346813361</v>
      </c>
      <c r="AI199" s="105">
        <f>'Returns per Gal.'!AH206</f>
        <v>0</v>
      </c>
      <c r="AJ199" s="104">
        <f>'Returns per Gal.'!AI206</f>
        <v>0</v>
      </c>
      <c r="AK199" s="93">
        <f>'Returns per Gal.'!AJ206</f>
        <v>1.7881309346813361</v>
      </c>
      <c r="AL199" s="93">
        <f>'Returns per Gal.'!AK206</f>
        <v>1.9843769468025483</v>
      </c>
      <c r="AM199" s="105">
        <f>'Returns per Gal.'!AL206</f>
        <v>0</v>
      </c>
      <c r="AN199" s="104"/>
      <c r="AO199" s="93">
        <f>'Returns per Gal.'!AN206</f>
        <v>1.2250711529890101</v>
      </c>
      <c r="AP199" s="93">
        <f>'Returns per Gal.'!AO206</f>
        <v>1.028825140867798</v>
      </c>
      <c r="AQ199" s="93">
        <f>'Returns per Gal.'!AP206</f>
        <v>1.986636027290567E-2</v>
      </c>
      <c r="AR199" s="93">
        <f>'Returns per Gal.'!AQ206</f>
        <v>1.0089587805948923</v>
      </c>
      <c r="AS199" s="52"/>
      <c r="AU199" s="177">
        <f>'Returns per Bu.'!G206</f>
        <v>6.8402556885372512</v>
      </c>
      <c r="AV199" s="166">
        <f>'Returns per Bu.'!N206</f>
        <v>8.5876259498604863</v>
      </c>
      <c r="AW199" s="166">
        <f>'Returns per Bu.'!O206</f>
        <v>6.8968748153150319</v>
      </c>
      <c r="AX199" s="169">
        <f>'Returns per Bu.'!Z206</f>
        <v>1.7241267568451509E-2</v>
      </c>
      <c r="AY199" s="162">
        <f>'Returns per Bu.'!AF206</f>
        <v>3.9647231638418079</v>
      </c>
      <c r="AZ199" s="165"/>
      <c r="BA199" s="15">
        <f t="shared" si="42"/>
        <v>2.7104858757062145</v>
      </c>
      <c r="BB199" s="93">
        <f>'Returns per Bu.'!AD206</f>
        <v>1.2542372881355932</v>
      </c>
      <c r="BC199" s="93">
        <f t="shared" si="43"/>
        <v>0.95104767568639104</v>
      </c>
    </row>
    <row r="200" spans="1:55" x14ac:dyDescent="0.2">
      <c r="A200" s="8">
        <v>44396</v>
      </c>
      <c r="C200" s="53"/>
      <c r="D200" s="281">
        <v>2.1787500143051148</v>
      </c>
      <c r="E200" s="282">
        <v>159.53947368421052</v>
      </c>
      <c r="F200" s="319">
        <v>0.59089999999999998</v>
      </c>
      <c r="G200" s="281">
        <v>6.4829999983310698</v>
      </c>
      <c r="H200" s="308">
        <v>6.29</v>
      </c>
      <c r="I200" s="184"/>
      <c r="K200" s="93">
        <f>'Returns per Gal.'!J207</f>
        <v>2.1787500143051148</v>
      </c>
      <c r="L200" s="93">
        <f>'Returns per Gal.'!K207</f>
        <v>0.45902585410895652</v>
      </c>
      <c r="M200" s="93">
        <f>'Returns per Gal.'!L207</f>
        <v>0.13476666666666667</v>
      </c>
      <c r="N200" s="93">
        <f>'Returns per Gal.'!M207</f>
        <v>2.772542535080738</v>
      </c>
      <c r="O200" s="110"/>
      <c r="P200" s="108"/>
      <c r="Q200" s="93">
        <f>'Returns per Gal.'!P207</f>
        <v>2.2747368415196734</v>
      </c>
      <c r="R200" s="93">
        <f>'Returns per Gal.'!Q207</f>
        <v>0.18870000000000001</v>
      </c>
      <c r="S200" s="93">
        <f>'Returns per Gal.'!R207</f>
        <v>0.21939999999999998</v>
      </c>
      <c r="T200" s="93">
        <f>'Returns per Gal.'!S207</f>
        <v>2.6828368415196731</v>
      </c>
      <c r="U200" s="93">
        <f>'Returns per Gal.'!T207</f>
        <v>0.19624601212121212</v>
      </c>
      <c r="V200" s="93">
        <f>'Returns per Gal.'!U207</f>
        <v>2.879082853640885</v>
      </c>
      <c r="W200" s="93">
        <f>'Returns per Gal.'!V207</f>
        <v>2.2852903328652618</v>
      </c>
      <c r="X200" s="105"/>
      <c r="Y200" s="93"/>
      <c r="Z200" s="93">
        <f>'Returns per Gal.'!Y207</f>
        <v>0.27060569356106468</v>
      </c>
      <c r="AA200" s="93">
        <f>'Returns per Gal.'!Z207</f>
        <v>8.9705693561064948E-2</v>
      </c>
      <c r="AB200" s="93">
        <f>'Returns per Gal.'!AA207</f>
        <v>-0.10654031856014701</v>
      </c>
      <c r="AC200" s="80"/>
      <c r="AD200" s="15"/>
      <c r="AE200" s="81"/>
      <c r="AF200" s="93">
        <f>'Returns per Gal.'!AE207</f>
        <v>0.44008325899494499</v>
      </c>
      <c r="AG200" s="93">
        <f>'Returns per Gal.'!AF207</f>
        <v>0.95104767568639104</v>
      </c>
      <c r="AH200" s="93">
        <f>'Returns per Gal.'!AG207</f>
        <v>1.3911309346813361</v>
      </c>
      <c r="AI200" s="105">
        <f>'Returns per Gal.'!AH207</f>
        <v>0</v>
      </c>
      <c r="AJ200" s="104">
        <f>'Returns per Gal.'!AI207</f>
        <v>0</v>
      </c>
      <c r="AK200" s="93">
        <f>'Returns per Gal.'!AJ207</f>
        <v>1.7992309346813362</v>
      </c>
      <c r="AL200" s="93">
        <f>'Returns per Gal.'!AK207</f>
        <v>1.9954769468025484</v>
      </c>
      <c r="AM200" s="105">
        <f>'Returns per Gal.'!AL207</f>
        <v>0</v>
      </c>
      <c r="AN200" s="104"/>
      <c r="AO200" s="93">
        <f>'Returns per Gal.'!AN207</f>
        <v>0.97331160039940179</v>
      </c>
      <c r="AP200" s="93">
        <f>'Returns per Gal.'!AO207</f>
        <v>0.77706558827818961</v>
      </c>
      <c r="AQ200" s="93">
        <f>'Returns per Gal.'!AP207</f>
        <v>-0.10654031856014767</v>
      </c>
      <c r="AR200" s="93">
        <f>'Returns per Gal.'!AQ207</f>
        <v>0.88360590683833728</v>
      </c>
      <c r="AS200" s="52"/>
      <c r="AU200" s="177">
        <f>'Returns per Bu.'!G207</f>
        <v>6.4829999983310698</v>
      </c>
      <c r="AV200" s="166">
        <f>'Returns per Bu.'!N207</f>
        <v>7.901746224980104</v>
      </c>
      <c r="AW200" s="166">
        <f>'Returns per Bu.'!O207</f>
        <v>6.1793600904346491</v>
      </c>
      <c r="AX200" s="169">
        <f>'Returns per Bu.'!Z207</f>
        <v>-9.2462339043996186E-2</v>
      </c>
      <c r="AY200" s="162">
        <f>'Returns per Bu.'!AF207</f>
        <v>3.9647231638418079</v>
      </c>
      <c r="AZ200" s="165"/>
      <c r="BA200" s="15">
        <f t="shared" si="42"/>
        <v>2.7104858757062145</v>
      </c>
      <c r="BB200" s="93">
        <f>'Returns per Bu.'!AD207</f>
        <v>1.2542372881355932</v>
      </c>
      <c r="BC200" s="93">
        <f t="shared" si="43"/>
        <v>0.95104767568639104</v>
      </c>
    </row>
    <row r="201" spans="1:55" x14ac:dyDescent="0.2">
      <c r="A201" s="8">
        <v>44427</v>
      </c>
      <c r="C201" s="53"/>
      <c r="D201" s="281">
        <v>2.1522727012634277</v>
      </c>
      <c r="E201" s="282">
        <v>185.90909090909091</v>
      </c>
      <c r="F201" s="281">
        <v>0.63890000000000002</v>
      </c>
      <c r="G201" s="281">
        <v>6.3334659121253276</v>
      </c>
      <c r="H201" s="308">
        <v>7.23</v>
      </c>
      <c r="I201" s="184"/>
      <c r="K201" s="93">
        <f>'Returns per Gal.'!J208</f>
        <v>2.1522727012634277</v>
      </c>
      <c r="L201" s="93">
        <f>'Returns per Gal.'!K208</f>
        <v>0.53489633173843687</v>
      </c>
      <c r="M201" s="93">
        <f>'Returns per Gal.'!L208</f>
        <v>0.1457140350877193</v>
      </c>
      <c r="N201" s="93">
        <f>'Returns per Gal.'!M208</f>
        <v>2.832883068089584</v>
      </c>
      <c r="O201" s="110"/>
      <c r="P201" s="108"/>
      <c r="Q201" s="93">
        <f>'Returns per Gal.'!P208</f>
        <v>2.222268741096606</v>
      </c>
      <c r="R201" s="93">
        <f>'Returns per Gal.'!Q208</f>
        <v>0.21690000000000001</v>
      </c>
      <c r="S201" s="93">
        <f>'Returns per Gal.'!R208</f>
        <v>0.21939999999999998</v>
      </c>
      <c r="T201" s="93">
        <f>'Returns per Gal.'!S208</f>
        <v>2.6585687410966057</v>
      </c>
      <c r="U201" s="93">
        <f>'Returns per Gal.'!T208</f>
        <v>0.19624601212121212</v>
      </c>
      <c r="V201" s="93">
        <f>'Returns per Gal.'!U208</f>
        <v>2.8548147532178176</v>
      </c>
      <c r="W201" s="93">
        <f>'Returns per Gal.'!V208</f>
        <v>2.1742043863916614</v>
      </c>
      <c r="X201" s="105"/>
      <c r="Y201" s="93"/>
      <c r="Z201" s="93">
        <f>'Returns per Gal.'!Y208</f>
        <v>0.35521432699297806</v>
      </c>
      <c r="AA201" s="93">
        <f>'Returns per Gal.'!Z208</f>
        <v>0.17431432699297833</v>
      </c>
      <c r="AB201" s="93">
        <f>'Returns per Gal.'!AA208</f>
        <v>-2.1931685128233624E-2</v>
      </c>
      <c r="AC201" s="80"/>
      <c r="AD201" s="15"/>
      <c r="AE201" s="81"/>
      <c r="AF201" s="93">
        <f>'Returns per Gal.'!AE208</f>
        <v>0.44008325899494499</v>
      </c>
      <c r="AG201" s="93">
        <f>'Returns per Gal.'!AF208</f>
        <v>0.95104767568639104</v>
      </c>
      <c r="AH201" s="93">
        <f>'Returns per Gal.'!AG208</f>
        <v>1.3911309346813361</v>
      </c>
      <c r="AI201" s="105">
        <f>'Returns per Gal.'!AH208</f>
        <v>0</v>
      </c>
      <c r="AJ201" s="104">
        <f>'Returns per Gal.'!AI208</f>
        <v>0</v>
      </c>
      <c r="AK201" s="93">
        <f>'Returns per Gal.'!AJ208</f>
        <v>1.8274309346813362</v>
      </c>
      <c r="AL201" s="93">
        <f>'Returns per Gal.'!AK208</f>
        <v>2.0236769468025484</v>
      </c>
      <c r="AM201" s="105">
        <f>'Returns per Gal.'!AL208</f>
        <v>0</v>
      </c>
      <c r="AN201" s="104"/>
      <c r="AO201" s="93">
        <f>'Returns per Gal.'!AN208</f>
        <v>1.0054521334082478</v>
      </c>
      <c r="AP201" s="93">
        <f>'Returns per Gal.'!AO208</f>
        <v>0.80920612128703562</v>
      </c>
      <c r="AQ201" s="93">
        <f>'Returns per Gal.'!AP208</f>
        <v>-2.1931685128234291E-2</v>
      </c>
      <c r="AR201" s="93">
        <f>'Returns per Gal.'!AQ208</f>
        <v>0.83113780641526991</v>
      </c>
      <c r="AS201" s="52"/>
      <c r="AU201" s="177">
        <f>'Returns per Bu.'!G208</f>
        <v>6.3334659121253276</v>
      </c>
      <c r="AV201" s="166">
        <f>'Returns per Bu.'!N208</f>
        <v>8.0737167440553144</v>
      </c>
      <c r="AW201" s="166">
        <f>'Returns per Bu.'!O208</f>
        <v>6.2709606095098591</v>
      </c>
      <c r="AX201" s="169">
        <f>'Returns per Bu.'!Z208</f>
        <v>-1.9033685402284228E-2</v>
      </c>
      <c r="AY201" s="162">
        <f>'Returns per Bu.'!AF208</f>
        <v>3.9647231638418079</v>
      </c>
      <c r="AZ201" s="165"/>
      <c r="BA201" s="15">
        <f t="shared" si="42"/>
        <v>2.7104858757062145</v>
      </c>
      <c r="BB201" s="93">
        <f>'Returns per Bu.'!AD208</f>
        <v>1.2542372881355932</v>
      </c>
      <c r="BC201" s="93">
        <f t="shared" si="43"/>
        <v>0.95104767568639104</v>
      </c>
    </row>
    <row r="202" spans="1:55" x14ac:dyDescent="0.2">
      <c r="A202" s="8">
        <v>44458</v>
      </c>
      <c r="C202" s="53"/>
      <c r="D202" s="281">
        <v>2.2902380795705888</v>
      </c>
      <c r="E202" s="282">
        <v>194.3452380952381</v>
      </c>
      <c r="F202" s="281">
        <v>0.5786</v>
      </c>
      <c r="G202" s="281">
        <v>5.5563987890879316</v>
      </c>
      <c r="H202" s="308">
        <v>7.34</v>
      </c>
      <c r="I202" s="184"/>
      <c r="K202" s="93">
        <f>'Returns per Gal.'!J209</f>
        <v>2.2902380795705888</v>
      </c>
      <c r="L202" s="93">
        <f>'Returns per Gal.'!K209</f>
        <v>0.55916875522138676</v>
      </c>
      <c r="M202" s="93">
        <f>'Returns per Gal.'!L209</f>
        <v>0.13196140350877195</v>
      </c>
      <c r="N202" s="93">
        <f>'Returns per Gal.'!M209</f>
        <v>2.9813682383007478</v>
      </c>
      <c r="O202" s="110"/>
      <c r="P202" s="108"/>
      <c r="Q202" s="93">
        <f>'Returns per Gal.'!P209</f>
        <v>1.9496136102062918</v>
      </c>
      <c r="R202" s="93">
        <f>'Returns per Gal.'!Q209</f>
        <v>0.22020000000000001</v>
      </c>
      <c r="S202" s="93">
        <f>'Returns per Gal.'!R209</f>
        <v>0.21939999999999998</v>
      </c>
      <c r="T202" s="93">
        <f>'Returns per Gal.'!S209</f>
        <v>2.3892136102062915</v>
      </c>
      <c r="U202" s="93">
        <f>'Returns per Gal.'!T209</f>
        <v>0.19624601212121212</v>
      </c>
      <c r="V202" s="93">
        <f>'Returns per Gal.'!U209</f>
        <v>2.5854596223275035</v>
      </c>
      <c r="W202" s="93">
        <f>'Returns per Gal.'!V209</f>
        <v>1.8943294635973447</v>
      </c>
      <c r="X202" s="105"/>
      <c r="Y202" s="93"/>
      <c r="Z202" s="93">
        <f>'Returns per Gal.'!Y209</f>
        <v>0.77305462809445613</v>
      </c>
      <c r="AA202" s="93">
        <f>'Returns per Gal.'!Z209</f>
        <v>0.59215462809445629</v>
      </c>
      <c r="AB202" s="93">
        <f>'Returns per Gal.'!AA209</f>
        <v>0.39590861597324434</v>
      </c>
      <c r="AC202" s="80"/>
      <c r="AD202" s="15"/>
      <c r="AE202" s="81"/>
      <c r="AF202" s="93">
        <f>'Returns per Gal.'!AE209</f>
        <v>0.39903680770553834</v>
      </c>
      <c r="AG202" s="93">
        <f>'Returns per Gal.'!AF209</f>
        <v>0.85995872033023724</v>
      </c>
      <c r="AH202" s="93">
        <f>'Returns per Gal.'!AG209</f>
        <v>1.2589955280357756</v>
      </c>
      <c r="AI202" s="105">
        <f>'Returns per Gal.'!AH209</f>
        <v>0</v>
      </c>
      <c r="AJ202" s="104">
        <f>'Returns per Gal.'!AI209</f>
        <v>0</v>
      </c>
      <c r="AK202" s="93">
        <f>'Returns per Gal.'!AJ209</f>
        <v>1.6985955280357756</v>
      </c>
      <c r="AL202" s="93">
        <f>'Returns per Gal.'!AK209</f>
        <v>1.8948415401569878</v>
      </c>
      <c r="AM202" s="105">
        <f>'Returns per Gal.'!AL209</f>
        <v>0</v>
      </c>
      <c r="AN202" s="104"/>
      <c r="AO202" s="93">
        <f>'Returns per Gal.'!AN209</f>
        <v>1.2827727102649722</v>
      </c>
      <c r="AP202" s="93">
        <f>'Returns per Gal.'!AO209</f>
        <v>1.08652669814376</v>
      </c>
      <c r="AQ202" s="93">
        <f>'Returns per Gal.'!AP209</f>
        <v>0.39590861597324389</v>
      </c>
      <c r="AR202" s="93">
        <f>'Returns per Gal.'!AQ209</f>
        <v>0.69061808217051612</v>
      </c>
      <c r="AS202" s="52"/>
      <c r="AU202" s="177">
        <f>'Returns per Bu.'!G209</f>
        <v>5.5563987890879316</v>
      </c>
      <c r="AV202" s="166">
        <f>'Returns per Bu.'!N209</f>
        <v>8.4968994791571308</v>
      </c>
      <c r="AW202" s="166">
        <f>'Returns per Bu.'!O209</f>
        <v>6.6847383446116764</v>
      </c>
      <c r="AX202" s="169">
        <f>'Returns per Bu.'!Z209</f>
        <v>0.34359421086103642</v>
      </c>
      <c r="AY202" s="162">
        <f>'Returns per Bu.'!AF209</f>
        <v>3.5881372549019606</v>
      </c>
      <c r="AZ202" s="165"/>
      <c r="BA202" s="15">
        <f t="shared" si="42"/>
        <v>2.4508823529411763</v>
      </c>
      <c r="BB202" s="93">
        <f>'Returns per Bu.'!AD209</f>
        <v>1.1372549019607843</v>
      </c>
      <c r="BC202" s="93">
        <f t="shared" si="43"/>
        <v>0.85995872033023724</v>
      </c>
    </row>
    <row r="203" spans="1:55" x14ac:dyDescent="0.2">
      <c r="A203" s="8">
        <v>44488</v>
      </c>
      <c r="C203" s="53"/>
      <c r="D203" s="281">
        <v>2.4010000467300414</v>
      </c>
      <c r="E203" s="282">
        <v>180.95</v>
      </c>
      <c r="F203" s="281">
        <v>0.61229999999999996</v>
      </c>
      <c r="G203" s="281">
        <v>5.302375012636185</v>
      </c>
      <c r="H203" s="308">
        <v>7.88</v>
      </c>
      <c r="I203" s="184"/>
      <c r="K203" s="93">
        <f>'Returns per Gal.'!J210</f>
        <v>2.4010000467300414</v>
      </c>
      <c r="L203" s="93">
        <f>'Returns per Gal.'!K210</f>
        <v>0.52062807017543855</v>
      </c>
      <c r="M203" s="93">
        <f>'Returns per Gal.'!L210</f>
        <v>0.13964736842105263</v>
      </c>
      <c r="N203" s="93">
        <f>'Returns per Gal.'!M210</f>
        <v>3.0612754853265329</v>
      </c>
      <c r="O203" s="110"/>
      <c r="P203" s="108"/>
      <c r="Q203" s="93">
        <f>'Returns per Gal.'!P210</f>
        <v>1.8604824605740999</v>
      </c>
      <c r="R203" s="93">
        <f>'Returns per Gal.'!Q210</f>
        <v>0.2364</v>
      </c>
      <c r="S203" s="93">
        <f>'Returns per Gal.'!R210</f>
        <v>0.21939999999999998</v>
      </c>
      <c r="T203" s="93">
        <f>'Returns per Gal.'!S210</f>
        <v>2.3162824605740999</v>
      </c>
      <c r="U203" s="93">
        <f>'Returns per Gal.'!T210</f>
        <v>0.19624601212121212</v>
      </c>
      <c r="V203" s="93">
        <f>'Returns per Gal.'!U210</f>
        <v>2.5125284726953119</v>
      </c>
      <c r="W203" s="93">
        <f>'Returns per Gal.'!V210</f>
        <v>1.8522530340988206</v>
      </c>
      <c r="X203" s="105"/>
      <c r="Y203" s="93"/>
      <c r="Z203" s="93">
        <f>'Returns per Gal.'!Y210</f>
        <v>0.92589302475243307</v>
      </c>
      <c r="AA203" s="93">
        <f>'Returns per Gal.'!Z210</f>
        <v>0.74499302475243301</v>
      </c>
      <c r="AB203" s="93">
        <f>'Returns per Gal.'!AA210</f>
        <v>0.54874701263122105</v>
      </c>
      <c r="AC203" s="80"/>
      <c r="AD203" s="15"/>
      <c r="AE203" s="81"/>
      <c r="AF203" s="93">
        <f>'Returns per Gal.'!AE210</f>
        <v>0.39903680770553834</v>
      </c>
      <c r="AG203" s="93">
        <f>'Returns per Gal.'!AF210</f>
        <v>0.85995872033023724</v>
      </c>
      <c r="AH203" s="93">
        <f>'Returns per Gal.'!AG210</f>
        <v>1.2589955280357756</v>
      </c>
      <c r="AI203" s="105">
        <f>'Returns per Gal.'!AH210</f>
        <v>0</v>
      </c>
      <c r="AJ203" s="104">
        <f>'Returns per Gal.'!AI210</f>
        <v>0</v>
      </c>
      <c r="AK203" s="93">
        <f>'Returns per Gal.'!AJ210</f>
        <v>1.7147955280357756</v>
      </c>
      <c r="AL203" s="93">
        <f>'Returns per Gal.'!AK210</f>
        <v>1.9110415401569878</v>
      </c>
      <c r="AM203" s="105">
        <f>'Returns per Gal.'!AL210</f>
        <v>0</v>
      </c>
      <c r="AN203" s="104"/>
      <c r="AO203" s="93">
        <f>'Returns per Gal.'!AN210</f>
        <v>1.3464799572907573</v>
      </c>
      <c r="AP203" s="93">
        <f>'Returns per Gal.'!AO210</f>
        <v>1.1502339451695451</v>
      </c>
      <c r="AQ203" s="93">
        <f>'Returns per Gal.'!AP210</f>
        <v>0.54874701263122083</v>
      </c>
      <c r="AR203" s="93">
        <f>'Returns per Gal.'!AQ210</f>
        <v>0.6014869325383243</v>
      </c>
      <c r="AS203" s="52"/>
      <c r="AU203" s="177">
        <f>'Returns per Bu.'!G210</f>
        <v>5.302375012636185</v>
      </c>
      <c r="AV203" s="166">
        <f>'Returns per Bu.'!N210</f>
        <v>8.7246351331806178</v>
      </c>
      <c r="AW203" s="166">
        <f>'Returns per Bu.'!O210</f>
        <v>6.8663039986351633</v>
      </c>
      <c r="AX203" s="169">
        <f>'Returns per Bu.'!Z210</f>
        <v>0.47623691215681369</v>
      </c>
      <c r="AY203" s="162">
        <f>'Returns per Bu.'!AF210</f>
        <v>3.5881372549019606</v>
      </c>
      <c r="AZ203" s="165"/>
      <c r="BA203" s="15">
        <f t="shared" si="42"/>
        <v>2.4508823529411763</v>
      </c>
      <c r="BB203" s="93">
        <f>'Returns per Bu.'!AD210</f>
        <v>1.1372549019607843</v>
      </c>
      <c r="BC203" s="93">
        <f t="shared" si="43"/>
        <v>0.85995872033023724</v>
      </c>
    </row>
    <row r="204" spans="1:55" x14ac:dyDescent="0.2">
      <c r="A204" s="8">
        <v>44519</v>
      </c>
      <c r="C204" s="53"/>
      <c r="D204" s="281">
        <v>3.1180000007152557</v>
      </c>
      <c r="E204" s="282">
        <v>163.96250000000001</v>
      </c>
      <c r="F204" s="281">
        <v>0.6079</v>
      </c>
      <c r="G204" s="281">
        <v>5.6642624855041506</v>
      </c>
      <c r="H204" s="308">
        <v>8.75</v>
      </c>
      <c r="I204" s="184"/>
      <c r="K204" s="93">
        <f>'Returns per Gal.'!J211</f>
        <v>3.1180000007152557</v>
      </c>
      <c r="L204" s="93">
        <f>'Returns per Gal.'!K211</f>
        <v>0.47175175438596484</v>
      </c>
      <c r="M204" s="93">
        <f>'Returns per Gal.'!L211</f>
        <v>0.13864385964912282</v>
      </c>
      <c r="N204" s="93">
        <f>'Returns per Gal.'!M211</f>
        <v>3.728395614750343</v>
      </c>
      <c r="O204" s="110"/>
      <c r="P204" s="108"/>
      <c r="Q204" s="93">
        <f>'Returns per Gal.'!P211</f>
        <v>1.9874605212295264</v>
      </c>
      <c r="R204" s="93">
        <f>'Returns per Gal.'!Q211</f>
        <v>0.26250000000000001</v>
      </c>
      <c r="S204" s="93">
        <f>'Returns per Gal.'!R211</f>
        <v>0.21939999999999998</v>
      </c>
      <c r="T204" s="93">
        <f>'Returns per Gal.'!S211</f>
        <v>2.4693605212295262</v>
      </c>
      <c r="U204" s="93">
        <f>'Returns per Gal.'!T211</f>
        <v>0.19624601212121212</v>
      </c>
      <c r="V204" s="93">
        <f>'Returns per Gal.'!U211</f>
        <v>2.6656065333507382</v>
      </c>
      <c r="W204" s="93">
        <f>'Returns per Gal.'!V211</f>
        <v>2.0552109193156509</v>
      </c>
      <c r="X204" s="105"/>
      <c r="Y204" s="93"/>
      <c r="Z204" s="93">
        <f>'Returns per Gal.'!Y211</f>
        <v>1.4399350935208166</v>
      </c>
      <c r="AA204" s="93">
        <f>'Returns per Gal.'!Z211</f>
        <v>1.2590350935208168</v>
      </c>
      <c r="AB204" s="93">
        <f>'Returns per Gal.'!AA211</f>
        <v>1.0627890813996048</v>
      </c>
      <c r="AC204" s="80"/>
      <c r="AD204" s="15"/>
      <c r="AE204" s="81"/>
      <c r="AF204" s="93">
        <f>'Returns per Gal.'!AE211</f>
        <v>0.39903680770553834</v>
      </c>
      <c r="AG204" s="93">
        <f>'Returns per Gal.'!AF211</f>
        <v>0.85995872033023724</v>
      </c>
      <c r="AH204" s="93">
        <f>'Returns per Gal.'!AG211</f>
        <v>1.2589955280357756</v>
      </c>
      <c r="AI204" s="105">
        <f>'Returns per Gal.'!AH211</f>
        <v>0</v>
      </c>
      <c r="AJ204" s="104">
        <f>'Returns per Gal.'!AI211</f>
        <v>0</v>
      </c>
      <c r="AK204" s="93">
        <f>'Returns per Gal.'!AJ211</f>
        <v>1.7408955280357756</v>
      </c>
      <c r="AL204" s="93">
        <f>'Returns per Gal.'!AK211</f>
        <v>1.9371415401569878</v>
      </c>
      <c r="AM204" s="105">
        <f>'Returns per Gal.'!AL211</f>
        <v>0</v>
      </c>
      <c r="AN204" s="104"/>
      <c r="AO204" s="93">
        <f>'Returns per Gal.'!AN211</f>
        <v>1.9875000867145673</v>
      </c>
      <c r="AP204" s="93">
        <f>'Returns per Gal.'!AO211</f>
        <v>1.7912540745933552</v>
      </c>
      <c r="AQ204" s="93">
        <f>'Returns per Gal.'!AP211</f>
        <v>1.0627890813996044</v>
      </c>
      <c r="AR204" s="93">
        <f>'Returns per Gal.'!AQ211</f>
        <v>0.7284649931937508</v>
      </c>
      <c r="AS204" s="52"/>
      <c r="AU204" s="177">
        <f>'Returns per Bu.'!G211</f>
        <v>5.6642624855041506</v>
      </c>
      <c r="AV204" s="166">
        <f>'Returns per Bu.'!N211</f>
        <v>10.625927502038479</v>
      </c>
      <c r="AW204" s="166">
        <f>'Returns per Bu.'!O211</f>
        <v>8.6932113674930243</v>
      </c>
      <c r="AX204" s="169">
        <f>'Returns per Bu.'!Z211</f>
        <v>0.9223547076325862</v>
      </c>
      <c r="AY204" s="162">
        <f>'Returns per Bu.'!AF211</f>
        <v>3.5881372549019606</v>
      </c>
      <c r="AZ204" s="165"/>
      <c r="BA204" s="15">
        <f t="shared" si="42"/>
        <v>2.4508823529411763</v>
      </c>
      <c r="BB204" s="93">
        <f>'Returns per Bu.'!AD211</f>
        <v>1.1372549019607843</v>
      </c>
      <c r="BC204" s="93">
        <f t="shared" si="43"/>
        <v>0.85995872033023724</v>
      </c>
    </row>
    <row r="205" spans="1:55" x14ac:dyDescent="0.2">
      <c r="A205" s="68">
        <v>44549</v>
      </c>
      <c r="B205" s="64"/>
      <c r="C205" s="56"/>
      <c r="D205" s="284">
        <v>3.0957142852601551</v>
      </c>
      <c r="E205" s="285">
        <v>171.3452380952381</v>
      </c>
      <c r="F205" s="284">
        <v>0.5494</v>
      </c>
      <c r="G205" s="284">
        <v>5.9232142823083063</v>
      </c>
      <c r="H205" s="309">
        <v>9.9499999999999993</v>
      </c>
      <c r="I205" s="187"/>
      <c r="J205" s="29"/>
      <c r="K205" s="97">
        <f>'Returns per Gal.'!J212</f>
        <v>3.0957142852601551</v>
      </c>
      <c r="L205" s="97">
        <f>'Returns per Gal.'!K212</f>
        <v>0.49299331662489554</v>
      </c>
      <c r="M205" s="97">
        <f>'Returns per Gal.'!L212</f>
        <v>0.12530175438596491</v>
      </c>
      <c r="N205" s="97">
        <f>'Returns per Gal.'!M212</f>
        <v>3.7140093562710152</v>
      </c>
      <c r="O205" s="113"/>
      <c r="P205" s="111"/>
      <c r="Q205" s="97">
        <f>'Returns per Gal.'!P212</f>
        <v>2.0783208008099319</v>
      </c>
      <c r="R205" s="97">
        <f>'Returns per Gal.'!Q212</f>
        <v>0.29849999999999999</v>
      </c>
      <c r="S205" s="97">
        <f>'Returns per Gal.'!R212</f>
        <v>0.21939999999999998</v>
      </c>
      <c r="T205" s="97">
        <f>'Returns per Gal.'!S212</f>
        <v>2.5962208008099315</v>
      </c>
      <c r="U205" s="97">
        <f>'Returns per Gal.'!T212</f>
        <v>0.19624601212121212</v>
      </c>
      <c r="V205" s="97">
        <f>'Returns per Gal.'!U212</f>
        <v>2.7924668129311434</v>
      </c>
      <c r="W205" s="97">
        <f>'Returns per Gal.'!V212</f>
        <v>2.1741717419202828</v>
      </c>
      <c r="X205" s="107"/>
      <c r="Y205" s="97"/>
      <c r="Z205" s="97">
        <f>'Returns per Gal.'!Y212</f>
        <v>1.2986885554610834</v>
      </c>
      <c r="AA205" s="97">
        <f>'Returns per Gal.'!Z212</f>
        <v>1.1177885554610838</v>
      </c>
      <c r="AB205" s="97">
        <f>'Returns per Gal.'!AA212</f>
        <v>0.92154254333987184</v>
      </c>
      <c r="AC205" s="82"/>
      <c r="AD205" s="65"/>
      <c r="AE205" s="83"/>
      <c r="AF205" s="97">
        <f>'Returns per Gal.'!AE212</f>
        <v>0.39903680770553834</v>
      </c>
      <c r="AG205" s="97">
        <f>'Returns per Gal.'!AF212</f>
        <v>0.85995872033023724</v>
      </c>
      <c r="AH205" s="97">
        <f>'Returns per Gal.'!AG212</f>
        <v>1.2589955280357756</v>
      </c>
      <c r="AI205" s="107">
        <f>'Returns per Gal.'!AH212</f>
        <v>0</v>
      </c>
      <c r="AJ205" s="106">
        <f>'Returns per Gal.'!AI212</f>
        <v>0</v>
      </c>
      <c r="AK205" s="97">
        <f>'Returns per Gal.'!AJ212</f>
        <v>1.7768955280357757</v>
      </c>
      <c r="AL205" s="97">
        <f>'Returns per Gal.'!AK212</f>
        <v>1.9731415401569878</v>
      </c>
      <c r="AM205" s="107">
        <f>'Returns per Gal.'!AL212</f>
        <v>0</v>
      </c>
      <c r="AN205" s="106"/>
      <c r="AO205" s="97">
        <f>'Returns per Gal.'!AN212</f>
        <v>1.9371138282352396</v>
      </c>
      <c r="AP205" s="97">
        <f>'Returns per Gal.'!AO212</f>
        <v>1.7408678161140274</v>
      </c>
      <c r="AQ205" s="97">
        <f>'Returns per Gal.'!AP212</f>
        <v>0.92154254333987118</v>
      </c>
      <c r="AR205" s="97">
        <f>'Returns per Gal.'!AQ212</f>
        <v>0.81932527277415623</v>
      </c>
      <c r="AS205" s="64"/>
      <c r="AT205" s="29"/>
      <c r="AU205" s="178">
        <f>'Returns per Bu.'!G212</f>
        <v>5.9232142823083063</v>
      </c>
      <c r="AV205" s="167">
        <f>'Returns per Bu.'!N212</f>
        <v>10.584926665372395</v>
      </c>
      <c r="AW205" s="167">
        <f>'Returns per Bu.'!O212</f>
        <v>8.549610530826941</v>
      </c>
      <c r="AX205" s="170">
        <f>'Returns per Bu.'!Z212</f>
        <v>0.79977214483034798</v>
      </c>
      <c r="AY205" s="163">
        <f>'Returns per Bu.'!AF212</f>
        <v>3.5881372549019606</v>
      </c>
      <c r="AZ205" s="164"/>
      <c r="BA205" s="65">
        <f t="shared" si="42"/>
        <v>2.4508823529411763</v>
      </c>
      <c r="BB205" s="97">
        <f>'Returns per Bu.'!AD212</f>
        <v>1.1372549019607843</v>
      </c>
      <c r="BC205" s="97">
        <f t="shared" si="43"/>
        <v>0.85995872033023724</v>
      </c>
    </row>
    <row r="206" spans="1:55" x14ac:dyDescent="0.2">
      <c r="A206" s="21">
        <v>44580</v>
      </c>
      <c r="C206" s="53"/>
      <c r="D206" s="93">
        <v>2.2252499729394914</v>
      </c>
      <c r="E206" s="95">
        <v>193.65</v>
      </c>
      <c r="F206" s="319">
        <v>0.59549999999999992</v>
      </c>
      <c r="G206" s="93">
        <v>6.0421250224113461</v>
      </c>
      <c r="H206" s="308">
        <v>8.42</v>
      </c>
      <c r="I206" s="184"/>
      <c r="K206" s="93">
        <f>'Returns per Gal.'!J213</f>
        <v>2.2252499729394914</v>
      </c>
      <c r="L206" s="93">
        <f>'Returns per Gal.'!K213</f>
        <v>0.55716842105263154</v>
      </c>
      <c r="M206" s="93">
        <f>'Returns per Gal.'!L213</f>
        <v>0.1358157894736842</v>
      </c>
      <c r="N206" s="93">
        <f>'Returns per Gal.'!M213</f>
        <v>2.9182341834658074</v>
      </c>
      <c r="O206" s="110">
        <f>'Returns per Gal.'!N213</f>
        <v>0</v>
      </c>
      <c r="P206" s="108">
        <f>'Returns per Gal.'!O213</f>
        <v>0</v>
      </c>
      <c r="Q206" s="93">
        <f>'Returns per Gal.'!P213</f>
        <v>2.1200438675127531</v>
      </c>
      <c r="R206" s="93">
        <f>'Returns per Gal.'!Q213</f>
        <v>0.25259999999999999</v>
      </c>
      <c r="S206" s="93">
        <f>'Returns per Gal.'!R213</f>
        <v>0.21939999999999998</v>
      </c>
      <c r="T206" s="93">
        <f>'Returns per Gal.'!S213</f>
        <v>2.5920438675127531</v>
      </c>
      <c r="U206" s="93">
        <f>'Returns per Gal.'!T213</f>
        <v>0.19624601212121212</v>
      </c>
      <c r="V206" s="93">
        <f>'Returns per Gal.'!U213</f>
        <v>2.788289879633965</v>
      </c>
      <c r="W206" s="93">
        <f>'Returns per Gal.'!V213</f>
        <v>2.0953056691076495</v>
      </c>
      <c r="X206" s="105"/>
      <c r="Y206" s="93">
        <f>'Returns per Gal.'!V213</f>
        <v>2.0953056691076495</v>
      </c>
      <c r="Z206" s="93">
        <f>'Returns per Gal.'!Y213</f>
        <v>0.50709031595305443</v>
      </c>
      <c r="AA206" s="93">
        <f>'Returns per Gal.'!Z213</f>
        <v>0.32619031595305437</v>
      </c>
      <c r="AB206" s="93">
        <f>'Returns per Gal.'!AA213</f>
        <v>0.12994430383184241</v>
      </c>
      <c r="AC206" s="80">
        <f>'Returns per Gal.'!AB213</f>
        <v>0</v>
      </c>
      <c r="AD206" s="15">
        <f>'Returns per Gal.'!AC213</f>
        <v>0</v>
      </c>
      <c r="AE206" s="81">
        <f>'Returns per Gal.'!AD213</f>
        <v>0</v>
      </c>
      <c r="AF206" s="93">
        <f>'Returns per Gal.'!AE213</f>
        <v>0.39903680770553834</v>
      </c>
      <c r="AG206" s="93">
        <f>'Returns per Gal.'!AF213</f>
        <v>0.85995872033023724</v>
      </c>
      <c r="AH206" s="93">
        <f>'Returns per Gal.'!AG213</f>
        <v>1.2589955280357756</v>
      </c>
      <c r="AI206" s="105">
        <f>'Returns per Gal.'!AH213</f>
        <v>0</v>
      </c>
      <c r="AJ206" s="104">
        <f>'Returns per Gal.'!AI213</f>
        <v>0</v>
      </c>
      <c r="AK206" s="93">
        <f>'Returns per Gal.'!AJ213</f>
        <v>1.7309955280357756</v>
      </c>
      <c r="AL206" s="93">
        <f>'Returns per Gal.'!AK213</f>
        <v>1.9272415401569878</v>
      </c>
      <c r="AM206" s="105">
        <f>'Returns per Gal.'!AL213</f>
        <v>0</v>
      </c>
      <c r="AN206" s="104"/>
      <c r="AO206" s="93">
        <f>'Returns per Gal.'!AN213</f>
        <v>1.1872386554300318</v>
      </c>
      <c r="AP206" s="93">
        <f>'Returns per Gal.'!AO213</f>
        <v>0.99099264330881964</v>
      </c>
      <c r="AQ206" s="93">
        <f>'Returns per Gal.'!AP213</f>
        <v>0.12994430383184219</v>
      </c>
      <c r="AR206" s="93">
        <f>'Returns per Gal.'!AQ213</f>
        <v>0.86104833947697745</v>
      </c>
      <c r="AS206" s="52"/>
      <c r="AU206" s="177">
        <f>'Returns per Bu.'!G213</f>
        <v>6.0421250224113461</v>
      </c>
      <c r="AV206" s="166">
        <f>'Returns per Bu.'!N213</f>
        <v>8.3169674228775499</v>
      </c>
      <c r="AW206" s="166">
        <f>'Returns per Bu.'!O213</f>
        <v>6.4124662883320962</v>
      </c>
      <c r="AX206" s="169">
        <f>'Returns per Bu.'!Z213</f>
        <v>0.11277377841659793</v>
      </c>
      <c r="AY206" s="162">
        <f>'Returns per Bu.'!AF213</f>
        <v>3.5881372549019606</v>
      </c>
      <c r="AZ206" s="165"/>
      <c r="BA206" s="15">
        <f t="shared" ref="BA206:BA219" si="44">AY206-BB206</f>
        <v>2.4508823529411763</v>
      </c>
      <c r="BB206" s="93">
        <f>'Returns per Bu.'!AD213</f>
        <v>1.1372549019607843</v>
      </c>
      <c r="BC206" s="93">
        <f t="shared" ref="BC206:BC219" si="45">AG206</f>
        <v>0.85995872033023724</v>
      </c>
    </row>
    <row r="207" spans="1:55" x14ac:dyDescent="0.2">
      <c r="A207" s="8">
        <v>44611</v>
      </c>
      <c r="C207" s="53"/>
      <c r="D207" s="93">
        <v>2.0268421204466569</v>
      </c>
      <c r="E207" s="95">
        <v>227.30263157894737</v>
      </c>
      <c r="F207" s="319">
        <v>0.71239999999999992</v>
      </c>
      <c r="G207" s="93">
        <v>6.3834539338162068</v>
      </c>
      <c r="H207" s="308">
        <v>8.76</v>
      </c>
      <c r="I207" s="184"/>
      <c r="K207" s="93">
        <f>'Returns per Gal.'!J214</f>
        <v>2.0268421204466569</v>
      </c>
      <c r="L207" s="93">
        <f>'Returns per Gal.'!K214</f>
        <v>0.65399353647276071</v>
      </c>
      <c r="M207" s="93">
        <f>'Returns per Gal.'!L214</f>
        <v>0.16247719298245614</v>
      </c>
      <c r="N207" s="93">
        <f>'Returns per Gal.'!M214</f>
        <v>2.8433128499018738</v>
      </c>
      <c r="O207" s="110">
        <f>'Returns per Gal.'!N214</f>
        <v>0</v>
      </c>
      <c r="P207" s="108">
        <f>'Returns per Gal.'!O214</f>
        <v>0</v>
      </c>
      <c r="Q207" s="93">
        <f>'Returns per Gal.'!P214</f>
        <v>2.2398083978302479</v>
      </c>
      <c r="R207" s="93">
        <f>'Returns per Gal.'!Q214</f>
        <v>0.26280000000000003</v>
      </c>
      <c r="S207" s="93">
        <f>'Returns per Gal.'!R214</f>
        <v>0.21939999999999998</v>
      </c>
      <c r="T207" s="93">
        <f>'Returns per Gal.'!S214</f>
        <v>2.7220083978302476</v>
      </c>
      <c r="U207" s="93">
        <f>'Returns per Gal.'!T214</f>
        <v>0.19624601212121212</v>
      </c>
      <c r="V207" s="93">
        <f>'Returns per Gal.'!U214</f>
        <v>2.9182544099514596</v>
      </c>
      <c r="W207" s="93">
        <f>'Returns per Gal.'!V214</f>
        <v>2.1017836804962426</v>
      </c>
      <c r="X207" s="105"/>
      <c r="Y207" s="93">
        <f>'Returns per Gal.'!V214</f>
        <v>2.1017836804962426</v>
      </c>
      <c r="Z207" s="93">
        <f>'Returns per Gal.'!Y214</f>
        <v>0.30220445207162594</v>
      </c>
      <c r="AA207" s="93">
        <f>'Returns per Gal.'!Z214</f>
        <v>0.12130445207162621</v>
      </c>
      <c r="AB207" s="93">
        <f>'Returns per Gal.'!AA214</f>
        <v>-7.4941560049585743E-2</v>
      </c>
      <c r="AC207" s="80">
        <f>'Returns per Gal.'!AB214</f>
        <v>0</v>
      </c>
      <c r="AD207" s="15">
        <f>'Returns per Gal.'!AC214</f>
        <v>0</v>
      </c>
      <c r="AE207" s="81">
        <f>'Returns per Gal.'!AD214</f>
        <v>0</v>
      </c>
      <c r="AF207" s="93">
        <f>'Returns per Gal.'!AE214</f>
        <v>0.39903680770553834</v>
      </c>
      <c r="AG207" s="93">
        <f>'Returns per Gal.'!AF214</f>
        <v>0.85995872033023724</v>
      </c>
      <c r="AH207" s="93">
        <f>'Returns per Gal.'!AG214</f>
        <v>1.2589955280357756</v>
      </c>
      <c r="AI207" s="105">
        <f>'Returns per Gal.'!AH214</f>
        <v>0</v>
      </c>
      <c r="AJ207" s="104">
        <f>'Returns per Gal.'!AI214</f>
        <v>0</v>
      </c>
      <c r="AK207" s="93">
        <f>'Returns per Gal.'!AJ214</f>
        <v>1.7411955280357756</v>
      </c>
      <c r="AL207" s="93">
        <f>'Returns per Gal.'!AK214</f>
        <v>1.9374415401569878</v>
      </c>
      <c r="AM207" s="105">
        <f>'Returns per Gal.'!AL214</f>
        <v>0</v>
      </c>
      <c r="AN207" s="104"/>
      <c r="AO207" s="93">
        <f>'Returns per Gal.'!AN214</f>
        <v>1.1021173218660982</v>
      </c>
      <c r="AP207" s="93">
        <f>'Returns per Gal.'!AO214</f>
        <v>0.90587130974488606</v>
      </c>
      <c r="AQ207" s="93">
        <f>'Returns per Gal.'!AP214</f>
        <v>-7.4941560049586187E-2</v>
      </c>
      <c r="AR207" s="93">
        <f>'Returns per Gal.'!AQ214</f>
        <v>0.98081286979447224</v>
      </c>
      <c r="AS207" s="52"/>
      <c r="AU207" s="177">
        <f>'Returns per Bu.'!G214</f>
        <v>6.3834539338162068</v>
      </c>
      <c r="AV207" s="166">
        <f>'Returns per Bu.'!N214</f>
        <v>8.1034416222203411</v>
      </c>
      <c r="AW207" s="166">
        <f>'Returns per Bu.'!O214</f>
        <v>6.1698704876748858</v>
      </c>
      <c r="AX207" s="169">
        <f>'Returns per Bu.'!Z214</f>
        <v>-6.5038963909976613E-2</v>
      </c>
      <c r="AY207" s="162">
        <f>'Returns per Bu.'!AF214</f>
        <v>3.5881372549019606</v>
      </c>
      <c r="AZ207" s="165"/>
      <c r="BA207" s="15">
        <f t="shared" si="44"/>
        <v>2.4508823529411763</v>
      </c>
      <c r="BB207" s="93">
        <f>'Returns per Bu.'!AD214</f>
        <v>1.1372549019607843</v>
      </c>
      <c r="BC207" s="93">
        <f t="shared" si="45"/>
        <v>0.85995872033023724</v>
      </c>
    </row>
    <row r="208" spans="1:55" x14ac:dyDescent="0.2">
      <c r="A208" s="8">
        <v>44639</v>
      </c>
      <c r="C208" s="53"/>
      <c r="D208" s="93">
        <v>2.3513043393259463</v>
      </c>
      <c r="E208" s="95">
        <v>262.71739130434781</v>
      </c>
      <c r="F208" s="319">
        <v>0.8175</v>
      </c>
      <c r="G208" s="93">
        <v>7.1393478538679043</v>
      </c>
      <c r="H208" s="308">
        <v>9.42</v>
      </c>
      <c r="I208" s="184"/>
      <c r="K208" s="93">
        <f>'Returns per Gal.'!J215</f>
        <v>2.3513043393259463</v>
      </c>
      <c r="L208" s="93">
        <f>'Returns per Gal.'!K215</f>
        <v>0.75588863463005329</v>
      </c>
      <c r="M208" s="93">
        <f>'Returns per Gal.'!L215</f>
        <v>0.18644736842105264</v>
      </c>
      <c r="N208" s="93">
        <f>'Returns per Gal.'!M215</f>
        <v>3.2936403423770524</v>
      </c>
      <c r="O208" s="110">
        <f>'Returns per Gal.'!N215</f>
        <v>0</v>
      </c>
      <c r="P208" s="108">
        <f>'Returns per Gal.'!O215</f>
        <v>0</v>
      </c>
      <c r="Q208" s="93">
        <f>'Returns per Gal.'!P215</f>
        <v>2.5050343346904929</v>
      </c>
      <c r="R208" s="93">
        <f>'Returns per Gal.'!Q215</f>
        <v>0.28259999999999996</v>
      </c>
      <c r="S208" s="93">
        <f>'Returns per Gal.'!R215</f>
        <v>0.21939999999999998</v>
      </c>
      <c r="T208" s="93">
        <f>'Returns per Gal.'!S215</f>
        <v>3.0070343346904926</v>
      </c>
      <c r="U208" s="93">
        <f>'Returns per Gal.'!T215</f>
        <v>0.19624601212121212</v>
      </c>
      <c r="V208" s="93">
        <f>'Returns per Gal.'!U215</f>
        <v>3.2032803468117046</v>
      </c>
      <c r="W208" s="93">
        <f>'Returns per Gal.'!V215</f>
        <v>2.2609443437605985</v>
      </c>
      <c r="X208" s="105"/>
      <c r="Y208" s="93">
        <f>'Returns per Gal.'!V215</f>
        <v>2.2609443437605985</v>
      </c>
      <c r="Z208" s="93">
        <f>'Returns per Gal.'!Y215</f>
        <v>0.46750600768655959</v>
      </c>
      <c r="AA208" s="93">
        <f>'Returns per Gal.'!Z215</f>
        <v>0.28660600768655975</v>
      </c>
      <c r="AB208" s="93">
        <f>'Returns per Gal.'!AA215</f>
        <v>9.0359995565347795E-2</v>
      </c>
      <c r="AC208" s="80">
        <f>'Returns per Gal.'!AB215</f>
        <v>0</v>
      </c>
      <c r="AD208" s="15">
        <f>'Returns per Gal.'!AC215</f>
        <v>0</v>
      </c>
      <c r="AE208" s="81">
        <f>'Returns per Gal.'!AD215</f>
        <v>0</v>
      </c>
      <c r="AF208" s="93">
        <f>'Returns per Gal.'!AE215</f>
        <v>0.39903680770553834</v>
      </c>
      <c r="AG208" s="93">
        <f>'Returns per Gal.'!AF215</f>
        <v>0.85995872033023724</v>
      </c>
      <c r="AH208" s="93">
        <f>'Returns per Gal.'!AG215</f>
        <v>1.2589955280357756</v>
      </c>
      <c r="AI208" s="105">
        <f>'Returns per Gal.'!AH215</f>
        <v>0</v>
      </c>
      <c r="AJ208" s="104">
        <f>'Returns per Gal.'!AI215</f>
        <v>0</v>
      </c>
      <c r="AK208" s="93">
        <f>'Returns per Gal.'!AJ215</f>
        <v>1.7609955280357756</v>
      </c>
      <c r="AL208" s="93">
        <f>'Returns per Gal.'!AK215</f>
        <v>1.9572415401569878</v>
      </c>
      <c r="AM208" s="105">
        <f>'Returns per Gal.'!AL215</f>
        <v>0</v>
      </c>
      <c r="AN208" s="104"/>
      <c r="AO208" s="93">
        <f>'Returns per Gal.'!AN215</f>
        <v>1.5326448143412768</v>
      </c>
      <c r="AP208" s="93">
        <f>'Returns per Gal.'!AO215</f>
        <v>1.3363988022200646</v>
      </c>
      <c r="AQ208" s="93">
        <f>'Returns per Gal.'!AP215</f>
        <v>9.0359995565347351E-2</v>
      </c>
      <c r="AR208" s="93">
        <f>'Returns per Gal.'!AQ215</f>
        <v>1.2460388066547172</v>
      </c>
      <c r="AS208" s="52"/>
      <c r="AU208" s="177">
        <f>'Returns per Bu.'!G215</f>
        <v>7.1393478538679043</v>
      </c>
      <c r="AV208" s="166">
        <f>'Returns per Bu.'!N215</f>
        <v>9.3868749757745995</v>
      </c>
      <c r="AW208" s="166">
        <f>'Returns per Bu.'!O215</f>
        <v>7.3968738412291435</v>
      </c>
      <c r="AX208" s="169">
        <f>'Returns per Bu.'!Z215</f>
        <v>7.8420044720068457E-2</v>
      </c>
      <c r="AY208" s="162">
        <f>'Returns per Bu.'!AF215</f>
        <v>3.5881372549019606</v>
      </c>
      <c r="AZ208" s="165"/>
      <c r="BA208" s="15">
        <f t="shared" si="44"/>
        <v>2.4508823529411763</v>
      </c>
      <c r="BB208" s="93">
        <f>'Returns per Bu.'!AD215</f>
        <v>1.1372549019607843</v>
      </c>
      <c r="BC208" s="93">
        <f t="shared" si="45"/>
        <v>0.85995872033023724</v>
      </c>
    </row>
    <row r="209" spans="1:55" x14ac:dyDescent="0.2">
      <c r="A209" s="8">
        <v>44670</v>
      </c>
      <c r="C209" s="53"/>
      <c r="D209" s="281">
        <v>2.5026190848577592</v>
      </c>
      <c r="E209" s="282">
        <v>286.07142857142856</v>
      </c>
      <c r="F209" s="319">
        <v>0.80559999999999998</v>
      </c>
      <c r="G209" s="281">
        <v>7.7159226281302313</v>
      </c>
      <c r="H209" s="308">
        <v>8.58</v>
      </c>
      <c r="I209" s="184"/>
      <c r="J209" s="12"/>
      <c r="K209" s="93">
        <f>'Returns per Gal.'!J216</f>
        <v>2.5026190848577592</v>
      </c>
      <c r="L209" s="93">
        <f>'Returns per Gal.'!K216</f>
        <v>0.82308270676691719</v>
      </c>
      <c r="M209" s="93">
        <f>'Returns per Gal.'!L216</f>
        <v>0.18373333333333333</v>
      </c>
      <c r="N209" s="93">
        <f>'Returns per Gal.'!M216</f>
        <v>3.50943512495801</v>
      </c>
      <c r="O209" s="110"/>
      <c r="P209" s="108"/>
      <c r="Q209" s="93">
        <f>'Returns per Gal.'!P216</f>
        <v>2.7073412730281512</v>
      </c>
      <c r="R209" s="93">
        <f>'Returns per Gal.'!Q216</f>
        <v>0.25740000000000002</v>
      </c>
      <c r="S209" s="93">
        <f>'Returns per Gal.'!R216</f>
        <v>0.21939999999999998</v>
      </c>
      <c r="T209" s="93">
        <f>'Returns per Gal.'!S216</f>
        <v>3.1841412730281511</v>
      </c>
      <c r="U209" s="93">
        <f>'Returns per Gal.'!T216</f>
        <v>0.19624601212121212</v>
      </c>
      <c r="V209" s="93">
        <f>'Returns per Gal.'!U216</f>
        <v>3.380387285149363</v>
      </c>
      <c r="W209" s="93">
        <f>'Returns per Gal.'!V216</f>
        <v>2.3735712450491122</v>
      </c>
      <c r="X209" s="105"/>
      <c r="Y209" s="93"/>
      <c r="Z209" s="93">
        <f>'Returns per Gal.'!Y216</f>
        <v>0.50619385192985877</v>
      </c>
      <c r="AA209" s="93">
        <f>'Returns per Gal.'!Z216</f>
        <v>0.32529385192985893</v>
      </c>
      <c r="AB209" s="93">
        <f>'Returns per Gal.'!AA216</f>
        <v>0.12904783980864698</v>
      </c>
      <c r="AC209" s="80"/>
      <c r="AD209" s="15"/>
      <c r="AE209" s="81"/>
      <c r="AF209" s="93">
        <f>'Returns per Gal.'!AE216</f>
        <v>0.39903680770553834</v>
      </c>
      <c r="AG209" s="93">
        <f>'Returns per Gal.'!AF216</f>
        <v>0.85995872033023724</v>
      </c>
      <c r="AH209" s="93">
        <f>'Returns per Gal.'!AG216</f>
        <v>1.2589955280357756</v>
      </c>
      <c r="AI209" s="105">
        <f>'Returns per Gal.'!AH216</f>
        <v>0</v>
      </c>
      <c r="AJ209" s="104">
        <f>'Returns per Gal.'!AI216</f>
        <v>0</v>
      </c>
      <c r="AK209" s="93">
        <f>'Returns per Gal.'!AJ216</f>
        <v>1.7357955280357757</v>
      </c>
      <c r="AL209" s="93">
        <f>'Returns per Gal.'!AK216</f>
        <v>1.9320415401569879</v>
      </c>
      <c r="AM209" s="105">
        <f>'Returns per Gal.'!AL216</f>
        <v>0</v>
      </c>
      <c r="AN209" s="104"/>
      <c r="AO209" s="93">
        <f>'Returns per Gal.'!AN216</f>
        <v>1.7736395969222343</v>
      </c>
      <c r="AP209" s="93">
        <f>'Returns per Gal.'!AO216</f>
        <v>1.5773935848010221</v>
      </c>
      <c r="AQ209" s="93">
        <f>'Returns per Gal.'!AP216</f>
        <v>0.12904783980864654</v>
      </c>
      <c r="AR209" s="93">
        <f>'Returns per Gal.'!AQ216</f>
        <v>1.4483457449923756</v>
      </c>
      <c r="AS209" s="52"/>
      <c r="AU209" s="177">
        <f>'Returns per Bu.'!G216</f>
        <v>7.7159226281302313</v>
      </c>
      <c r="AV209" s="166">
        <f>'Returns per Bu.'!N216</f>
        <v>10.001890106130329</v>
      </c>
      <c r="AW209" s="166">
        <f>'Returns per Bu.'!O216</f>
        <v>8.0837089715848744</v>
      </c>
      <c r="AX209" s="169">
        <f>'Returns per Bu.'!Z216</f>
        <v>0.11199577097703271</v>
      </c>
      <c r="AY209" s="162">
        <f>'Returns per Bu.'!AF216</f>
        <v>3.5881372549019606</v>
      </c>
      <c r="AZ209" s="165"/>
      <c r="BA209" s="15">
        <f t="shared" si="44"/>
        <v>2.4508823529411763</v>
      </c>
      <c r="BB209" s="93">
        <f>'Returns per Bu.'!AD216</f>
        <v>1.1372549019607843</v>
      </c>
      <c r="BC209" s="93">
        <f t="shared" si="45"/>
        <v>0.85995872033023724</v>
      </c>
    </row>
    <row r="210" spans="1:55" x14ac:dyDescent="0.2">
      <c r="A210" s="8">
        <v>44700</v>
      </c>
      <c r="C210" s="53"/>
      <c r="D210" s="281">
        <v>2.7110526122544942</v>
      </c>
      <c r="E210" s="282">
        <v>276.75</v>
      </c>
      <c r="F210" s="319">
        <v>0.82869999999999999</v>
      </c>
      <c r="G210" s="281">
        <v>7.7598059213764614</v>
      </c>
      <c r="H210" s="308">
        <v>8.92</v>
      </c>
      <c r="I210" s="184"/>
      <c r="J210" s="12"/>
      <c r="K210" s="93">
        <f>'Returns per Gal.'!J217</f>
        <v>2.7110526122544942</v>
      </c>
      <c r="L210" s="93">
        <f>'Returns per Gal.'!K217</f>
        <v>0.79626315789473678</v>
      </c>
      <c r="M210" s="93">
        <f>'Returns per Gal.'!L217</f>
        <v>0.18900175438596489</v>
      </c>
      <c r="N210" s="93">
        <f>'Returns per Gal.'!M217</f>
        <v>3.6963175245351958</v>
      </c>
      <c r="O210" s="110"/>
      <c r="P210" s="108"/>
      <c r="Q210" s="93">
        <f>'Returns per Gal.'!P217</f>
        <v>2.7227389197812144</v>
      </c>
      <c r="R210" s="93">
        <f>'Returns per Gal.'!Q217</f>
        <v>0.26759999999999995</v>
      </c>
      <c r="S210" s="93">
        <f>'Returns per Gal.'!R217</f>
        <v>0.21939999999999998</v>
      </c>
      <c r="T210" s="93">
        <f>'Returns per Gal.'!S217</f>
        <v>3.2097389197812141</v>
      </c>
      <c r="U210" s="93">
        <f>'Returns per Gal.'!T217</f>
        <v>0.19624601212121212</v>
      </c>
      <c r="V210" s="93">
        <f>'Returns per Gal.'!U217</f>
        <v>3.405984931902426</v>
      </c>
      <c r="W210" s="93">
        <f>'Returns per Gal.'!V217</f>
        <v>2.4207200196217245</v>
      </c>
      <c r="X210" s="105"/>
      <c r="Y210" s="93"/>
      <c r="Z210" s="93">
        <f>'Returns per Gal.'!Y217</f>
        <v>0.66747860475398146</v>
      </c>
      <c r="AA210" s="93">
        <f>'Returns per Gal.'!Z217</f>
        <v>0.48657860475398174</v>
      </c>
      <c r="AB210" s="93">
        <f>'Returns per Gal.'!AA217</f>
        <v>0.29033259263276978</v>
      </c>
      <c r="AC210" s="80"/>
      <c r="AD210" s="15"/>
      <c r="AE210" s="81"/>
      <c r="AF210" s="93">
        <f>'Returns per Gal.'!AE217</f>
        <v>0.39903680770553834</v>
      </c>
      <c r="AG210" s="93">
        <f>'Returns per Gal.'!AF217</f>
        <v>0.85995872033023724</v>
      </c>
      <c r="AH210" s="93">
        <f>'Returns per Gal.'!AG217</f>
        <v>1.2589955280357756</v>
      </c>
      <c r="AI210" s="105">
        <f>'Returns per Gal.'!AH217</f>
        <v>0</v>
      </c>
      <c r="AJ210" s="104">
        <f>'Returns per Gal.'!AI217</f>
        <v>0</v>
      </c>
      <c r="AK210" s="93">
        <f>'Returns per Gal.'!AJ217</f>
        <v>1.7459955280357755</v>
      </c>
      <c r="AL210" s="93">
        <f>'Returns per Gal.'!AK217</f>
        <v>1.9422415401569877</v>
      </c>
      <c r="AM210" s="105">
        <f>'Returns per Gal.'!AL217</f>
        <v>0</v>
      </c>
      <c r="AN210" s="104"/>
      <c r="AO210" s="93">
        <f>'Returns per Gal.'!AN217</f>
        <v>1.9503219964994203</v>
      </c>
      <c r="AP210" s="93">
        <f>'Returns per Gal.'!AO217</f>
        <v>1.7540759843782081</v>
      </c>
      <c r="AQ210" s="93">
        <f>'Returns per Gal.'!AP217</f>
        <v>0.29033259263276934</v>
      </c>
      <c r="AR210" s="93">
        <f>'Returns per Gal.'!AQ217</f>
        <v>1.4637433917454388</v>
      </c>
      <c r="AS210" s="52"/>
      <c r="AU210" s="177">
        <f>'Returns per Bu.'!G217</f>
        <v>7.7598059213764614</v>
      </c>
      <c r="AV210" s="166">
        <f>'Returns per Bu.'!N217</f>
        <v>10.53450494492531</v>
      </c>
      <c r="AW210" s="166">
        <f>'Returns per Bu.'!O217</f>
        <v>8.5872538103798544</v>
      </c>
      <c r="AX210" s="169">
        <f>'Returns per Bu.'!Z217</f>
        <v>0.25196874740315556</v>
      </c>
      <c r="AY210" s="162">
        <f>'Returns per Bu.'!AF217</f>
        <v>3.5881372549019606</v>
      </c>
      <c r="AZ210" s="165"/>
      <c r="BA210" s="15">
        <f t="shared" si="44"/>
        <v>2.4508823529411763</v>
      </c>
      <c r="BB210" s="93">
        <f>'Returns per Bu.'!AD217</f>
        <v>1.1372549019607843</v>
      </c>
      <c r="BC210" s="93">
        <f t="shared" si="45"/>
        <v>0.85995872033023724</v>
      </c>
    </row>
    <row r="211" spans="1:55" x14ac:dyDescent="0.2">
      <c r="A211" s="8">
        <v>44731</v>
      </c>
      <c r="C211" s="53"/>
      <c r="D211" s="281">
        <v>2.6997500002384185</v>
      </c>
      <c r="E211" s="282">
        <v>230.3125</v>
      </c>
      <c r="F211" s="319">
        <v>0.76430000000000009</v>
      </c>
      <c r="G211" s="281">
        <v>7.8222812652587894</v>
      </c>
      <c r="H211" s="308">
        <v>9.19</v>
      </c>
      <c r="I211" s="184"/>
      <c r="K211" s="93">
        <f>'Returns per Gal.'!J218</f>
        <v>2.6997500002384185</v>
      </c>
      <c r="L211" s="93">
        <f>'Returns per Gal.'!K218</f>
        <v>0.66265350877192974</v>
      </c>
      <c r="M211" s="93">
        <f>'Returns per Gal.'!L218</f>
        <v>0.17431403508771934</v>
      </c>
      <c r="N211" s="93">
        <f>'Returns per Gal.'!M218</f>
        <v>3.5367175440980674</v>
      </c>
      <c r="O211" s="110"/>
      <c r="P211" s="108"/>
      <c r="Q211" s="93">
        <f>'Returns per Gal.'!P218</f>
        <v>2.7446600930732594</v>
      </c>
      <c r="R211" s="93">
        <f>'Returns per Gal.'!Q218</f>
        <v>0.2757</v>
      </c>
      <c r="S211" s="93">
        <f>'Returns per Gal.'!R218</f>
        <v>0.21939999999999998</v>
      </c>
      <c r="T211" s="93">
        <f>'Returns per Gal.'!S218</f>
        <v>3.2397600930732593</v>
      </c>
      <c r="U211" s="93">
        <f>'Returns per Gal.'!T218</f>
        <v>0.19624601212121212</v>
      </c>
      <c r="V211" s="93">
        <f>'Returns per Gal.'!U218</f>
        <v>3.4360061051944712</v>
      </c>
      <c r="W211" s="93">
        <f>'Returns per Gal.'!V218</f>
        <v>2.5990385613348224</v>
      </c>
      <c r="X211" s="105"/>
      <c r="Y211" s="93"/>
      <c r="Z211" s="93">
        <f>'Returns per Gal.'!Y218</f>
        <v>0.47785745102480792</v>
      </c>
      <c r="AA211" s="93">
        <f>'Returns per Gal.'!Z218</f>
        <v>0.29695745102480808</v>
      </c>
      <c r="AB211" s="93">
        <f>'Returns per Gal.'!AA218</f>
        <v>0.10071143890359613</v>
      </c>
      <c r="AC211" s="80"/>
      <c r="AD211" s="15"/>
      <c r="AE211" s="81"/>
      <c r="AF211" s="93">
        <f>'Returns per Gal.'!AE218</f>
        <v>0.39903680770553834</v>
      </c>
      <c r="AG211" s="93">
        <f>'Returns per Gal.'!AF218</f>
        <v>0.85995872033023724</v>
      </c>
      <c r="AH211" s="93">
        <f>'Returns per Gal.'!AG218</f>
        <v>1.2589955280357756</v>
      </c>
      <c r="AI211" s="105">
        <f>'Returns per Gal.'!AH218</f>
        <v>0</v>
      </c>
      <c r="AJ211" s="104">
        <f>'Returns per Gal.'!AI218</f>
        <v>0</v>
      </c>
      <c r="AK211" s="93">
        <f>'Returns per Gal.'!AJ218</f>
        <v>1.7540955280357757</v>
      </c>
      <c r="AL211" s="93">
        <f>'Returns per Gal.'!AK218</f>
        <v>1.9503415401569879</v>
      </c>
      <c r="AM211" s="105">
        <f>'Returns per Gal.'!AL218</f>
        <v>0</v>
      </c>
      <c r="AN211" s="104"/>
      <c r="AO211" s="93">
        <f>'Returns per Gal.'!AN218</f>
        <v>1.7826220160622916</v>
      </c>
      <c r="AP211" s="93">
        <f>'Returns per Gal.'!AO218</f>
        <v>1.5863760039410795</v>
      </c>
      <c r="AQ211" s="93">
        <f>'Returns per Gal.'!AP218</f>
        <v>0.10071143890359568</v>
      </c>
      <c r="AR211" s="93">
        <f>'Returns per Gal.'!AQ218</f>
        <v>1.4856645650374838</v>
      </c>
      <c r="AS211" s="52"/>
      <c r="AU211" s="177">
        <f>'Returns per Bu.'!G218</f>
        <v>7.8222812652587894</v>
      </c>
      <c r="AV211" s="166">
        <f>'Returns per Bu.'!N218</f>
        <v>10.079645000679493</v>
      </c>
      <c r="AW211" s="166">
        <f>'Returns per Bu.'!O218</f>
        <v>8.1093088661340378</v>
      </c>
      <c r="AX211" s="169">
        <f>'Returns per Bu.'!Z218</f>
        <v>8.7403673420179157E-2</v>
      </c>
      <c r="AY211" s="162">
        <f>'Returns per Bu.'!AF218</f>
        <v>3.5881372549019606</v>
      </c>
      <c r="AZ211" s="165"/>
      <c r="BA211" s="15">
        <f t="shared" si="44"/>
        <v>2.4508823529411763</v>
      </c>
      <c r="BB211" s="93">
        <f>'Returns per Bu.'!AD218</f>
        <v>1.1372549019607843</v>
      </c>
      <c r="BC211" s="93">
        <f t="shared" si="45"/>
        <v>0.85995872033023724</v>
      </c>
    </row>
    <row r="212" spans="1:55" x14ac:dyDescent="0.2">
      <c r="A212" s="8">
        <v>44761</v>
      </c>
      <c r="C212" s="53"/>
      <c r="D212" s="281">
        <v>2.5071428428377422</v>
      </c>
      <c r="E212" s="282">
        <v>204.827</v>
      </c>
      <c r="F212" s="319">
        <v>0.68400000000000005</v>
      </c>
      <c r="G212" s="281">
        <v>7.2395816596730533</v>
      </c>
      <c r="H212" s="308">
        <v>7.85</v>
      </c>
      <c r="I212" s="184"/>
      <c r="K212" s="93">
        <f>'Returns per Gal.'!J219</f>
        <v>2.5071428428377422</v>
      </c>
      <c r="L212" s="93">
        <f>'Returns per Gal.'!K219</f>
        <v>0.58932680701754381</v>
      </c>
      <c r="M212" s="93">
        <f>'Returns per Gal.'!L219</f>
        <v>0.156</v>
      </c>
      <c r="N212" s="93">
        <f>'Returns per Gal.'!M219</f>
        <v>3.2524696498552861</v>
      </c>
      <c r="O212" s="110"/>
      <c r="P212" s="108"/>
      <c r="Q212" s="93">
        <f>'Returns per Gal.'!P219</f>
        <v>2.5402040911133521</v>
      </c>
      <c r="R212" s="93">
        <f>'Returns per Gal.'!Q219</f>
        <v>0.23549999999999999</v>
      </c>
      <c r="S212" s="93">
        <f>'Returns per Gal.'!R219</f>
        <v>0.21939999999999998</v>
      </c>
      <c r="T212" s="93">
        <f>'Returns per Gal.'!S219</f>
        <v>2.995104091113352</v>
      </c>
      <c r="U212" s="93">
        <f>'Returns per Gal.'!T219</f>
        <v>0.19624601212121212</v>
      </c>
      <c r="V212" s="93">
        <f>'Returns per Gal.'!U219</f>
        <v>3.1913501032345639</v>
      </c>
      <c r="W212" s="93">
        <f>'Returns per Gal.'!V219</f>
        <v>2.4460232962170201</v>
      </c>
      <c r="X212" s="105"/>
      <c r="Y212" s="93"/>
      <c r="Z212" s="93">
        <f>'Returns per Gal.'!Y219</f>
        <v>0.43826555874193401</v>
      </c>
      <c r="AA212" s="93">
        <f>'Returns per Gal.'!Z219</f>
        <v>0.25736555874193412</v>
      </c>
      <c r="AB212" s="93">
        <f>'Returns per Gal.'!AA219</f>
        <v>6.1119546620722165E-2</v>
      </c>
      <c r="AC212" s="80"/>
      <c r="AD212" s="15"/>
      <c r="AE212" s="81"/>
      <c r="AF212" s="93">
        <f>'Returns per Gal.'!AE219</f>
        <v>0.39903680770553834</v>
      </c>
      <c r="AG212" s="93">
        <f>'Returns per Gal.'!AF219</f>
        <v>0.85995872033023724</v>
      </c>
      <c r="AH212" s="93">
        <f>'Returns per Gal.'!AG219</f>
        <v>1.2589955280357756</v>
      </c>
      <c r="AI212" s="105">
        <f>'Returns per Gal.'!AH219</f>
        <v>0</v>
      </c>
      <c r="AJ212" s="104">
        <f>'Returns per Gal.'!AI219</f>
        <v>0</v>
      </c>
      <c r="AK212" s="93">
        <f>'Returns per Gal.'!AJ219</f>
        <v>1.7138955280357757</v>
      </c>
      <c r="AL212" s="93">
        <f>'Returns per Gal.'!AK219</f>
        <v>1.9101415401569879</v>
      </c>
      <c r="AM212" s="105">
        <f>'Returns per Gal.'!AL219</f>
        <v>0</v>
      </c>
      <c r="AN212" s="104"/>
      <c r="AO212" s="93">
        <f>'Returns per Gal.'!AN219</f>
        <v>1.5385741218195104</v>
      </c>
      <c r="AP212" s="93">
        <f>'Returns per Gal.'!AO219</f>
        <v>1.3423281096982982</v>
      </c>
      <c r="AQ212" s="93">
        <f>'Returns per Gal.'!AP219</f>
        <v>6.1119546620721721E-2</v>
      </c>
      <c r="AR212" s="93">
        <f>'Returns per Gal.'!AQ219</f>
        <v>1.2812085630775765</v>
      </c>
      <c r="AS212" s="52"/>
      <c r="AU212" s="177">
        <f>'Returns per Bu.'!G219</f>
        <v>7.2395816596730533</v>
      </c>
      <c r="AV212" s="166">
        <f>'Returns per Bu.'!N219</f>
        <v>9.2695385020875651</v>
      </c>
      <c r="AW212" s="166">
        <f>'Returns per Bu.'!O219</f>
        <v>7.4137723675421103</v>
      </c>
      <c r="AX212" s="169">
        <f>'Returns per Bu.'!Z219</f>
        <v>5.3043357840816617E-2</v>
      </c>
      <c r="AY212" s="162">
        <f>'Returns per Bu.'!AF219</f>
        <v>3.5881372549019606</v>
      </c>
      <c r="AZ212" s="165"/>
      <c r="BA212" s="15">
        <f t="shared" si="44"/>
        <v>2.4508823529411763</v>
      </c>
      <c r="BB212" s="93">
        <f>'Returns per Bu.'!AD219</f>
        <v>1.1372549019607843</v>
      </c>
      <c r="BC212" s="93">
        <f t="shared" si="45"/>
        <v>0.85995872033023724</v>
      </c>
    </row>
    <row r="213" spans="1:55" x14ac:dyDescent="0.2">
      <c r="A213" s="8">
        <v>44792</v>
      </c>
      <c r="C213" s="53"/>
      <c r="D213" s="281">
        <v>2.4648714285714286</v>
      </c>
      <c r="E213" s="282">
        <v>225.14249999999998</v>
      </c>
      <c r="F213" s="281">
        <v>0.70909999999999995</v>
      </c>
      <c r="G213" s="281">
        <v>7.3412826086956509</v>
      </c>
      <c r="H213" s="308">
        <v>8.19</v>
      </c>
      <c r="I213" s="184"/>
      <c r="K213" s="93">
        <f>'Returns per Gal.'!J220</f>
        <v>2.4648714285714286</v>
      </c>
      <c r="L213" s="93">
        <f>'Returns per Gal.'!K220</f>
        <v>0.6477784210526315</v>
      </c>
      <c r="M213" s="93">
        <f>'Returns per Gal.'!L220</f>
        <v>0.16172456140350874</v>
      </c>
      <c r="N213" s="93">
        <f>'Returns per Gal.'!M220</f>
        <v>3.2743744110275688</v>
      </c>
      <c r="O213" s="110"/>
      <c r="P213" s="108"/>
      <c r="Q213" s="93">
        <f>'Returns per Gal.'!P220</f>
        <v>2.5758886346300529</v>
      </c>
      <c r="R213" s="93">
        <f>'Returns per Gal.'!Q220</f>
        <v>0.24569999999999997</v>
      </c>
      <c r="S213" s="93">
        <f>'Returns per Gal.'!R220</f>
        <v>0.21939999999999998</v>
      </c>
      <c r="T213" s="93">
        <f>'Returns per Gal.'!S220</f>
        <v>3.0409886346300525</v>
      </c>
      <c r="U213" s="93">
        <f>'Returns per Gal.'!T220</f>
        <v>0.19624601212121212</v>
      </c>
      <c r="V213" s="93">
        <f>'Returns per Gal.'!U220</f>
        <v>3.2372346467512645</v>
      </c>
      <c r="W213" s="93">
        <f>'Returns per Gal.'!V220</f>
        <v>2.4277316642951243</v>
      </c>
      <c r="X213" s="105"/>
      <c r="Y213" s="93"/>
      <c r="Z213" s="93">
        <f>'Returns per Gal.'!Y220</f>
        <v>0.4142857763975159</v>
      </c>
      <c r="AA213" s="93">
        <f>'Returns per Gal.'!Z220</f>
        <v>0.23338577639751623</v>
      </c>
      <c r="AB213" s="93">
        <f>'Returns per Gal.'!AA220</f>
        <v>3.7139764276304277E-2</v>
      </c>
      <c r="AC213" s="80"/>
      <c r="AD213" s="15"/>
      <c r="AE213" s="81"/>
      <c r="AF213" s="93">
        <f>'Returns per Gal.'!AE220</f>
        <v>0.39903680770553834</v>
      </c>
      <c r="AG213" s="93">
        <f>'Returns per Gal.'!AF220</f>
        <v>0.85995872033023724</v>
      </c>
      <c r="AH213" s="93">
        <f>'Returns per Gal.'!AG220</f>
        <v>1.2589955280357756</v>
      </c>
      <c r="AI213" s="105">
        <f>'Returns per Gal.'!AH220</f>
        <v>0</v>
      </c>
      <c r="AJ213" s="104">
        <f>'Returns per Gal.'!AI220</f>
        <v>0</v>
      </c>
      <c r="AK213" s="93">
        <f>'Returns per Gal.'!AJ220</f>
        <v>1.7240955280357757</v>
      </c>
      <c r="AL213" s="93">
        <f>'Returns per Gal.'!AK220</f>
        <v>1.9203415401569879</v>
      </c>
      <c r="AM213" s="105">
        <f>'Returns per Gal.'!AL220</f>
        <v>0</v>
      </c>
      <c r="AN213" s="104"/>
      <c r="AO213" s="93">
        <f>'Returns per Gal.'!AN220</f>
        <v>1.5502788829917931</v>
      </c>
      <c r="AP213" s="93">
        <f>'Returns per Gal.'!AO220</f>
        <v>1.3540328708705809</v>
      </c>
      <c r="AQ213" s="93">
        <f>'Returns per Gal.'!AP220</f>
        <v>3.7139764276303611E-2</v>
      </c>
      <c r="AR213" s="93">
        <f>'Returns per Gal.'!AQ220</f>
        <v>1.3168931065942773</v>
      </c>
      <c r="AS213" s="52"/>
      <c r="AU213" s="177">
        <f>'Returns per Bu.'!G220</f>
        <v>7.3412826086956509</v>
      </c>
      <c r="AV213" s="166">
        <f>'Returns per Bu.'!N220</f>
        <v>9.3319670714285721</v>
      </c>
      <c r="AW213" s="166">
        <f>'Returns per Bu.'!O220</f>
        <v>7.4471309368831173</v>
      </c>
      <c r="AX213" s="169">
        <f>'Returns per Bu.'!Z220</f>
        <v>3.2232205825356443E-2</v>
      </c>
      <c r="AY213" s="162">
        <f>'Returns per Bu.'!AF220</f>
        <v>3.5881372549019606</v>
      </c>
      <c r="AZ213" s="165"/>
      <c r="BA213" s="15">
        <f t="shared" si="44"/>
        <v>2.4508823529411763</v>
      </c>
      <c r="BB213" s="93">
        <f>'Returns per Bu.'!AD220</f>
        <v>1.1372549019607843</v>
      </c>
      <c r="BC213" s="93">
        <f t="shared" si="45"/>
        <v>0.85995872033023724</v>
      </c>
    </row>
    <row r="214" spans="1:55" x14ac:dyDescent="0.2">
      <c r="A214" s="8">
        <v>44823</v>
      </c>
      <c r="C214" s="53"/>
      <c r="D214" s="281">
        <v>2.3894600000000001</v>
      </c>
      <c r="E214" s="282">
        <v>251.84200000000001</v>
      </c>
      <c r="F214" s="281">
        <v>0.73181999999999992</v>
      </c>
      <c r="G214" s="281">
        <v>7.3726690476190493</v>
      </c>
      <c r="H214" s="308">
        <v>9.5299999999999994</v>
      </c>
      <c r="I214" s="184"/>
      <c r="K214" s="93">
        <f>'Returns per Gal.'!J221</f>
        <v>2.3894600000000001</v>
      </c>
      <c r="L214" s="93">
        <f>'Returns per Gal.'!K221</f>
        <v>0.72459803508771925</v>
      </c>
      <c r="M214" s="93">
        <f>'Returns per Gal.'!L221</f>
        <v>0.16690631578947368</v>
      </c>
      <c r="N214" s="93">
        <f>'Returns per Gal.'!M221</f>
        <v>3.2809643508771931</v>
      </c>
      <c r="O214" s="110"/>
      <c r="P214" s="108"/>
      <c r="Q214" s="93">
        <f>'Returns per Gal.'!P221</f>
        <v>2.58690142021721</v>
      </c>
      <c r="R214" s="93">
        <f>'Returns per Gal.'!Q221</f>
        <v>0.28589999999999993</v>
      </c>
      <c r="S214" s="93">
        <f>'Returns per Gal.'!R221</f>
        <v>0.21939999999999998</v>
      </c>
      <c r="T214" s="93">
        <f>'Returns per Gal.'!S221</f>
        <v>3.0922014202172097</v>
      </c>
      <c r="U214" s="93">
        <f>'Returns per Gal.'!T221</f>
        <v>0.19624601212121212</v>
      </c>
      <c r="V214" s="93">
        <f>'Returns per Gal.'!U221</f>
        <v>3.2884474323384216</v>
      </c>
      <c r="W214" s="93">
        <f>'Returns per Gal.'!V221</f>
        <v>2.3969430814612287</v>
      </c>
      <c r="X214" s="105"/>
      <c r="Y214" s="93"/>
      <c r="Z214" s="93">
        <f>'Returns per Gal.'!Y221</f>
        <v>0.36966293065998312</v>
      </c>
      <c r="AA214" s="93">
        <f>'Returns per Gal.'!Z221</f>
        <v>0.1887629306599834</v>
      </c>
      <c r="AB214" s="93">
        <f>'Returns per Gal.'!AA221</f>
        <v>-7.4830814612285579E-3</v>
      </c>
      <c r="AC214" s="80"/>
      <c r="AD214" s="15"/>
      <c r="AE214" s="81"/>
      <c r="AF214" s="93">
        <f>'Returns per Gal.'!AE221</f>
        <v>0.44912280701754387</v>
      </c>
      <c r="AG214" s="93">
        <f>'Returns per Gal.'!AF221</f>
        <v>1.1340087719298246</v>
      </c>
      <c r="AH214" s="93">
        <f>'Returns per Gal.'!AG221</f>
        <v>1.5831315789473686</v>
      </c>
      <c r="AI214" s="105">
        <f>'Returns per Gal.'!AH221</f>
        <v>0</v>
      </c>
      <c r="AJ214" s="104">
        <f>'Returns per Gal.'!AI221</f>
        <v>0</v>
      </c>
      <c r="AK214" s="93">
        <f>'Returns per Gal.'!AJ221</f>
        <v>2.0884315789473682</v>
      </c>
      <c r="AL214" s="93">
        <f>'Returns per Gal.'!AK221</f>
        <v>2.2846775910685801</v>
      </c>
      <c r="AM214" s="105">
        <f>'Returns per Gal.'!AL221</f>
        <v>0</v>
      </c>
      <c r="AN214" s="104"/>
      <c r="AO214" s="93">
        <f>'Returns per Gal.'!AN221</f>
        <v>1.1925327719298249</v>
      </c>
      <c r="AP214" s="93">
        <f>'Returns per Gal.'!AO221</f>
        <v>0.99628675980861292</v>
      </c>
      <c r="AQ214" s="93">
        <f>'Returns per Gal.'!AP221</f>
        <v>-7.4830814612285579E-3</v>
      </c>
      <c r="AR214" s="93">
        <f>'Returns per Gal.'!AQ221</f>
        <v>1.0037698412698415</v>
      </c>
      <c r="AS214" s="52"/>
      <c r="AU214" s="177">
        <f>'Returns per Bu.'!G221</f>
        <v>7.3726690476190493</v>
      </c>
      <c r="AV214" s="166">
        <f>'Returns per Bu.'!N221</f>
        <v>9.3507484000000005</v>
      </c>
      <c r="AW214" s="166">
        <f>'Returns per Bu.'!O221</f>
        <v>7.3513422654545453</v>
      </c>
      <c r="AX214" s="169">
        <f>'Returns per Bu.'!Z221</f>
        <v>-6.4942852106400131E-3</v>
      </c>
      <c r="AY214" s="162">
        <f>'Returns per Bu.'!AF221</f>
        <v>4.5119250000000006</v>
      </c>
      <c r="AZ214" s="165"/>
      <c r="BA214" s="15">
        <f t="shared" si="44"/>
        <v>3.2319250000000004</v>
      </c>
      <c r="BB214" s="93">
        <f>'Returns per Bu.'!AD221</f>
        <v>1.28</v>
      </c>
      <c r="BC214" s="93">
        <f t="shared" si="45"/>
        <v>1.1340087719298246</v>
      </c>
    </row>
    <row r="215" spans="1:55" x14ac:dyDescent="0.2">
      <c r="A215" s="8">
        <v>44853</v>
      </c>
      <c r="C215" s="53"/>
      <c r="D215" s="281">
        <v>2.33474</v>
      </c>
      <c r="E215" s="282">
        <v>245.07750000000001</v>
      </c>
      <c r="F215" s="281">
        <v>0.73180000000000001</v>
      </c>
      <c r="G215" s="281">
        <v>6.8905924999999995</v>
      </c>
      <c r="H215" s="308">
        <v>8.19</v>
      </c>
      <c r="I215" s="184"/>
      <c r="K215" s="93">
        <f>'Returns per Gal.'!J222</f>
        <v>2.33474</v>
      </c>
      <c r="L215" s="93">
        <f>'Returns per Gal.'!K222</f>
        <v>0.70513526315789465</v>
      </c>
      <c r="M215" s="93">
        <f>'Returns per Gal.'!L222</f>
        <v>0.16690175438596491</v>
      </c>
      <c r="N215" s="93">
        <f>'Returns per Gal.'!M222</f>
        <v>3.2067770175438599</v>
      </c>
      <c r="O215" s="110"/>
      <c r="P215" s="108"/>
      <c r="Q215" s="93">
        <f>'Returns per Gal.'!P222</f>
        <v>2.4177517543859648</v>
      </c>
      <c r="R215" s="93">
        <f>'Returns per Gal.'!Q222</f>
        <v>0.24569999999999997</v>
      </c>
      <c r="S215" s="93">
        <f>'Returns per Gal.'!R222</f>
        <v>0.21939999999999998</v>
      </c>
      <c r="T215" s="93">
        <f>'Returns per Gal.'!S222</f>
        <v>2.8828517543859644</v>
      </c>
      <c r="U215" s="93">
        <f>'Returns per Gal.'!T222</f>
        <v>0.19624601212121212</v>
      </c>
      <c r="V215" s="93">
        <f>'Returns per Gal.'!U222</f>
        <v>3.0790977665071764</v>
      </c>
      <c r="W215" s="93">
        <f>'Returns per Gal.'!V222</f>
        <v>2.2070607489633169</v>
      </c>
      <c r="X215" s="105"/>
      <c r="Y215" s="93"/>
      <c r="Z215" s="93">
        <f>'Returns per Gal.'!Y222</f>
        <v>0.50482526315789511</v>
      </c>
      <c r="AA215" s="93">
        <f>'Returns per Gal.'!Z222</f>
        <v>0.32392526315789549</v>
      </c>
      <c r="AB215" s="93">
        <f>'Returns per Gal.'!AA222</f>
        <v>0.12767925103668354</v>
      </c>
      <c r="AC215" s="80"/>
      <c r="AD215" s="15"/>
      <c r="AE215" s="81"/>
      <c r="AF215" s="93">
        <f>'Returns per Gal.'!AE222</f>
        <v>0.44912280701754387</v>
      </c>
      <c r="AG215" s="93">
        <f>'Returns per Gal.'!AF222</f>
        <v>1.1340087719298246</v>
      </c>
      <c r="AH215" s="93">
        <f>'Returns per Gal.'!AG222</f>
        <v>1.5831315789473686</v>
      </c>
      <c r="AI215" s="105">
        <f>'Returns per Gal.'!AH222</f>
        <v>0</v>
      </c>
      <c r="AJ215" s="104">
        <f>'Returns per Gal.'!AI222</f>
        <v>0</v>
      </c>
      <c r="AK215" s="93">
        <f>'Returns per Gal.'!AJ222</f>
        <v>2.0482315789473686</v>
      </c>
      <c r="AL215" s="93">
        <f>'Returns per Gal.'!AK222</f>
        <v>2.2444775910685806</v>
      </c>
      <c r="AM215" s="105">
        <f>'Returns per Gal.'!AL222</f>
        <v>0</v>
      </c>
      <c r="AN215" s="104"/>
      <c r="AO215" s="93">
        <f>'Returns per Gal.'!AN222</f>
        <v>1.1585454385964913</v>
      </c>
      <c r="AP215" s="93">
        <f>'Returns per Gal.'!AO222</f>
        <v>0.96229942647527933</v>
      </c>
      <c r="AQ215" s="93">
        <f>'Returns per Gal.'!AP222</f>
        <v>0.12767925103668309</v>
      </c>
      <c r="AR215" s="93">
        <f>'Returns per Gal.'!AQ222</f>
        <v>0.83462017543859623</v>
      </c>
      <c r="AS215" s="52"/>
      <c r="AU215" s="177">
        <f>'Returns per Bu.'!G222</f>
        <v>6.8905924999999995</v>
      </c>
      <c r="AV215" s="166">
        <f>'Returns per Bu.'!N222</f>
        <v>9.1393145000000011</v>
      </c>
      <c r="AW215" s="166">
        <f>'Returns per Bu.'!O222</f>
        <v>7.2544783654545464</v>
      </c>
      <c r="AX215" s="169">
        <f>'Returns per Bu.'!Z222</f>
        <v>0.11080802420890509</v>
      </c>
      <c r="AY215" s="162">
        <f>'Returns per Bu.'!AF222</f>
        <v>4.5119250000000006</v>
      </c>
      <c r="AZ215" s="165"/>
      <c r="BA215" s="15">
        <f t="shared" si="44"/>
        <v>3.2319250000000004</v>
      </c>
      <c r="BB215" s="93">
        <f>'Returns per Bu.'!AD222</f>
        <v>1.28</v>
      </c>
      <c r="BC215" s="93">
        <f t="shared" si="45"/>
        <v>1.1340087719298246</v>
      </c>
    </row>
    <row r="216" spans="1:55" x14ac:dyDescent="0.2">
      <c r="A216" s="8">
        <v>44884</v>
      </c>
      <c r="C216" s="53"/>
      <c r="D216" s="281">
        <v>2.4573428571428573</v>
      </c>
      <c r="E216" s="282">
        <v>220.80124999999998</v>
      </c>
      <c r="F216" s="281">
        <v>0.77570000000000006</v>
      </c>
      <c r="G216" s="281">
        <v>6.8072833333333325</v>
      </c>
      <c r="H216" s="308">
        <v>7.8</v>
      </c>
      <c r="I216" s="184"/>
      <c r="K216" s="93">
        <f>'Returns per Gal.'!J223</f>
        <v>2.4573428571428573</v>
      </c>
      <c r="L216" s="93">
        <f>'Returns per Gal.'!K223</f>
        <v>0.63528780701754373</v>
      </c>
      <c r="M216" s="93">
        <f>'Returns per Gal.'!L223</f>
        <v>0.1769140350877193</v>
      </c>
      <c r="N216" s="93">
        <f>'Returns per Gal.'!M223</f>
        <v>3.2695446992481205</v>
      </c>
      <c r="O216" s="110"/>
      <c r="P216" s="108"/>
      <c r="Q216" s="93">
        <f>'Returns per Gal.'!P223</f>
        <v>2.388520467836257</v>
      </c>
      <c r="R216" s="93">
        <f>'Returns per Gal.'!Q223</f>
        <v>0.23399999999999999</v>
      </c>
      <c r="S216" s="93">
        <f>'Returns per Gal.'!R223</f>
        <v>0.21939999999999998</v>
      </c>
      <c r="T216" s="93">
        <f>'Returns per Gal.'!S223</f>
        <v>2.8419204678362568</v>
      </c>
      <c r="U216" s="93">
        <f>'Returns per Gal.'!T223</f>
        <v>0.19624601212121212</v>
      </c>
      <c r="V216" s="93">
        <f>'Returns per Gal.'!U223</f>
        <v>3.0381664799574688</v>
      </c>
      <c r="W216" s="93">
        <f>'Returns per Gal.'!V223</f>
        <v>2.2259646378522056</v>
      </c>
      <c r="X216" s="105"/>
      <c r="Y216" s="93"/>
      <c r="Z216" s="93">
        <f>'Returns per Gal.'!Y223</f>
        <v>0.60852423141186351</v>
      </c>
      <c r="AA216" s="93">
        <f>'Returns per Gal.'!Z223</f>
        <v>0.42762423141186368</v>
      </c>
      <c r="AB216" s="93">
        <f>'Returns per Gal.'!AA223</f>
        <v>0.23137821929065172</v>
      </c>
      <c r="AC216" s="80"/>
      <c r="AD216" s="15"/>
      <c r="AE216" s="81"/>
      <c r="AF216" s="93">
        <f>'Returns per Gal.'!AE223</f>
        <v>0.44912280701754387</v>
      </c>
      <c r="AG216" s="93">
        <f>'Returns per Gal.'!AF223</f>
        <v>1.1340087719298246</v>
      </c>
      <c r="AH216" s="93">
        <f>'Returns per Gal.'!AG223</f>
        <v>1.5831315789473686</v>
      </c>
      <c r="AI216" s="105">
        <f>'Returns per Gal.'!AH223</f>
        <v>0</v>
      </c>
      <c r="AJ216" s="104">
        <f>'Returns per Gal.'!AI223</f>
        <v>0</v>
      </c>
      <c r="AK216" s="93">
        <f>'Returns per Gal.'!AJ223</f>
        <v>2.0365315789473684</v>
      </c>
      <c r="AL216" s="93">
        <f>'Returns per Gal.'!AK223</f>
        <v>2.2327775910685803</v>
      </c>
      <c r="AM216" s="105">
        <f>'Returns per Gal.'!AL223</f>
        <v>0</v>
      </c>
      <c r="AN216" s="104"/>
      <c r="AO216" s="93">
        <f>'Returns per Gal.'!AN223</f>
        <v>1.2330131203007522</v>
      </c>
      <c r="AP216" s="93">
        <f>'Returns per Gal.'!AO223</f>
        <v>1.0367671081795402</v>
      </c>
      <c r="AQ216" s="93">
        <f>'Returns per Gal.'!AP223</f>
        <v>0.23137821929065172</v>
      </c>
      <c r="AR216" s="93">
        <f>'Returns per Gal.'!AQ223</f>
        <v>0.80538888888888849</v>
      </c>
      <c r="AS216" s="52"/>
      <c r="AU216" s="177">
        <f>'Returns per Bu.'!G223</f>
        <v>6.8072833333333325</v>
      </c>
      <c r="AV216" s="166">
        <f>'Returns per Bu.'!N223</f>
        <v>9.3182023928571436</v>
      </c>
      <c r="AW216" s="166">
        <f>'Returns per Bu.'!O223</f>
        <v>7.4667112583116886</v>
      </c>
      <c r="AX216" s="169">
        <f>'Returns per Bu.'!Z223</f>
        <v>0.20080446209075664</v>
      </c>
      <c r="AY216" s="162">
        <f>'Returns per Bu.'!AF223</f>
        <v>4.5119250000000006</v>
      </c>
      <c r="AZ216" s="165"/>
      <c r="BA216" s="15">
        <f t="shared" si="44"/>
        <v>3.2319250000000004</v>
      </c>
      <c r="BB216" s="93">
        <f>'Returns per Bu.'!AD223</f>
        <v>1.28</v>
      </c>
      <c r="BC216" s="93">
        <f t="shared" si="45"/>
        <v>1.1340087719298246</v>
      </c>
    </row>
    <row r="217" spans="1:55" x14ac:dyDescent="0.2">
      <c r="A217" s="68">
        <v>44914</v>
      </c>
      <c r="B217" s="64"/>
      <c r="C217" s="56"/>
      <c r="D217" s="284">
        <v>2.1183999999999998</v>
      </c>
      <c r="E217" s="285">
        <v>244.79000000000002</v>
      </c>
      <c r="F217" s="284">
        <v>0.68745999999999996</v>
      </c>
      <c r="G217" s="284">
        <v>6.760990476190476</v>
      </c>
      <c r="H217" s="309">
        <v>9.25</v>
      </c>
      <c r="I217" s="187"/>
      <c r="J217" s="29"/>
      <c r="K217" s="97">
        <f>'Returns per Gal.'!J224</f>
        <v>2.1183999999999998</v>
      </c>
      <c r="L217" s="97">
        <f>'Returns per Gal.'!K224</f>
        <v>0.70430807017543851</v>
      </c>
      <c r="M217" s="97">
        <f>'Returns per Gal.'!L224</f>
        <v>0.15678912280701754</v>
      </c>
      <c r="N217" s="97">
        <f>'Returns per Gal.'!M224</f>
        <v>2.9794971929824561</v>
      </c>
      <c r="O217" s="113"/>
      <c r="P217" s="111"/>
      <c r="Q217" s="97">
        <f>'Returns per Gal.'!P224</f>
        <v>2.3722773600668337</v>
      </c>
      <c r="R217" s="97">
        <f>'Returns per Gal.'!Q224</f>
        <v>0.27749999999999997</v>
      </c>
      <c r="S217" s="97">
        <f>'Returns per Gal.'!R224</f>
        <v>0.21939999999999998</v>
      </c>
      <c r="T217" s="97">
        <f>'Returns per Gal.'!S224</f>
        <v>2.8691773600668333</v>
      </c>
      <c r="U217" s="97">
        <f>'Returns per Gal.'!T224</f>
        <v>0.19624601212121212</v>
      </c>
      <c r="V217" s="97">
        <f>'Returns per Gal.'!U224</f>
        <v>3.0654233721880453</v>
      </c>
      <c r="W217" s="97">
        <f>'Returns per Gal.'!V224</f>
        <v>2.204326179205589</v>
      </c>
      <c r="X217" s="107"/>
      <c r="Y217" s="97"/>
      <c r="Z217" s="97">
        <f>'Returns per Gal.'!Y224</f>
        <v>0.29121983291562248</v>
      </c>
      <c r="AA217" s="97">
        <f>'Returns per Gal.'!Z224</f>
        <v>0.11031983291562275</v>
      </c>
      <c r="AB217" s="97">
        <f>'Returns per Gal.'!AA224</f>
        <v>-8.5926179205589204E-2</v>
      </c>
      <c r="AC217" s="82"/>
      <c r="AD217" s="65"/>
      <c r="AE217" s="83"/>
      <c r="AF217" s="97">
        <f>'Returns per Gal.'!AE224</f>
        <v>0.44912280701754387</v>
      </c>
      <c r="AG217" s="97">
        <f>'Returns per Gal.'!AF224</f>
        <v>1.1340087719298246</v>
      </c>
      <c r="AH217" s="97">
        <f>'Returns per Gal.'!AG224</f>
        <v>1.5831315789473686</v>
      </c>
      <c r="AI217" s="107">
        <f>'Returns per Gal.'!AH224</f>
        <v>0</v>
      </c>
      <c r="AJ217" s="106">
        <f>'Returns per Gal.'!AI224</f>
        <v>0</v>
      </c>
      <c r="AK217" s="97">
        <f>'Returns per Gal.'!AJ224</f>
        <v>2.0800315789473682</v>
      </c>
      <c r="AL217" s="97">
        <f>'Returns per Gal.'!AK224</f>
        <v>2.2762775910685802</v>
      </c>
      <c r="AM217" s="107">
        <f>'Returns per Gal.'!AL224</f>
        <v>0</v>
      </c>
      <c r="AN217" s="106"/>
      <c r="AO217" s="97">
        <f>'Returns per Gal.'!AN224</f>
        <v>0.89946561403508785</v>
      </c>
      <c r="AP217" s="97">
        <f>'Returns per Gal.'!AO224</f>
        <v>0.70321960191387589</v>
      </c>
      <c r="AQ217" s="97">
        <f>'Returns per Gal.'!AP224</f>
        <v>-8.5926179205589204E-2</v>
      </c>
      <c r="AR217" s="97">
        <f>'Returns per Gal.'!AQ224</f>
        <v>0.7891457811194651</v>
      </c>
      <c r="AS217" s="64"/>
      <c r="AT217" s="29"/>
      <c r="AU217" s="178">
        <f>'Returns per Bu.'!G224</f>
        <v>6.760990476190476</v>
      </c>
      <c r="AV217" s="167">
        <f>'Returns per Bu.'!N224</f>
        <v>8.4915669999999999</v>
      </c>
      <c r="AW217" s="167">
        <f>'Returns per Bu.'!O224</f>
        <v>6.5161008654545443</v>
      </c>
      <c r="AX217" s="170">
        <f>'Returns per Bu.'!Z224</f>
        <v>-7.4572102109654495E-2</v>
      </c>
      <c r="AY217" s="163">
        <f>'Returns per Bu.'!AF224</f>
        <v>4.5119250000000006</v>
      </c>
      <c r="AZ217" s="164"/>
      <c r="BA217" s="65">
        <f t="shared" si="44"/>
        <v>3.2319250000000004</v>
      </c>
      <c r="BB217" s="97">
        <f>'Returns per Bu.'!AD224</f>
        <v>1.28</v>
      </c>
      <c r="BC217" s="97">
        <f t="shared" si="45"/>
        <v>1.1340087719298246</v>
      </c>
    </row>
    <row r="218" spans="1:55" x14ac:dyDescent="0.2">
      <c r="A218" s="21">
        <v>44945</v>
      </c>
      <c r="C218" s="53"/>
      <c r="D218" s="93">
        <v>2.1330333333333336</v>
      </c>
      <c r="E218" s="95">
        <v>274.33375000000001</v>
      </c>
      <c r="F218" s="319">
        <v>0.68020000000000003</v>
      </c>
      <c r="G218" s="93">
        <v>6.8669299999999991</v>
      </c>
      <c r="H218" s="308">
        <v>10.84</v>
      </c>
      <c r="I218" s="184"/>
      <c r="J218" s="314" t="s">
        <v>159</v>
      </c>
      <c r="K218" s="93">
        <f>'Returns per Gal.'!J225</f>
        <v>2.1330333333333336</v>
      </c>
      <c r="L218" s="93">
        <f>'Returns per Gal.'!K225</f>
        <v>0.78931114035087713</v>
      </c>
      <c r="M218" s="93">
        <f>'Returns per Gal.'!L225</f>
        <v>0.15513333333333335</v>
      </c>
      <c r="N218" s="93">
        <f>'Returns per Gal.'!M225</f>
        <v>3.0774778070175444</v>
      </c>
      <c r="O218" s="110">
        <f>'Returns per Gal.'!N225</f>
        <v>0</v>
      </c>
      <c r="P218" s="108">
        <f>'Returns per Gal.'!O225</f>
        <v>0</v>
      </c>
      <c r="Q218" s="93">
        <f>'Returns per Gal.'!P225</f>
        <v>2.409449122807017</v>
      </c>
      <c r="R218" s="93">
        <f>'Returns per Gal.'!Q225</f>
        <v>0.32520000000000004</v>
      </c>
      <c r="S218" s="93">
        <f>'Returns per Gal.'!R225</f>
        <v>0.21939999999999998</v>
      </c>
      <c r="T218" s="93">
        <f>'Returns per Gal.'!S225</f>
        <v>2.9540491228070169</v>
      </c>
      <c r="U218" s="93">
        <f>'Returns per Gal.'!T225</f>
        <v>0.19624601212121212</v>
      </c>
      <c r="V218" s="93">
        <f>'Returns per Gal.'!U225</f>
        <v>3.1502951349282289</v>
      </c>
      <c r="W218" s="93">
        <f>'Returns per Gal.'!V225</f>
        <v>2.2058506612440185</v>
      </c>
      <c r="X218" s="105"/>
      <c r="Y218" s="93">
        <f>'Returns per Gal.'!V225</f>
        <v>2.2058506612440185</v>
      </c>
      <c r="Z218" s="93">
        <f>'Returns per Gal.'!Y225</f>
        <v>0.30432868421052739</v>
      </c>
      <c r="AA218" s="93">
        <f>'Returns per Gal.'!Z225</f>
        <v>0.12342868421052744</v>
      </c>
      <c r="AB218" s="93">
        <f>'Returns per Gal.'!AA225</f>
        <v>-7.2817327910684515E-2</v>
      </c>
      <c r="AC218" s="80">
        <f>'Returns per Gal.'!AB225</f>
        <v>0</v>
      </c>
      <c r="AD218" s="15">
        <f>'Returns per Gal.'!AC225</f>
        <v>0</v>
      </c>
      <c r="AE218" s="81">
        <f>'Returns per Gal.'!AD225</f>
        <v>0</v>
      </c>
      <c r="AF218" s="93">
        <f>'Returns per Gal.'!AE225</f>
        <v>0.44912280701754387</v>
      </c>
      <c r="AG218" s="93">
        <f>'Returns per Gal.'!AF225</f>
        <v>1.1340087719298246</v>
      </c>
      <c r="AH218" s="93">
        <f>'Returns per Gal.'!AG225</f>
        <v>1.5831315789473686</v>
      </c>
      <c r="AI218" s="105">
        <f>'Returns per Gal.'!AH225</f>
        <v>0</v>
      </c>
      <c r="AJ218" s="104">
        <f>'Returns per Gal.'!AI225</f>
        <v>0</v>
      </c>
      <c r="AK218" s="93">
        <f>'Returns per Gal.'!AJ225</f>
        <v>2.1277315789473685</v>
      </c>
      <c r="AL218" s="93">
        <f>'Returns per Gal.'!AK225</f>
        <v>2.3239775910685805</v>
      </c>
      <c r="AM218" s="105">
        <f>'Returns per Gal.'!AL225</f>
        <v>0</v>
      </c>
      <c r="AN218" s="104"/>
      <c r="AO218" s="93">
        <f>'Returns per Gal.'!AN225</f>
        <v>0.94974622807017584</v>
      </c>
      <c r="AP218" s="93">
        <f>'Returns per Gal.'!AO225</f>
        <v>0.75350021594896388</v>
      </c>
      <c r="AQ218" s="93">
        <f>'Returns per Gal.'!AP225</f>
        <v>-7.2817327910684515E-2</v>
      </c>
      <c r="AR218" s="93">
        <f>'Returns per Gal.'!AQ225</f>
        <v>0.8263175438596484</v>
      </c>
      <c r="AS218" s="52"/>
      <c r="AU218" s="177">
        <f>'Returns per Bu.'!G225</f>
        <v>6.8669299999999991</v>
      </c>
      <c r="AV218" s="166">
        <f>'Returns per Bu.'!N225</f>
        <v>8.7708117500000018</v>
      </c>
      <c r="AW218" s="166">
        <f>'Returns per Bu.'!O225</f>
        <v>6.6594006154545466</v>
      </c>
      <c r="AX218" s="169">
        <f>'Returns per Bu.'!Z225</f>
        <v>-6.3195422658273312E-2</v>
      </c>
      <c r="AY218" s="162">
        <f>'Returns per Bu.'!AF225</f>
        <v>4.5119250000000006</v>
      </c>
      <c r="AZ218" s="165"/>
      <c r="BA218" s="15">
        <f t="shared" si="44"/>
        <v>3.2319250000000004</v>
      </c>
      <c r="BB218" s="93">
        <f>'Returns per Bu.'!AD225</f>
        <v>1.28</v>
      </c>
      <c r="BC218" s="93">
        <f t="shared" si="45"/>
        <v>1.1340087719298246</v>
      </c>
    </row>
    <row r="219" spans="1:55" x14ac:dyDescent="0.2">
      <c r="A219" s="8">
        <v>44976</v>
      </c>
      <c r="C219" s="53"/>
      <c r="D219" s="93">
        <v>2.0254249999999998</v>
      </c>
      <c r="E219" s="95">
        <v>268.04124999999999</v>
      </c>
      <c r="F219" s="319">
        <v>0.63124999999999998</v>
      </c>
      <c r="G219" s="93">
        <v>6.8781421052631577</v>
      </c>
      <c r="H219" s="308">
        <v>9.7799999999999994</v>
      </c>
      <c r="I219" s="184"/>
      <c r="J219" s="315">
        <v>45356</v>
      </c>
      <c r="K219" s="93">
        <f>'Returns per Gal.'!J226</f>
        <v>2.0254249999999998</v>
      </c>
      <c r="L219" s="93">
        <f>'Returns per Gal.'!K226</f>
        <v>0.7712064035087719</v>
      </c>
      <c r="M219" s="93">
        <f>'Returns per Gal.'!L226</f>
        <v>0.14396929824561405</v>
      </c>
      <c r="N219" s="93">
        <f>'Returns per Gal.'!M226</f>
        <v>2.940600701754386</v>
      </c>
      <c r="O219" s="110">
        <f>'Returns per Gal.'!N226</f>
        <v>0</v>
      </c>
      <c r="P219" s="108">
        <f>'Returns per Gal.'!O226</f>
        <v>0</v>
      </c>
      <c r="Q219" s="93">
        <f>'Returns per Gal.'!P226</f>
        <v>2.4133831948291782</v>
      </c>
      <c r="R219" s="93">
        <f>'Returns per Gal.'!Q226</f>
        <v>0.29339999999999994</v>
      </c>
      <c r="S219" s="93">
        <f>'Returns per Gal.'!R226</f>
        <v>0.21939999999999998</v>
      </c>
      <c r="T219" s="93">
        <f>'Returns per Gal.'!S226</f>
        <v>2.9261831948291781</v>
      </c>
      <c r="U219" s="93">
        <f>'Returns per Gal.'!T226</f>
        <v>0.19624601212121212</v>
      </c>
      <c r="V219" s="93">
        <f>'Returns per Gal.'!U226</f>
        <v>3.1224292069503901</v>
      </c>
      <c r="W219" s="93">
        <f>'Returns per Gal.'!V226</f>
        <v>2.2072535051960038</v>
      </c>
      <c r="X219" s="105"/>
      <c r="Y219" s="93">
        <f>'Returns per Gal.'!V226</f>
        <v>2.2072535051960038</v>
      </c>
      <c r="Z219" s="93">
        <f>'Returns per Gal.'!Y226</f>
        <v>0.19531750692520791</v>
      </c>
      <c r="AA219" s="93">
        <f>'Returns per Gal.'!Z226</f>
        <v>1.4417506925207935E-2</v>
      </c>
      <c r="AB219" s="93">
        <f>'Returns per Gal.'!AA226</f>
        <v>-0.18182850519600402</v>
      </c>
      <c r="AC219" s="80">
        <f>'Returns per Gal.'!AB226</f>
        <v>0</v>
      </c>
      <c r="AD219" s="15">
        <f>'Returns per Gal.'!AC226</f>
        <v>0</v>
      </c>
      <c r="AE219" s="81">
        <f>'Returns per Gal.'!AD226</f>
        <v>0</v>
      </c>
      <c r="AF219" s="93">
        <f>'Returns per Gal.'!AE226</f>
        <v>0.44912280701754387</v>
      </c>
      <c r="AG219" s="93">
        <f>'Returns per Gal.'!AF226</f>
        <v>1.1340087719298246</v>
      </c>
      <c r="AH219" s="93">
        <f>'Returns per Gal.'!AG226</f>
        <v>1.5831315789473686</v>
      </c>
      <c r="AI219" s="105">
        <f>'Returns per Gal.'!AH226</f>
        <v>0</v>
      </c>
      <c r="AJ219" s="104">
        <f>'Returns per Gal.'!AI226</f>
        <v>0</v>
      </c>
      <c r="AK219" s="93">
        <f>'Returns per Gal.'!AJ226</f>
        <v>2.0959315789473685</v>
      </c>
      <c r="AL219" s="93">
        <f>'Returns per Gal.'!AK226</f>
        <v>2.2921775910685804</v>
      </c>
      <c r="AM219" s="105">
        <f>'Returns per Gal.'!AL226</f>
        <v>0</v>
      </c>
      <c r="AN219" s="104"/>
      <c r="AO219" s="93">
        <f>'Returns per Gal.'!AN226</f>
        <v>0.84466912280701756</v>
      </c>
      <c r="AP219" s="93">
        <f>'Returns per Gal.'!AO226</f>
        <v>0.6484231106858056</v>
      </c>
      <c r="AQ219" s="93">
        <f>'Returns per Gal.'!AP226</f>
        <v>-0.18182850519600402</v>
      </c>
      <c r="AR219" s="93">
        <f>'Returns per Gal.'!AQ226</f>
        <v>0.83025161588180962</v>
      </c>
      <c r="AS219" s="52"/>
      <c r="AU219" s="177">
        <f>'Returns per Bu.'!G226</f>
        <v>6.8781421052631577</v>
      </c>
      <c r="AV219" s="166">
        <f>'Returns per Bu.'!N226</f>
        <v>8.3807119999999991</v>
      </c>
      <c r="AW219" s="166">
        <f>'Returns per Bu.'!O226</f>
        <v>6.359930865454543</v>
      </c>
      <c r="AX219" s="169">
        <f>'Returns per Bu.'!Z226</f>
        <v>-0.15780212714311184</v>
      </c>
      <c r="AY219" s="162">
        <f>'Returns per Bu.'!AF226</f>
        <v>4.5119250000000006</v>
      </c>
      <c r="AZ219" s="165"/>
      <c r="BA219" s="15">
        <f t="shared" si="44"/>
        <v>3.2319250000000004</v>
      </c>
      <c r="BB219" s="93">
        <f>'Returns per Bu.'!AD226</f>
        <v>1.28</v>
      </c>
      <c r="BC219" s="93">
        <f t="shared" si="45"/>
        <v>1.1340087719298246</v>
      </c>
    </row>
    <row r="220" spans="1:55" x14ac:dyDescent="0.2">
      <c r="A220" s="8">
        <v>45004</v>
      </c>
      <c r="C220" s="53"/>
      <c r="D220" s="93">
        <v>2.1003999999999996</v>
      </c>
      <c r="E220" s="95">
        <v>249.227</v>
      </c>
      <c r="F220" s="319">
        <v>0.55728</v>
      </c>
      <c r="G220" s="93">
        <v>6.567354347826087</v>
      </c>
      <c r="H220" s="308">
        <v>7.62</v>
      </c>
      <c r="I220" s="184"/>
      <c r="J220" s="315">
        <v>45397</v>
      </c>
      <c r="K220" s="93">
        <f>'Returns per Gal.'!J227</f>
        <v>2.1003999999999996</v>
      </c>
      <c r="L220" s="93">
        <f>'Returns per Gal.'!K227</f>
        <v>0.71707417543859642</v>
      </c>
      <c r="M220" s="93">
        <f>'Returns per Gal.'!L227</f>
        <v>0.12709894736842106</v>
      </c>
      <c r="N220" s="93">
        <f>'Returns per Gal.'!M227</f>
        <v>2.9445731228070171</v>
      </c>
      <c r="O220" s="110">
        <f>'Returns per Gal.'!N227</f>
        <v>0</v>
      </c>
      <c r="P220" s="108">
        <f>'Returns per Gal.'!O227</f>
        <v>0</v>
      </c>
      <c r="Q220" s="93">
        <f>'Returns per Gal.'!P227</f>
        <v>2.3043348588863464</v>
      </c>
      <c r="R220" s="93">
        <f>'Returns per Gal.'!Q227</f>
        <v>0.2286</v>
      </c>
      <c r="S220" s="93">
        <f>'Returns per Gal.'!R227</f>
        <v>0.21939999999999998</v>
      </c>
      <c r="T220" s="93">
        <f>'Returns per Gal.'!S227</f>
        <v>2.7523348588863463</v>
      </c>
      <c r="U220" s="93">
        <f>'Returns per Gal.'!T227</f>
        <v>0.19624601212121212</v>
      </c>
      <c r="V220" s="93">
        <f>'Returns per Gal.'!U227</f>
        <v>2.9485808710075583</v>
      </c>
      <c r="W220" s="93">
        <f>'Returns per Gal.'!V227</f>
        <v>2.1044077482005408</v>
      </c>
      <c r="X220" s="105"/>
      <c r="Y220" s="93">
        <f>'Returns per Gal.'!V227</f>
        <v>2.1044077482005408</v>
      </c>
      <c r="Z220" s="93">
        <f>'Returns per Gal.'!Y227</f>
        <v>0.37313826392067073</v>
      </c>
      <c r="AA220" s="93">
        <f>'Returns per Gal.'!Z227</f>
        <v>0.19223826392067078</v>
      </c>
      <c r="AB220" s="93">
        <f>'Returns per Gal.'!AA227</f>
        <v>-4.0077482005411724E-3</v>
      </c>
      <c r="AC220" s="80">
        <f>'Returns per Gal.'!AB227</f>
        <v>0</v>
      </c>
      <c r="AD220" s="15">
        <f>'Returns per Gal.'!AC227</f>
        <v>0</v>
      </c>
      <c r="AE220" s="81">
        <f>'Returns per Gal.'!AD227</f>
        <v>0</v>
      </c>
      <c r="AF220" s="93">
        <f>'Returns per Gal.'!AE227</f>
        <v>0.44912280701754387</v>
      </c>
      <c r="AG220" s="93">
        <f>'Returns per Gal.'!AF227</f>
        <v>1.1340087719298246</v>
      </c>
      <c r="AH220" s="93">
        <f>'Returns per Gal.'!AG227</f>
        <v>1.5831315789473686</v>
      </c>
      <c r="AI220" s="105">
        <f>'Returns per Gal.'!AH227</f>
        <v>0</v>
      </c>
      <c r="AJ220" s="104">
        <f>'Returns per Gal.'!AI227</f>
        <v>0</v>
      </c>
      <c r="AK220" s="93">
        <f>'Returns per Gal.'!AJ227</f>
        <v>2.0311315789473685</v>
      </c>
      <c r="AL220" s="93">
        <f>'Returns per Gal.'!AK227</f>
        <v>2.2273775910685805</v>
      </c>
      <c r="AM220" s="105">
        <f>'Returns per Gal.'!AL227</f>
        <v>0</v>
      </c>
      <c r="AN220" s="104"/>
      <c r="AO220" s="93">
        <f>'Returns per Gal.'!AN227</f>
        <v>0.9134415438596486</v>
      </c>
      <c r="AP220" s="93">
        <f>'Returns per Gal.'!AO227</f>
        <v>0.71719553173843664</v>
      </c>
      <c r="AQ220" s="93">
        <f>'Returns per Gal.'!AP227</f>
        <v>-4.0077482005411724E-3</v>
      </c>
      <c r="AR220" s="93">
        <f>'Returns per Gal.'!AQ227</f>
        <v>0.72120327993897781</v>
      </c>
      <c r="AS220" s="52"/>
      <c r="AU220" s="177">
        <f>'Returns per Bu.'!G227</f>
        <v>6.567354347826087</v>
      </c>
      <c r="AV220" s="166">
        <f>'Returns per Bu.'!N227</f>
        <v>8.392033399999999</v>
      </c>
      <c r="AW220" s="166">
        <f>'Returns per Bu.'!O227</f>
        <v>6.5559322654545449</v>
      </c>
      <c r="AX220" s="169">
        <f>'Returns per Bu.'!Z227</f>
        <v>-3.4781740652689245E-3</v>
      </c>
      <c r="AY220" s="162">
        <f>'Returns per Bu.'!AF227</f>
        <v>4.5119250000000006</v>
      </c>
      <c r="AZ220" s="165"/>
      <c r="BA220" s="15">
        <f t="shared" ref="BA220:BA221" si="46">AY220-BB220</f>
        <v>3.2319250000000004</v>
      </c>
      <c r="BB220" s="93">
        <f>'Returns per Bu.'!AD227</f>
        <v>1.28</v>
      </c>
      <c r="BC220" s="93">
        <f t="shared" ref="BC220:BC221" si="47">AG220</f>
        <v>1.1340087719298246</v>
      </c>
    </row>
    <row r="221" spans="1:55" x14ac:dyDescent="0.2">
      <c r="A221" s="8">
        <v>45035</v>
      </c>
      <c r="C221" s="53"/>
      <c r="D221" s="281">
        <v>2.3316833333333333</v>
      </c>
      <c r="E221" s="282">
        <v>245.10375000000002</v>
      </c>
      <c r="F221" s="319">
        <v>0.53957500000000003</v>
      </c>
      <c r="G221" s="281">
        <v>6.7493999999999987</v>
      </c>
      <c r="H221" s="308">
        <v>6.17</v>
      </c>
      <c r="I221" s="184"/>
      <c r="J221" s="12"/>
      <c r="K221" s="93">
        <f>'Returns per Gal.'!J228</f>
        <v>2.3316833333333333</v>
      </c>
      <c r="L221" s="93">
        <f>'Returns per Gal.'!K228</f>
        <v>0.70521078947368421</v>
      </c>
      <c r="M221" s="93">
        <f>'Returns per Gal.'!L228</f>
        <v>0.12306096491228072</v>
      </c>
      <c r="N221" s="93">
        <f>'Returns per Gal.'!M228</f>
        <v>3.1599550877192986</v>
      </c>
      <c r="O221" s="110">
        <f>'Returns per Gal.'!N228</f>
        <v>0</v>
      </c>
      <c r="P221" s="108">
        <f>'Returns per Gal.'!O228</f>
        <v>0</v>
      </c>
      <c r="Q221" s="93">
        <f>'Returns per Gal.'!P228</f>
        <v>2.3682105263157891</v>
      </c>
      <c r="R221" s="93">
        <f>'Returns per Gal.'!Q228</f>
        <v>0.18510000000000001</v>
      </c>
      <c r="S221" s="93">
        <f>'Returns per Gal.'!R228</f>
        <v>0.21939999999999998</v>
      </c>
      <c r="T221" s="93">
        <f>'Returns per Gal.'!S228</f>
        <v>2.7727105263157887</v>
      </c>
      <c r="U221" s="93">
        <f>'Returns per Gal.'!T228</f>
        <v>0.19624601212121212</v>
      </c>
      <c r="V221" s="93">
        <f>'Returns per Gal.'!U228</f>
        <v>2.9689565384370007</v>
      </c>
      <c r="W221" s="93">
        <f>'Returns per Gal.'!V228</f>
        <v>2.1406847840510355</v>
      </c>
      <c r="X221" s="105"/>
      <c r="Y221" s="93">
        <f>'Returns per Gal.'!V228</f>
        <v>2.1406847840510355</v>
      </c>
      <c r="Z221" s="93">
        <f>'Returns per Gal.'!Y228</f>
        <v>0.56814456140350944</v>
      </c>
      <c r="AA221" s="93">
        <f>'Returns per Gal.'!Z228</f>
        <v>0.38724456140350982</v>
      </c>
      <c r="AB221" s="93">
        <f>'Returns per Gal.'!AA228</f>
        <v>0.19099854928229787</v>
      </c>
      <c r="AC221" s="80">
        <f>'Returns per Gal.'!AB228</f>
        <v>0</v>
      </c>
      <c r="AD221" s="15">
        <f>'Returns per Gal.'!AC228</f>
        <v>0</v>
      </c>
      <c r="AE221" s="81">
        <f>'Returns per Gal.'!AD228</f>
        <v>0</v>
      </c>
      <c r="AF221" s="93">
        <f>'Returns per Gal.'!AE228</f>
        <v>0.44912280701754387</v>
      </c>
      <c r="AG221" s="93">
        <f>'Returns per Gal.'!AF228</f>
        <v>1.1340087719298246</v>
      </c>
      <c r="AH221" s="93">
        <f>'Returns per Gal.'!AG228</f>
        <v>1.5831315789473686</v>
      </c>
      <c r="AI221" s="105">
        <f>'Returns per Gal.'!AH228</f>
        <v>0</v>
      </c>
      <c r="AJ221" s="104">
        <f>'Returns per Gal.'!AI228</f>
        <v>0</v>
      </c>
      <c r="AK221" s="93">
        <f>'Returns per Gal.'!AJ228</f>
        <v>1.9876315789473686</v>
      </c>
      <c r="AL221" s="93">
        <f>'Returns per Gal.'!AK228</f>
        <v>2.1838775910685806</v>
      </c>
      <c r="AM221" s="105">
        <f>'Returns per Gal.'!AL228</f>
        <v>0</v>
      </c>
      <c r="AN221" s="104"/>
      <c r="AO221" s="93">
        <f>'Returns per Gal.'!AN228</f>
        <v>1.1723235087719299</v>
      </c>
      <c r="AP221" s="93">
        <f>'Returns per Gal.'!AO228</f>
        <v>0.97607749665071797</v>
      </c>
      <c r="AQ221" s="93">
        <f>'Returns per Gal.'!AP228</f>
        <v>0.19099854928229743</v>
      </c>
      <c r="AR221" s="93">
        <f>'Returns per Gal.'!AQ228</f>
        <v>0.78507894736842054</v>
      </c>
      <c r="AS221" s="52"/>
      <c r="AU221" s="177">
        <f>'Returns per Bu.'!G228</f>
        <v>6.7493999999999987</v>
      </c>
      <c r="AV221" s="166">
        <f>'Returns per Bu.'!N228</f>
        <v>9.0058720000000001</v>
      </c>
      <c r="AW221" s="166">
        <f>'Returns per Bu.'!O228</f>
        <v>7.2937458654545457</v>
      </c>
      <c r="AX221" s="169">
        <f>'Returns per Bu.'!Z228</f>
        <v>0.16576046382554302</v>
      </c>
      <c r="AY221" s="162">
        <f>'Returns per Bu.'!AF228</f>
        <v>4.5119250000000006</v>
      </c>
      <c r="AZ221" s="165"/>
      <c r="BA221" s="15">
        <f t="shared" si="46"/>
        <v>3.2319250000000004</v>
      </c>
      <c r="BB221" s="93">
        <f>'Returns per Bu.'!AD228</f>
        <v>1.28</v>
      </c>
      <c r="BC221" s="93">
        <f t="shared" si="47"/>
        <v>1.1340087719298246</v>
      </c>
    </row>
    <row r="222" spans="1:55" x14ac:dyDescent="0.2">
      <c r="A222" s="8">
        <v>45065</v>
      </c>
      <c r="C222" s="53"/>
      <c r="D222" s="281">
        <v>2.3174333333333332</v>
      </c>
      <c r="E222" s="282">
        <v>229.10124999999999</v>
      </c>
      <c r="F222" s="319">
        <v>0.55210000000000004</v>
      </c>
      <c r="G222" s="281">
        <v>6.3973863636363628</v>
      </c>
      <c r="H222" s="308">
        <v>5.93</v>
      </c>
      <c r="I222" s="184"/>
      <c r="J222" s="12"/>
      <c r="K222" s="93">
        <f>'Returns per Gal.'!J229</f>
        <v>2.3174333333333332</v>
      </c>
      <c r="L222" s="93">
        <f>'Returns per Gal.'!K229</f>
        <v>0.65916850877192978</v>
      </c>
      <c r="M222" s="93">
        <f>'Returns per Gal.'!L229</f>
        <v>0.12591754385964912</v>
      </c>
      <c r="N222" s="93">
        <f>'Returns per Gal.'!M229</f>
        <v>3.1025193859649121</v>
      </c>
      <c r="O222" s="110">
        <f>'Returns per Gal.'!N229</f>
        <v>0</v>
      </c>
      <c r="P222" s="108">
        <f>'Returns per Gal.'!O229</f>
        <v>0</v>
      </c>
      <c r="Q222" s="93">
        <f>'Returns per Gal.'!P229</f>
        <v>2.2446969696969692</v>
      </c>
      <c r="R222" s="93">
        <f>'Returns per Gal.'!Q229</f>
        <v>0.17789999999999997</v>
      </c>
      <c r="S222" s="93">
        <f>'Returns per Gal.'!R229</f>
        <v>0.21939999999999998</v>
      </c>
      <c r="T222" s="93">
        <f>'Returns per Gal.'!S229</f>
        <v>2.6419969696969692</v>
      </c>
      <c r="U222" s="93">
        <f>'Returns per Gal.'!T229</f>
        <v>0.19624601212121212</v>
      </c>
      <c r="V222" s="93">
        <f>'Returns per Gal.'!U229</f>
        <v>2.8382429818181811</v>
      </c>
      <c r="W222" s="93">
        <f>'Returns per Gal.'!V229</f>
        <v>2.0531569291866023</v>
      </c>
      <c r="X222" s="105"/>
      <c r="Y222" s="93">
        <f>'Returns per Gal.'!V229</f>
        <v>2.0531569291866023</v>
      </c>
      <c r="Z222" s="93">
        <f>'Returns per Gal.'!Y229</f>
        <v>0.64142241626794294</v>
      </c>
      <c r="AA222" s="93">
        <f>'Returns per Gal.'!Z229</f>
        <v>0.46052241626794288</v>
      </c>
      <c r="AB222" s="93">
        <f>'Returns per Gal.'!AA229</f>
        <v>0.26427640414673093</v>
      </c>
      <c r="AC222" s="80">
        <f>'Returns per Gal.'!AB229</f>
        <v>0</v>
      </c>
      <c r="AD222" s="15">
        <f>'Returns per Gal.'!AC229</f>
        <v>0</v>
      </c>
      <c r="AE222" s="81">
        <f>'Returns per Gal.'!AD229</f>
        <v>0</v>
      </c>
      <c r="AF222" s="93">
        <f>'Returns per Gal.'!AE229</f>
        <v>0.44912280701754387</v>
      </c>
      <c r="AG222" s="93">
        <f>'Returns per Gal.'!AF229</f>
        <v>1.1340087719298246</v>
      </c>
      <c r="AH222" s="93">
        <f>'Returns per Gal.'!AG229</f>
        <v>1.5831315789473686</v>
      </c>
      <c r="AI222" s="105">
        <f>'Returns per Gal.'!AH229</f>
        <v>0</v>
      </c>
      <c r="AJ222" s="104">
        <f>'Returns per Gal.'!AI229</f>
        <v>0</v>
      </c>
      <c r="AK222" s="93">
        <f>'Returns per Gal.'!AJ229</f>
        <v>1.9804315789473685</v>
      </c>
      <c r="AL222" s="93">
        <f>'Returns per Gal.'!AK229</f>
        <v>2.1766775910685805</v>
      </c>
      <c r="AM222" s="105">
        <f>'Returns per Gal.'!AL229</f>
        <v>0</v>
      </c>
      <c r="AN222" s="104"/>
      <c r="AO222" s="93">
        <f>'Returns per Gal.'!AN229</f>
        <v>1.1220878070175435</v>
      </c>
      <c r="AP222" s="93">
        <f>'Returns per Gal.'!AO229</f>
        <v>0.92584179489633156</v>
      </c>
      <c r="AQ222" s="93">
        <f>'Returns per Gal.'!AP229</f>
        <v>0.26427640414673093</v>
      </c>
      <c r="AR222" s="93">
        <f>'Returns per Gal.'!AQ229</f>
        <v>0.66156539074960063</v>
      </c>
      <c r="AS222" s="52"/>
      <c r="AU222" s="177">
        <f>'Returns per Bu.'!G229</f>
        <v>6.3973863636363628</v>
      </c>
      <c r="AV222" s="166">
        <f>'Returns per Bu.'!N229</f>
        <v>8.8421802500000002</v>
      </c>
      <c r="AW222" s="166">
        <f>'Returns per Bu.'!O229</f>
        <v>7.1505741154545461</v>
      </c>
      <c r="AX222" s="169">
        <f>'Returns per Bu.'!Z229</f>
        <v>0.22935556052188835</v>
      </c>
      <c r="AY222" s="162">
        <f>'Returns per Bu.'!AF229</f>
        <v>4.5119250000000006</v>
      </c>
      <c r="AZ222" s="165"/>
      <c r="BA222" s="15">
        <f t="shared" ref="BA222:BA223" si="48">AY222-BB222</f>
        <v>3.2319250000000004</v>
      </c>
      <c r="BB222" s="93">
        <f>'Returns per Bu.'!AD229</f>
        <v>1.28</v>
      </c>
      <c r="BC222" s="93">
        <f t="shared" ref="BC222:BC223" si="49">AG222</f>
        <v>1.1340087719298246</v>
      </c>
    </row>
    <row r="223" spans="1:55" x14ac:dyDescent="0.2">
      <c r="A223" s="8">
        <v>45096</v>
      </c>
      <c r="C223" s="53"/>
      <c r="D223" s="281">
        <v>2.3866142857142854</v>
      </c>
      <c r="E223" s="282">
        <v>199.54599999999999</v>
      </c>
      <c r="F223" s="319">
        <v>0.57003999999999999</v>
      </c>
      <c r="G223" s="281">
        <v>6.5461833333333352</v>
      </c>
      <c r="H223" s="308">
        <v>5.97</v>
      </c>
      <c r="I223" s="184"/>
      <c r="K223" s="93">
        <f>'Returns per Gal.'!J230</f>
        <v>2.3866142857142854</v>
      </c>
      <c r="L223" s="93">
        <f>'Returns per Gal.'!K230</f>
        <v>0.57413235087719294</v>
      </c>
      <c r="M223" s="93">
        <f>'Returns per Gal.'!L230</f>
        <v>0.13000912280701754</v>
      </c>
      <c r="N223" s="93">
        <f>'Returns per Gal.'!M230</f>
        <v>3.0907557593984962</v>
      </c>
      <c r="O223" s="110">
        <f>'Returns per Gal.'!N230</f>
        <v>0</v>
      </c>
      <c r="P223" s="108">
        <f>'Returns per Gal.'!O230</f>
        <v>0</v>
      </c>
      <c r="Q223" s="93">
        <f>'Returns per Gal.'!P230</f>
        <v>2.2969064327485387</v>
      </c>
      <c r="R223" s="93">
        <f>'Returns per Gal.'!Q230</f>
        <v>0.17909999999999998</v>
      </c>
      <c r="S223" s="93">
        <f>'Returns per Gal.'!R230</f>
        <v>0.21939999999999998</v>
      </c>
      <c r="T223" s="93">
        <f>'Returns per Gal.'!S230</f>
        <v>2.6954064327485385</v>
      </c>
      <c r="U223" s="93">
        <f>'Returns per Gal.'!T230</f>
        <v>0.19624601212121212</v>
      </c>
      <c r="V223" s="93">
        <f>'Returns per Gal.'!U230</f>
        <v>2.8916524448697505</v>
      </c>
      <c r="W223" s="93">
        <f>'Returns per Gal.'!V230</f>
        <v>2.1875109711855401</v>
      </c>
      <c r="X223" s="105"/>
      <c r="Y223" s="93">
        <f>'Returns per Gal.'!V230</f>
        <v>2.1875109711855401</v>
      </c>
      <c r="Z223" s="93">
        <f>'Returns per Gal.'!Y230</f>
        <v>0.57624932664995754</v>
      </c>
      <c r="AA223" s="93">
        <f>'Returns per Gal.'!Z230</f>
        <v>0.3953493266499577</v>
      </c>
      <c r="AB223" s="93">
        <f>'Returns per Gal.'!AA230</f>
        <v>0.19910331452874575</v>
      </c>
      <c r="AC223" s="80">
        <f>'Returns per Gal.'!AB230</f>
        <v>0</v>
      </c>
      <c r="AD223" s="15">
        <f>'Returns per Gal.'!AC230</f>
        <v>0</v>
      </c>
      <c r="AE223" s="81">
        <f>'Returns per Gal.'!AD230</f>
        <v>0</v>
      </c>
      <c r="AF223" s="93">
        <f>'Returns per Gal.'!AE230</f>
        <v>0.44912280701754387</v>
      </c>
      <c r="AG223" s="93">
        <f>'Returns per Gal.'!AF230</f>
        <v>1.1340087719298246</v>
      </c>
      <c r="AH223" s="93">
        <f>'Returns per Gal.'!AG230</f>
        <v>1.5831315789473686</v>
      </c>
      <c r="AI223" s="105">
        <f>'Returns per Gal.'!AH230</f>
        <v>0</v>
      </c>
      <c r="AJ223" s="104">
        <f>'Returns per Gal.'!AI230</f>
        <v>0</v>
      </c>
      <c r="AK223" s="93">
        <f>'Returns per Gal.'!AJ230</f>
        <v>1.9816315789473686</v>
      </c>
      <c r="AL223" s="93">
        <f>'Returns per Gal.'!AK230</f>
        <v>2.1778775910685808</v>
      </c>
      <c r="AM223" s="105">
        <f>'Returns per Gal.'!AL230</f>
        <v>0</v>
      </c>
      <c r="AN223" s="104"/>
      <c r="AO223" s="93">
        <f>'Returns per Gal.'!AN230</f>
        <v>1.1091241804511276</v>
      </c>
      <c r="AP223" s="93">
        <f>'Returns per Gal.'!AO230</f>
        <v>0.91287816832991542</v>
      </c>
      <c r="AQ223" s="93">
        <f>'Returns per Gal.'!AP230</f>
        <v>0.1991033145287453</v>
      </c>
      <c r="AR223" s="93">
        <f>'Returns per Gal.'!AQ230</f>
        <v>0.71377485380117012</v>
      </c>
      <c r="AS223" s="52"/>
      <c r="AU223" s="177">
        <f>'Returns per Bu.'!G230</f>
        <v>6.5461833333333352</v>
      </c>
      <c r="AV223" s="166">
        <f>'Returns per Bu.'!N230</f>
        <v>8.8086539142857134</v>
      </c>
      <c r="AW223" s="166">
        <f>'Returns per Bu.'!O230</f>
        <v>7.1136277797402592</v>
      </c>
      <c r="AX223" s="169">
        <f>'Returns per Bu.'!Z230</f>
        <v>0.17279428503254465</v>
      </c>
      <c r="AY223" s="162">
        <f>'Returns per Bu.'!AF230</f>
        <v>4.5119250000000006</v>
      </c>
      <c r="AZ223" s="165"/>
      <c r="BA223" s="15">
        <f t="shared" si="48"/>
        <v>3.2319250000000004</v>
      </c>
      <c r="BB223" s="93">
        <f>'Returns per Bu.'!AD230</f>
        <v>1.28</v>
      </c>
      <c r="BC223" s="93">
        <f t="shared" si="49"/>
        <v>1.1340087719298246</v>
      </c>
    </row>
    <row r="224" spans="1:55" x14ac:dyDescent="0.2">
      <c r="A224" s="8">
        <v>45126</v>
      </c>
      <c r="C224" s="53"/>
      <c r="D224" s="281">
        <v>2.368525</v>
      </c>
      <c r="E224" s="282">
        <v>191.92875000000001</v>
      </c>
      <c r="F224" s="319">
        <v>0.650725</v>
      </c>
      <c r="G224" s="281">
        <v>5.9301549999999992</v>
      </c>
      <c r="H224" s="308">
        <v>6.26</v>
      </c>
      <c r="I224" s="184"/>
      <c r="K224" s="93">
        <f>'Returns per Gal.'!J231</f>
        <v>2.368525</v>
      </c>
      <c r="L224" s="93">
        <f>'Returns per Gal.'!K231</f>
        <v>0.55221605263157891</v>
      </c>
      <c r="M224" s="93">
        <f>'Returns per Gal.'!L231</f>
        <v>0.1484109649122807</v>
      </c>
      <c r="N224" s="93">
        <f>'Returns per Gal.'!M231</f>
        <v>3.0691520175438596</v>
      </c>
      <c r="O224" s="110">
        <f>'Returns per Gal.'!N231</f>
        <v>0</v>
      </c>
      <c r="P224" s="108">
        <f>'Returns per Gal.'!O231</f>
        <v>0</v>
      </c>
      <c r="Q224" s="93">
        <f>'Returns per Gal.'!P231</f>
        <v>2.0807561403508767</v>
      </c>
      <c r="R224" s="93">
        <f>'Returns per Gal.'!Q231</f>
        <v>0.18779999999999999</v>
      </c>
      <c r="S224" s="93">
        <f>'Returns per Gal.'!R231</f>
        <v>0.21939999999999998</v>
      </c>
      <c r="T224" s="93">
        <f>'Returns per Gal.'!S231</f>
        <v>2.4879561403508768</v>
      </c>
      <c r="U224" s="93">
        <f>'Returns per Gal.'!T231</f>
        <v>0.19624601212121212</v>
      </c>
      <c r="V224" s="93">
        <f>'Returns per Gal.'!U231</f>
        <v>2.6842021524720887</v>
      </c>
      <c r="W224" s="93">
        <f>'Returns per Gal.'!V231</f>
        <v>1.9835751349282289</v>
      </c>
      <c r="X224" s="105"/>
      <c r="Y224" s="93">
        <f>'Returns per Gal.'!V231</f>
        <v>1.9835751349282289</v>
      </c>
      <c r="Z224" s="93">
        <f>'Returns per Gal.'!Y231</f>
        <v>0.76209587719298288</v>
      </c>
      <c r="AA224" s="93">
        <f>'Returns per Gal.'!Z231</f>
        <v>0.58119587719298282</v>
      </c>
      <c r="AB224" s="93">
        <f>'Returns per Gal.'!AA231</f>
        <v>0.38494986507177087</v>
      </c>
      <c r="AC224" s="80">
        <f>'Returns per Gal.'!AB231</f>
        <v>0</v>
      </c>
      <c r="AD224" s="15">
        <f>'Returns per Gal.'!AC231</f>
        <v>0</v>
      </c>
      <c r="AE224" s="81">
        <f>'Returns per Gal.'!AD231</f>
        <v>0</v>
      </c>
      <c r="AF224" s="93">
        <f>'Returns per Gal.'!AE231</f>
        <v>0.44912280701754387</v>
      </c>
      <c r="AG224" s="93">
        <f>'Returns per Gal.'!AF231</f>
        <v>1.1340087719298246</v>
      </c>
      <c r="AH224" s="93">
        <f>'Returns per Gal.'!AG231</f>
        <v>1.5831315789473686</v>
      </c>
      <c r="AI224" s="105">
        <f>'Returns per Gal.'!AH231</f>
        <v>0</v>
      </c>
      <c r="AJ224" s="104">
        <f>'Returns per Gal.'!AI231</f>
        <v>0</v>
      </c>
      <c r="AK224" s="93">
        <f>'Returns per Gal.'!AJ231</f>
        <v>1.9903315789473686</v>
      </c>
      <c r="AL224" s="93">
        <f>'Returns per Gal.'!AK231</f>
        <v>2.1865775910685805</v>
      </c>
      <c r="AM224" s="105">
        <f>'Returns per Gal.'!AL231</f>
        <v>0</v>
      </c>
      <c r="AN224" s="104"/>
      <c r="AO224" s="93">
        <f>'Returns per Gal.'!AN231</f>
        <v>1.078820438596491</v>
      </c>
      <c r="AP224" s="93">
        <f>'Returns per Gal.'!AO231</f>
        <v>0.88257442647527906</v>
      </c>
      <c r="AQ224" s="93">
        <f>'Returns per Gal.'!AP231</f>
        <v>0.38494986507177087</v>
      </c>
      <c r="AR224" s="93">
        <f>'Returns per Gal.'!AQ231</f>
        <v>0.49762456140350819</v>
      </c>
      <c r="AS224" s="52"/>
      <c r="AU224" s="177">
        <f>'Returns per Bu.'!G231</f>
        <v>5.9301549999999992</v>
      </c>
      <c r="AV224" s="166">
        <f>'Returns per Bu.'!N231</f>
        <v>8.7470832499999993</v>
      </c>
      <c r="AW224" s="166">
        <f>'Returns per Bu.'!O231</f>
        <v>7.0272621154545449</v>
      </c>
      <c r="AX224" s="169">
        <f>'Returns per Bu.'!Z231</f>
        <v>0.33408352274742165</v>
      </c>
      <c r="AY224" s="162">
        <f>'Returns per Bu.'!AF231</f>
        <v>4.5119250000000006</v>
      </c>
      <c r="AZ224" s="165"/>
      <c r="BA224" s="15">
        <f t="shared" ref="BA224:BA225" si="50">AY224-BB224</f>
        <v>3.2319250000000004</v>
      </c>
      <c r="BB224" s="93">
        <f>'Returns per Bu.'!AD231</f>
        <v>1.28</v>
      </c>
      <c r="BC224" s="93">
        <f t="shared" ref="BC224:BC225" si="51">AG224</f>
        <v>1.1340087719298246</v>
      </c>
    </row>
    <row r="225" spans="1:55" x14ac:dyDescent="0.2">
      <c r="A225" s="8">
        <v>45157</v>
      </c>
      <c r="C225" s="53"/>
      <c r="D225" s="281">
        <v>2.1169799999999999</v>
      </c>
      <c r="E225" s="282">
        <v>190.86374999999998</v>
      </c>
      <c r="F225" s="281">
        <v>0.68402499999999988</v>
      </c>
      <c r="G225" s="281">
        <v>5.5886043478260872</v>
      </c>
      <c r="H225" s="308">
        <v>6.05</v>
      </c>
      <c r="I225" s="184"/>
      <c r="K225" s="93">
        <f>'Returns per Gal.'!J232</f>
        <v>2.1169799999999999</v>
      </c>
      <c r="L225" s="93">
        <f>'Returns per Gal.'!K232</f>
        <v>0.54915184210526302</v>
      </c>
      <c r="M225" s="93">
        <f>'Returns per Gal.'!L232</f>
        <v>0.15600570175438594</v>
      </c>
      <c r="N225" s="93">
        <f>'Returns per Gal.'!M232</f>
        <v>2.822137543859649</v>
      </c>
      <c r="O225" s="110">
        <f>'Returns per Gal.'!N232</f>
        <v>0</v>
      </c>
      <c r="P225" s="108">
        <f>'Returns per Gal.'!O232</f>
        <v>0</v>
      </c>
      <c r="Q225" s="93">
        <f>'Returns per Gal.'!P232</f>
        <v>1.9609138062547673</v>
      </c>
      <c r="R225" s="93">
        <f>'Returns per Gal.'!Q232</f>
        <v>0.18149999999999999</v>
      </c>
      <c r="S225" s="93">
        <f>'Returns per Gal.'!R232</f>
        <v>0.21939999999999998</v>
      </c>
      <c r="T225" s="93">
        <f>'Returns per Gal.'!S232</f>
        <v>2.3618138062547671</v>
      </c>
      <c r="U225" s="93">
        <f>'Returns per Gal.'!T232</f>
        <v>0.19624601212121212</v>
      </c>
      <c r="V225" s="93">
        <f>'Returns per Gal.'!U232</f>
        <v>2.5580598183759791</v>
      </c>
      <c r="W225" s="93">
        <f>'Returns per Gal.'!V232</f>
        <v>1.8529022745163302</v>
      </c>
      <c r="X225" s="105"/>
      <c r="Y225" s="93">
        <f>'Returns per Gal.'!V232</f>
        <v>1.8529022745163302</v>
      </c>
      <c r="Z225" s="93">
        <f>'Returns per Gal.'!Y232</f>
        <v>0.64122373760488172</v>
      </c>
      <c r="AA225" s="93">
        <f>'Returns per Gal.'!Z232</f>
        <v>0.46032373760488188</v>
      </c>
      <c r="AB225" s="93">
        <f>'Returns per Gal.'!AA232</f>
        <v>0.26407772548366992</v>
      </c>
      <c r="AC225" s="80">
        <f>'Returns per Gal.'!AB232</f>
        <v>0</v>
      </c>
      <c r="AD225" s="15">
        <f>'Returns per Gal.'!AC232</f>
        <v>0</v>
      </c>
      <c r="AE225" s="81">
        <f>'Returns per Gal.'!AD232</f>
        <v>0</v>
      </c>
      <c r="AF225" s="93">
        <f>'Returns per Gal.'!AE232</f>
        <v>0.44912280701754387</v>
      </c>
      <c r="AG225" s="93">
        <f>'Returns per Gal.'!AF232</f>
        <v>1.1340087719298246</v>
      </c>
      <c r="AH225" s="93">
        <f>'Returns per Gal.'!AG232</f>
        <v>1.5831315789473686</v>
      </c>
      <c r="AI225" s="105">
        <f>'Returns per Gal.'!AH232</f>
        <v>0</v>
      </c>
      <c r="AJ225" s="104">
        <f>'Returns per Gal.'!AI232</f>
        <v>0</v>
      </c>
      <c r="AK225" s="93">
        <f>'Returns per Gal.'!AJ232</f>
        <v>1.9840315789473686</v>
      </c>
      <c r="AL225" s="93">
        <f>'Returns per Gal.'!AK232</f>
        <v>2.1802775910685805</v>
      </c>
      <c r="AM225" s="105">
        <f>'Returns per Gal.'!AL232</f>
        <v>0</v>
      </c>
      <c r="AN225" s="104"/>
      <c r="AO225" s="93">
        <f>'Returns per Gal.'!AN232</f>
        <v>0.8381059649122804</v>
      </c>
      <c r="AP225" s="93">
        <f>'Returns per Gal.'!AO232</f>
        <v>0.64185995279106844</v>
      </c>
      <c r="AQ225" s="93">
        <f>'Returns per Gal.'!AP232</f>
        <v>0.2640777254836697</v>
      </c>
      <c r="AR225" s="93">
        <f>'Returns per Gal.'!AQ232</f>
        <v>0.37778222730739874</v>
      </c>
      <c r="AS225" s="52"/>
      <c r="AU225" s="177">
        <f>'Returns per Bu.'!G232</f>
        <v>5.5886043478260872</v>
      </c>
      <c r="AV225" s="166">
        <f>'Returns per Bu.'!N232</f>
        <v>8.0430919999999997</v>
      </c>
      <c r="AW225" s="166">
        <f>'Returns per Bu.'!O232</f>
        <v>6.3412258654545459</v>
      </c>
      <c r="AX225" s="169">
        <f>'Returns per Bu.'!Z232</f>
        <v>0.22918313477590743</v>
      </c>
      <c r="AY225" s="162">
        <f>'Returns per Bu.'!AF232</f>
        <v>4.5119250000000006</v>
      </c>
      <c r="AZ225" s="165"/>
      <c r="BA225" s="15">
        <f t="shared" si="50"/>
        <v>3.2319250000000004</v>
      </c>
      <c r="BB225" s="93">
        <f>'Returns per Bu.'!AD232</f>
        <v>1.28</v>
      </c>
      <c r="BC225" s="93">
        <f t="shared" si="51"/>
        <v>1.1340087719298246</v>
      </c>
    </row>
    <row r="226" spans="1:55" x14ac:dyDescent="0.2">
      <c r="A226" s="8">
        <v>45188</v>
      </c>
      <c r="C226" s="53"/>
      <c r="D226" s="281">
        <v>2.205888888888889</v>
      </c>
      <c r="E226" s="282">
        <v>189.80699999999999</v>
      </c>
      <c r="F226" s="281">
        <v>0.6765000000000001</v>
      </c>
      <c r="G226" s="281">
        <v>4.8854025000000005</v>
      </c>
      <c r="H226" s="308">
        <v>5.1100000000000003</v>
      </c>
      <c r="I226" s="184"/>
      <c r="K226" s="93">
        <f>'Returns per Gal.'!J233</f>
        <v>2.205888888888889</v>
      </c>
      <c r="L226" s="93">
        <f>'Returns per Gal.'!K233</f>
        <v>0.54611136842105257</v>
      </c>
      <c r="M226" s="93">
        <f>'Returns per Gal.'!L233</f>
        <v>0.15428947368421056</v>
      </c>
      <c r="N226" s="93">
        <f>'Returns per Gal.'!M233</f>
        <v>2.906289730994152</v>
      </c>
      <c r="O226" s="110">
        <f>'Returns per Gal.'!N233</f>
        <v>0</v>
      </c>
      <c r="P226" s="108">
        <f>'Returns per Gal.'!O233</f>
        <v>0</v>
      </c>
      <c r="Q226" s="93">
        <f>'Returns per Gal.'!P233</f>
        <v>1.7141763157894738</v>
      </c>
      <c r="R226" s="93">
        <f>'Returns per Gal.'!Q233</f>
        <v>0.15329999999999999</v>
      </c>
      <c r="S226" s="93">
        <f>'Returns per Gal.'!R233</f>
        <v>0.21939999999999998</v>
      </c>
      <c r="T226" s="93">
        <f>'Returns per Gal.'!S233</f>
        <v>2.0868763157894739</v>
      </c>
      <c r="U226" s="93">
        <f>'Returns per Gal.'!T233</f>
        <v>0.19624601212121212</v>
      </c>
      <c r="V226" s="93">
        <f>'Returns per Gal.'!U233</f>
        <v>2.2831223279106858</v>
      </c>
      <c r="W226" s="93">
        <f>'Returns per Gal.'!V233</f>
        <v>1.5827214858054226</v>
      </c>
      <c r="X226" s="105"/>
      <c r="Y226" s="93">
        <f>'Returns per Gal.'!V233</f>
        <v>1.5827214858054226</v>
      </c>
      <c r="Z226" s="93">
        <f>'Returns per Gal.'!Y233</f>
        <v>1.0003134152046782</v>
      </c>
      <c r="AA226" s="93">
        <f>'Returns per Gal.'!Z233</f>
        <v>0.81941341520467814</v>
      </c>
      <c r="AB226" s="93">
        <f>'Returns per Gal.'!AA233</f>
        <v>0.62316740308346619</v>
      </c>
      <c r="AC226" s="80">
        <f>'Returns per Gal.'!AB233</f>
        <v>0</v>
      </c>
      <c r="AD226" s="15">
        <f>'Returns per Gal.'!AC233</f>
        <v>0</v>
      </c>
      <c r="AE226" s="81">
        <f>'Returns per Gal.'!AD233</f>
        <v>0</v>
      </c>
      <c r="AF226" s="93">
        <f>'Returns per Gal.'!AE233</f>
        <v>0.51523545706371188</v>
      </c>
      <c r="AG226" s="93">
        <f>'Returns per Gal.'!AF233</f>
        <v>1.3558467220683286</v>
      </c>
      <c r="AH226" s="93">
        <f>'Returns per Gal.'!AG233</f>
        <v>1.8710821791320404</v>
      </c>
      <c r="AI226" s="105">
        <f>'Returns per Gal.'!AH233</f>
        <v>0</v>
      </c>
      <c r="AJ226" s="104">
        <f>'Returns per Gal.'!AI233</f>
        <v>0</v>
      </c>
      <c r="AK226" s="93">
        <f>'Returns per Gal.'!AJ233</f>
        <v>2.2437821791320403</v>
      </c>
      <c r="AL226" s="93">
        <f>'Returns per Gal.'!AK233</f>
        <v>2.4400281912532522</v>
      </c>
      <c r="AM226" s="105">
        <f>'Returns per Gal.'!AL233</f>
        <v>0</v>
      </c>
      <c r="AN226" s="104"/>
      <c r="AO226" s="93">
        <f>'Returns per Gal.'!AN233</f>
        <v>0.66250755186211174</v>
      </c>
      <c r="AP226" s="93">
        <f>'Returns per Gal.'!AO233</f>
        <v>0.46626153974089979</v>
      </c>
      <c r="AQ226" s="93">
        <f>'Returns per Gal.'!AP233</f>
        <v>0.62316740308346641</v>
      </c>
      <c r="AR226" s="93">
        <f>'Returns per Gal.'!AQ233</f>
        <v>-0.15690586334256662</v>
      </c>
      <c r="AS226" s="52"/>
      <c r="AU226" s="177">
        <f>'Returns per Bu.'!G233</f>
        <v>4.8854025000000005</v>
      </c>
      <c r="AV226" s="166">
        <f>'Returns per Bu.'!N233</f>
        <v>8.2829257333333342</v>
      </c>
      <c r="AW226" s="166">
        <f>'Returns per Bu.'!O233</f>
        <v>6.6614295987878798</v>
      </c>
      <c r="AX226" s="169">
        <f>'Returns per Bu.'!Z233</f>
        <v>0.5408235725570959</v>
      </c>
      <c r="AY226" s="162">
        <f>'Returns per Bu.'!AF233</f>
        <v>5.3325842105263153</v>
      </c>
      <c r="AZ226" s="165"/>
      <c r="BA226" s="15">
        <f t="shared" ref="BA226:BA228" si="52">AY226-BB226</f>
        <v>3.8641631578947364</v>
      </c>
      <c r="BB226" s="93">
        <f>'Returns per Bu.'!AD233</f>
        <v>1.4684210526315788</v>
      </c>
      <c r="BC226" s="93">
        <f t="shared" ref="BC226:BC228" si="53">AG226</f>
        <v>1.3558467220683286</v>
      </c>
    </row>
    <row r="227" spans="1:55" x14ac:dyDescent="0.2">
      <c r="A227" s="8">
        <v>45218</v>
      </c>
      <c r="C227" s="53"/>
      <c r="D227" s="281">
        <v>2.160425</v>
      </c>
      <c r="E227" s="282">
        <v>183.35124999999999</v>
      </c>
      <c r="F227" s="281">
        <v>0.623475</v>
      </c>
      <c r="G227" s="281">
        <v>4.7835357142857138</v>
      </c>
      <c r="H227" s="308">
        <v>4.83</v>
      </c>
      <c r="I227" s="184"/>
      <c r="K227" s="93">
        <f>'Returns per Gal.'!J234</f>
        <v>2.160425</v>
      </c>
      <c r="L227" s="93">
        <f>'Returns per Gal.'!K234</f>
        <v>0.52753692982456135</v>
      </c>
      <c r="M227" s="93">
        <f>'Returns per Gal.'!L234</f>
        <v>0.14219605263157895</v>
      </c>
      <c r="N227" s="93">
        <f>'Returns per Gal.'!M234</f>
        <v>2.8301579824561403</v>
      </c>
      <c r="O227" s="110">
        <f>'Returns per Gal.'!N234</f>
        <v>0</v>
      </c>
      <c r="P227" s="108">
        <f>'Returns per Gal.'!O234</f>
        <v>0</v>
      </c>
      <c r="Q227" s="93">
        <f>'Returns per Gal.'!P234</f>
        <v>1.6784335839598996</v>
      </c>
      <c r="R227" s="93">
        <f>'Returns per Gal.'!Q234</f>
        <v>0.1449</v>
      </c>
      <c r="S227" s="93">
        <f>'Returns per Gal.'!R234</f>
        <v>0.21939999999999998</v>
      </c>
      <c r="T227" s="93">
        <f>'Returns per Gal.'!S234</f>
        <v>2.0427335839598997</v>
      </c>
      <c r="U227" s="93">
        <f>'Returns per Gal.'!T234</f>
        <v>0.19624601212121212</v>
      </c>
      <c r="V227" s="93">
        <f>'Returns per Gal.'!U234</f>
        <v>2.2389795960811116</v>
      </c>
      <c r="W227" s="93">
        <f>'Returns per Gal.'!V234</f>
        <v>1.5692466136249714</v>
      </c>
      <c r="X227" s="105"/>
      <c r="Y227" s="93">
        <f>'Returns per Gal.'!V234</f>
        <v>1.5692466136249714</v>
      </c>
      <c r="Z227" s="93">
        <f>'Returns per Gal.'!Y234</f>
        <v>0.96832439849624063</v>
      </c>
      <c r="AA227" s="93">
        <f>'Returns per Gal.'!Z234</f>
        <v>0.78742439849624057</v>
      </c>
      <c r="AB227" s="93">
        <f>'Returns per Gal.'!AA234</f>
        <v>0.59117838637502862</v>
      </c>
      <c r="AC227" s="80">
        <f>'Returns per Gal.'!AB234</f>
        <v>0</v>
      </c>
      <c r="AD227" s="15">
        <f>'Returns per Gal.'!AC234</f>
        <v>0</v>
      </c>
      <c r="AE227" s="81">
        <f>'Returns per Gal.'!AD234</f>
        <v>0</v>
      </c>
      <c r="AF227" s="93">
        <f>'Returns per Gal.'!AE234</f>
        <v>0.51523545706371188</v>
      </c>
      <c r="AG227" s="93">
        <f>'Returns per Gal.'!AF234</f>
        <v>1.3558467220683286</v>
      </c>
      <c r="AH227" s="93">
        <f>'Returns per Gal.'!AG234</f>
        <v>1.8710821791320404</v>
      </c>
      <c r="AI227" s="105">
        <f>'Returns per Gal.'!AH234</f>
        <v>0</v>
      </c>
      <c r="AJ227" s="104">
        <f>'Returns per Gal.'!AI234</f>
        <v>0</v>
      </c>
      <c r="AK227" s="93">
        <f>'Returns per Gal.'!AJ234</f>
        <v>2.2353821791320403</v>
      </c>
      <c r="AL227" s="93">
        <f>'Returns per Gal.'!AK234</f>
        <v>2.4316281912532522</v>
      </c>
      <c r="AM227" s="105">
        <f>'Returns per Gal.'!AL234</f>
        <v>0</v>
      </c>
      <c r="AN227" s="104"/>
      <c r="AO227" s="93">
        <f>'Returns per Gal.'!AN234</f>
        <v>0.59477580332409996</v>
      </c>
      <c r="AP227" s="93">
        <f>'Returns per Gal.'!AO234</f>
        <v>0.39852979120288801</v>
      </c>
      <c r="AQ227" s="93">
        <f>'Returns per Gal.'!AP234</f>
        <v>0.59117838637502884</v>
      </c>
      <c r="AR227" s="93">
        <f>'Returns per Gal.'!AQ234</f>
        <v>-0.19264859517214084</v>
      </c>
      <c r="AS227" s="52"/>
      <c r="AU227" s="177">
        <f>'Returns per Bu.'!G234</f>
        <v>4.7835357142857138</v>
      </c>
      <c r="AV227" s="166">
        <f>'Returns per Bu.'!N234</f>
        <v>8.0659502500000002</v>
      </c>
      <c r="AW227" s="166">
        <f>'Returns per Bu.'!O234</f>
        <v>6.4683941154545463</v>
      </c>
      <c r="AX227" s="169">
        <f>'Returns per Bu.'!Z234</f>
        <v>0.51306150699775765</v>
      </c>
      <c r="AY227" s="162">
        <f>'Returns per Bu.'!AF234</f>
        <v>5.3325842105263153</v>
      </c>
      <c r="AZ227" s="165"/>
      <c r="BA227" s="15">
        <f t="shared" si="52"/>
        <v>3.8641631578947364</v>
      </c>
      <c r="BB227" s="93">
        <f>'Returns per Bu.'!AD234</f>
        <v>1.4684210526315788</v>
      </c>
      <c r="BC227" s="93">
        <f t="shared" si="53"/>
        <v>1.3558467220683286</v>
      </c>
    </row>
    <row r="228" spans="1:55" x14ac:dyDescent="0.2">
      <c r="A228" s="8">
        <v>45249</v>
      </c>
      <c r="C228" s="53"/>
      <c r="D228" s="281">
        <v>1.8783000000000001</v>
      </c>
      <c r="E228" s="282">
        <v>194.29833333333332</v>
      </c>
      <c r="F228" s="281">
        <v>0.5534</v>
      </c>
      <c r="G228" s="281">
        <v>4.7615249999999989</v>
      </c>
      <c r="H228" s="308">
        <v>5.49</v>
      </c>
      <c r="I228" s="184"/>
      <c r="K228" s="93">
        <f>'Returns per Gal.'!J235</f>
        <v>1.8783000000000001</v>
      </c>
      <c r="L228" s="93">
        <f>'Returns per Gal.'!K235</f>
        <v>0.55903380116959056</v>
      </c>
      <c r="M228" s="93">
        <f>'Returns per Gal.'!L235</f>
        <v>0.12621403508771931</v>
      </c>
      <c r="N228" s="93">
        <f>'Returns per Gal.'!M235</f>
        <v>2.5635478362573103</v>
      </c>
      <c r="O228" s="110">
        <f>'Returns per Gal.'!N235</f>
        <v>0</v>
      </c>
      <c r="P228" s="108">
        <f>'Returns per Gal.'!O235</f>
        <v>0</v>
      </c>
      <c r="Q228" s="93">
        <f>'Returns per Gal.'!P235</f>
        <v>1.6707105263157891</v>
      </c>
      <c r="R228" s="93">
        <f>'Returns per Gal.'!Q235</f>
        <v>0.16470000000000001</v>
      </c>
      <c r="S228" s="93">
        <f>'Returns per Gal.'!R235</f>
        <v>0.21939999999999998</v>
      </c>
      <c r="T228" s="93">
        <f>'Returns per Gal.'!S235</f>
        <v>2.054810526315789</v>
      </c>
      <c r="U228" s="93">
        <f>'Returns per Gal.'!T235</f>
        <v>0.19624601212121212</v>
      </c>
      <c r="V228" s="93">
        <f>'Returns per Gal.'!U235</f>
        <v>2.2510565384370009</v>
      </c>
      <c r="W228" s="93">
        <f>'Returns per Gal.'!V235</f>
        <v>1.5658087021796911</v>
      </c>
      <c r="X228" s="105"/>
      <c r="Y228" s="93">
        <f>'Returns per Gal.'!V235</f>
        <v>1.5658087021796911</v>
      </c>
      <c r="Z228" s="93">
        <f>'Returns per Gal.'!Y235</f>
        <v>0.68963730994152117</v>
      </c>
      <c r="AA228" s="93">
        <f>'Returns per Gal.'!Z235</f>
        <v>0.50873730994152133</v>
      </c>
      <c r="AB228" s="93">
        <f>'Returns per Gal.'!AA235</f>
        <v>0.31249129782030938</v>
      </c>
      <c r="AC228" s="80">
        <f>'Returns per Gal.'!AB235</f>
        <v>0</v>
      </c>
      <c r="AD228" s="15">
        <f>'Returns per Gal.'!AC235</f>
        <v>0</v>
      </c>
      <c r="AE228" s="81">
        <f>'Returns per Gal.'!AD235</f>
        <v>0</v>
      </c>
      <c r="AF228" s="93">
        <f>'Returns per Gal.'!AE235</f>
        <v>0.51523545706371188</v>
      </c>
      <c r="AG228" s="93">
        <f>'Returns per Gal.'!AF235</f>
        <v>1.3558467220683286</v>
      </c>
      <c r="AH228" s="93">
        <f>'Returns per Gal.'!AG235</f>
        <v>1.8710821791320404</v>
      </c>
      <c r="AI228" s="105">
        <f>'Returns per Gal.'!AH235</f>
        <v>0</v>
      </c>
      <c r="AJ228" s="104">
        <f>'Returns per Gal.'!AI235</f>
        <v>0</v>
      </c>
      <c r="AK228" s="93">
        <f>'Returns per Gal.'!AJ235</f>
        <v>2.2551821791320403</v>
      </c>
      <c r="AL228" s="93">
        <f>'Returns per Gal.'!AK235</f>
        <v>2.4514281912532523</v>
      </c>
      <c r="AM228" s="105">
        <f>'Returns per Gal.'!AL235</f>
        <v>0</v>
      </c>
      <c r="AN228" s="104"/>
      <c r="AO228" s="93">
        <f>'Returns per Gal.'!AN235</f>
        <v>0.30836565712526998</v>
      </c>
      <c r="AP228" s="93">
        <f>'Returns per Gal.'!AO235</f>
        <v>0.11211964500405802</v>
      </c>
      <c r="AQ228" s="93">
        <f>'Returns per Gal.'!AP235</f>
        <v>0.31249129782030938</v>
      </c>
      <c r="AR228" s="93">
        <f>'Returns per Gal.'!AQ235</f>
        <v>-0.20037165281625136</v>
      </c>
      <c r="AS228" s="52"/>
      <c r="AU228" s="177">
        <f>'Returns per Bu.'!G235</f>
        <v>4.7615249999999989</v>
      </c>
      <c r="AV228" s="166">
        <f>'Returns per Bu.'!N235</f>
        <v>7.306111333333333</v>
      </c>
      <c r="AW228" s="166">
        <f>'Returns per Bu.'!O235</f>
        <v>5.6521251987878784</v>
      </c>
      <c r="AX228" s="169">
        <f>'Returns per Bu.'!Z235</f>
        <v>0.27119945498424397</v>
      </c>
      <c r="AY228" s="162">
        <f>'Returns per Bu.'!AF235</f>
        <v>5.3325842105263153</v>
      </c>
      <c r="AZ228" s="165"/>
      <c r="BA228" s="15">
        <f t="shared" si="52"/>
        <v>3.8641631578947364</v>
      </c>
      <c r="BB228" s="93">
        <f>'Returns per Bu.'!AD235</f>
        <v>1.4684210526315788</v>
      </c>
      <c r="BC228" s="93">
        <f t="shared" si="53"/>
        <v>1.3558467220683286</v>
      </c>
    </row>
    <row r="229" spans="1:55" x14ac:dyDescent="0.2">
      <c r="A229" s="68">
        <v>45279</v>
      </c>
      <c r="B229" s="64"/>
      <c r="C229" s="56"/>
      <c r="D229" s="284">
        <v>1.5902000000000003</v>
      </c>
      <c r="E229" s="285">
        <v>209.66499999999999</v>
      </c>
      <c r="F229" s="284">
        <v>0.52507499999999996</v>
      </c>
      <c r="G229" s="284">
        <v>4.8121174999999994</v>
      </c>
      <c r="H229" s="309">
        <v>5.79</v>
      </c>
      <c r="I229" s="187"/>
      <c r="J229" s="29"/>
      <c r="K229" s="97">
        <f>'Returns per Gal.'!J236</f>
        <v>1.5902000000000003</v>
      </c>
      <c r="L229" s="97">
        <f>'Returns per Gal.'!K236</f>
        <v>0.60324666666666649</v>
      </c>
      <c r="M229" s="97">
        <f>'Returns per Gal.'!L236</f>
        <v>0.11975394736842104</v>
      </c>
      <c r="N229" s="97">
        <f>'Returns per Gal.'!M236</f>
        <v>2.3132006140350878</v>
      </c>
      <c r="O229" s="113">
        <f>'Returns per Gal.'!N236</f>
        <v>0</v>
      </c>
      <c r="P229" s="111">
        <f>'Returns per Gal.'!O236</f>
        <v>0</v>
      </c>
      <c r="Q229" s="97">
        <f>'Returns per Gal.'!P236</f>
        <v>1.6884622807017542</v>
      </c>
      <c r="R229" s="97">
        <f>'Returns per Gal.'!Q236</f>
        <v>0.17369999999999999</v>
      </c>
      <c r="S229" s="97">
        <f>'Returns per Gal.'!R236</f>
        <v>0.21939999999999998</v>
      </c>
      <c r="T229" s="97">
        <f>'Returns per Gal.'!S236</f>
        <v>2.0815622807017542</v>
      </c>
      <c r="U229" s="97">
        <f>'Returns per Gal.'!T236</f>
        <v>0.19624601212121212</v>
      </c>
      <c r="V229" s="97">
        <f>'Returns per Gal.'!U236</f>
        <v>2.2778082928229662</v>
      </c>
      <c r="W229" s="97">
        <f>'Returns per Gal.'!V236</f>
        <v>1.5548076787878786</v>
      </c>
      <c r="X229" s="107"/>
      <c r="Y229" s="97">
        <f>'Returns per Gal.'!V236</f>
        <v>1.5548076787878786</v>
      </c>
      <c r="Z229" s="97">
        <f>'Returns per Gal.'!Y236</f>
        <v>0.41253833333333367</v>
      </c>
      <c r="AA229" s="97">
        <f>'Returns per Gal.'!Z236</f>
        <v>0.23163833333333361</v>
      </c>
      <c r="AB229" s="97">
        <f>'Returns per Gal.'!AA236</f>
        <v>3.5392321212121658E-2</v>
      </c>
      <c r="AC229" s="82">
        <f>'Returns per Gal.'!AB236</f>
        <v>0</v>
      </c>
      <c r="AD229" s="65">
        <f>'Returns per Gal.'!AC236</f>
        <v>0</v>
      </c>
      <c r="AE229" s="83">
        <f>'Returns per Gal.'!AD236</f>
        <v>0</v>
      </c>
      <c r="AF229" s="97">
        <f>'Returns per Gal.'!AE236</f>
        <v>0.51523545706371188</v>
      </c>
      <c r="AG229" s="97">
        <f>'Returns per Gal.'!AF236</f>
        <v>1.3558467220683286</v>
      </c>
      <c r="AH229" s="97">
        <f>'Returns per Gal.'!AG236</f>
        <v>1.8710821791320404</v>
      </c>
      <c r="AI229" s="107">
        <f>'Returns per Gal.'!AH236</f>
        <v>0</v>
      </c>
      <c r="AJ229" s="106">
        <f>'Returns per Gal.'!AI236</f>
        <v>0</v>
      </c>
      <c r="AK229" s="97">
        <f>'Returns per Gal.'!AJ236</f>
        <v>2.2641821791320402</v>
      </c>
      <c r="AL229" s="97">
        <f>'Returns per Gal.'!AK236</f>
        <v>2.4604281912532522</v>
      </c>
      <c r="AM229" s="107">
        <f>'Returns per Gal.'!AL236</f>
        <v>0</v>
      </c>
      <c r="AN229" s="106"/>
      <c r="AO229" s="97">
        <f>'Returns per Gal.'!AN236</f>
        <v>4.9018434903047581E-2</v>
      </c>
      <c r="AP229" s="97">
        <f>'Returns per Gal.'!AO236</f>
        <v>-0.14722757721816437</v>
      </c>
      <c r="AQ229" s="97">
        <f>'Returns per Gal.'!AP236</f>
        <v>3.539232121212188E-2</v>
      </c>
      <c r="AR229" s="97">
        <f>'Returns per Gal.'!AQ236</f>
        <v>-0.18261989843028625</v>
      </c>
      <c r="AS229" s="64"/>
      <c r="AT229" s="29"/>
      <c r="AU229" s="178">
        <f>'Returns per Bu.'!G236</f>
        <v>4.8121174999999994</v>
      </c>
      <c r="AV229" s="167">
        <f>'Returns per Bu.'!N236</f>
        <v>6.5926217500000011</v>
      </c>
      <c r="AW229" s="167">
        <f>'Returns per Bu.'!O236</f>
        <v>4.9129856154545468</v>
      </c>
      <c r="AX229" s="170">
        <f>'Returns per Bu.'!Z236</f>
        <v>3.0715665653109157E-2</v>
      </c>
      <c r="AY229" s="163">
        <f>'Returns per Bu.'!AF236</f>
        <v>5.3325842105263153</v>
      </c>
      <c r="AZ229" s="164"/>
      <c r="BA229" s="65">
        <f t="shared" ref="BA229:BA231" si="54">AY229-BB229</f>
        <v>3.8641631578947364</v>
      </c>
      <c r="BB229" s="97">
        <f>'Returns per Bu.'!AD236</f>
        <v>1.4684210526315788</v>
      </c>
      <c r="BC229" s="97">
        <f t="shared" ref="BC229:BC231" si="55">AG229</f>
        <v>1.3558467220683286</v>
      </c>
    </row>
    <row r="230" spans="1:55" x14ac:dyDescent="0.2">
      <c r="A230" s="21">
        <v>45310</v>
      </c>
      <c r="C230" s="53"/>
      <c r="D230" s="93">
        <v>1.4786250000000001</v>
      </c>
      <c r="E230" s="95">
        <v>196.51</v>
      </c>
      <c r="F230" s="319">
        <v>0.48694999999999999</v>
      </c>
      <c r="G230" s="93">
        <v>4.5717761904761911</v>
      </c>
      <c r="H230" s="308">
        <v>5.79</v>
      </c>
      <c r="I230" s="184"/>
      <c r="J230" s="12"/>
      <c r="K230" s="93">
        <f>'Returns per Gal.'!J237</f>
        <v>1.4786250000000001</v>
      </c>
      <c r="L230" s="93">
        <f>'Returns per Gal.'!K237</f>
        <v>0.56539719298245605</v>
      </c>
      <c r="M230" s="93">
        <f>'Returns per Gal.'!L237</f>
        <v>0.11105877192982457</v>
      </c>
      <c r="N230" s="93">
        <f>'Returns per Gal.'!M237</f>
        <v>2.1550809649122806</v>
      </c>
      <c r="O230" s="110">
        <f>'Returns per Gal.'!N237</f>
        <v>0</v>
      </c>
      <c r="P230" s="108">
        <f>'Returns per Gal.'!O237</f>
        <v>0</v>
      </c>
      <c r="Q230" s="93">
        <f>'Returns per Gal.'!P237</f>
        <v>1.6041319966583125</v>
      </c>
      <c r="R230" s="93">
        <f>'Returns per Gal.'!Q237</f>
        <v>0.17369999999999999</v>
      </c>
      <c r="S230" s="93">
        <f>'Returns per Gal.'!R237</f>
        <v>0.21939999999999998</v>
      </c>
      <c r="T230" s="93">
        <f>'Returns per Gal.'!S237</f>
        <v>1.9972319966583125</v>
      </c>
      <c r="U230" s="93">
        <f>'Returns per Gal.'!T237</f>
        <v>0.19624601212121212</v>
      </c>
      <c r="V230" s="93">
        <f>'Returns per Gal.'!U237</f>
        <v>2.1934780087795245</v>
      </c>
      <c r="W230" s="93">
        <f>'Returns per Gal.'!V237</f>
        <v>1.5170220438672437</v>
      </c>
      <c r="X230" s="105"/>
      <c r="Y230" s="93">
        <f>'Returns per Gal.'!V237</f>
        <v>1.5170220438672437</v>
      </c>
      <c r="Z230" s="93">
        <f>'Returns per Gal.'!Y237</f>
        <v>0.33874896825396816</v>
      </c>
      <c r="AA230" s="93">
        <f>'Returns per Gal.'!Z237</f>
        <v>0.1578489682539681</v>
      </c>
      <c r="AB230" s="93">
        <f>'Returns per Gal.'!AA237</f>
        <v>-3.8397043867243852E-2</v>
      </c>
      <c r="AC230" s="80">
        <f>'Returns per Gal.'!AB237</f>
        <v>0</v>
      </c>
      <c r="AD230" s="15">
        <f>'Returns per Gal.'!AC237</f>
        <v>0</v>
      </c>
      <c r="AE230" s="81">
        <f>'Returns per Gal.'!AD237</f>
        <v>0</v>
      </c>
      <c r="AF230" s="93">
        <f>'Returns per Gal.'!AE237</f>
        <v>0.51523545706371188</v>
      </c>
      <c r="AG230" s="93">
        <f>'Returns per Gal.'!AF237</f>
        <v>1.3558467220683286</v>
      </c>
      <c r="AH230" s="93">
        <f>'Returns per Gal.'!AG237</f>
        <v>1.8710821791320404</v>
      </c>
      <c r="AI230" s="105">
        <f>'Returns per Gal.'!AH237</f>
        <v>0</v>
      </c>
      <c r="AJ230" s="104">
        <f>'Returns per Gal.'!AI237</f>
        <v>0</v>
      </c>
      <c r="AK230" s="93">
        <f>'Returns per Gal.'!AJ237</f>
        <v>2.2641821791320402</v>
      </c>
      <c r="AL230" s="93">
        <f>'Returns per Gal.'!AK237</f>
        <v>2.4604281912532522</v>
      </c>
      <c r="AM230" s="105">
        <f>'Returns per Gal.'!AL237</f>
        <v>0</v>
      </c>
      <c r="AN230" s="104"/>
      <c r="AO230" s="93">
        <f>'Returns per Gal.'!AN237</f>
        <v>-0.1091012142197596</v>
      </c>
      <c r="AP230" s="93">
        <f>'Returns per Gal.'!AO237</f>
        <v>-0.30534722634097156</v>
      </c>
      <c r="AQ230" s="93">
        <f>'Returns per Gal.'!AP237</f>
        <v>-3.839704386724363E-2</v>
      </c>
      <c r="AR230" s="93">
        <f>'Returns per Gal.'!AQ237</f>
        <v>-0.26695018247372793</v>
      </c>
      <c r="AS230" s="52"/>
      <c r="AU230" s="177">
        <f>'Returns per Bu.'!G237</f>
        <v>4.5717761904761911</v>
      </c>
      <c r="AV230" s="166">
        <f>'Returns per Bu.'!N237</f>
        <v>6.1419807500000001</v>
      </c>
      <c r="AW230" s="166">
        <f>'Returns per Bu.'!O237</f>
        <v>4.4623446154545459</v>
      </c>
      <c r="AX230" s="169">
        <f>'Returns per Bu.'!Z237</f>
        <v>-3.332335153790613E-2</v>
      </c>
      <c r="AY230" s="162">
        <f>'Returns per Bu.'!AF237</f>
        <v>5.3325842105263153</v>
      </c>
      <c r="AZ230" s="165"/>
      <c r="BA230" s="15">
        <f t="shared" si="54"/>
        <v>3.8641631578947364</v>
      </c>
      <c r="BB230" s="93">
        <f>'Returns per Bu.'!AD237</f>
        <v>1.4684210526315788</v>
      </c>
      <c r="BC230" s="93">
        <f t="shared" si="55"/>
        <v>1.3558467220683286</v>
      </c>
    </row>
    <row r="231" spans="1:55" x14ac:dyDescent="0.2">
      <c r="A231" s="8">
        <v>45341</v>
      </c>
      <c r="C231" s="53"/>
      <c r="D231" s="93">
        <v>1.460925</v>
      </c>
      <c r="E231" s="95">
        <v>193.05500000000001</v>
      </c>
      <c r="F231" s="319">
        <v>0.45290000000000002</v>
      </c>
      <c r="G231" s="93">
        <v>4.3014525000000008</v>
      </c>
      <c r="H231" s="308">
        <v>5.79</v>
      </c>
      <c r="I231" s="184"/>
      <c r="J231" s="12"/>
      <c r="K231" s="93">
        <f>'Returns per Gal.'!J238</f>
        <v>1.460925</v>
      </c>
      <c r="L231" s="93">
        <f>'Returns per Gal.'!K238</f>
        <v>0.55545649122807017</v>
      </c>
      <c r="M231" s="93">
        <f>'Returns per Gal.'!L238</f>
        <v>0.10329298245614035</v>
      </c>
      <c r="N231" s="93">
        <f>'Returns per Gal.'!M238</f>
        <v>2.1196744736842104</v>
      </c>
      <c r="O231" s="110">
        <f>'Returns per Gal.'!N238</f>
        <v>0</v>
      </c>
      <c r="P231" s="108">
        <f>'Returns per Gal.'!O238</f>
        <v>0</v>
      </c>
      <c r="Q231" s="93">
        <f>'Returns per Gal.'!P238</f>
        <v>1.5092815789473686</v>
      </c>
      <c r="R231" s="93">
        <f>'Returns per Gal.'!Q238</f>
        <v>0.17369999999999999</v>
      </c>
      <c r="S231" s="93">
        <f>'Returns per Gal.'!R238</f>
        <v>0.21939999999999998</v>
      </c>
      <c r="T231" s="93">
        <f>'Returns per Gal.'!S238</f>
        <v>1.9023815789473686</v>
      </c>
      <c r="U231" s="93">
        <f>'Returns per Gal.'!T238</f>
        <v>0.19624601212121212</v>
      </c>
      <c r="V231" s="93">
        <f>'Returns per Gal.'!U238</f>
        <v>2.0986275910685808</v>
      </c>
      <c r="W231" s="93">
        <f>'Returns per Gal.'!V238</f>
        <v>1.4398781173843702</v>
      </c>
      <c r="X231" s="105"/>
      <c r="Y231" s="93">
        <f>'Returns per Gal.'!V238</f>
        <v>1.4398781173843702</v>
      </c>
      <c r="Z231" s="93">
        <f>'Returns per Gal.'!Y238</f>
        <v>0.39819289473684183</v>
      </c>
      <c r="AA231" s="93">
        <f>'Returns per Gal.'!Z238</f>
        <v>0.21729289473684177</v>
      </c>
      <c r="AB231" s="93">
        <f>'Returns per Gal.'!AA238</f>
        <v>2.1046882615629592E-2</v>
      </c>
      <c r="AC231" s="80">
        <f>'Returns per Gal.'!AB238</f>
        <v>0</v>
      </c>
      <c r="AD231" s="15">
        <f>'Returns per Gal.'!AC238</f>
        <v>0</v>
      </c>
      <c r="AE231" s="81">
        <f>'Returns per Gal.'!AD238</f>
        <v>0</v>
      </c>
      <c r="AF231" s="93">
        <f>'Returns per Gal.'!AE238</f>
        <v>0.51523545706371188</v>
      </c>
      <c r="AG231" s="93">
        <f>'Returns per Gal.'!AF238</f>
        <v>1.3558467220683286</v>
      </c>
      <c r="AH231" s="93">
        <f>'Returns per Gal.'!AG238</f>
        <v>1.8710821791320404</v>
      </c>
      <c r="AI231" s="105">
        <f>'Returns per Gal.'!AH238</f>
        <v>0</v>
      </c>
      <c r="AJ231" s="104">
        <f>'Returns per Gal.'!AI238</f>
        <v>0</v>
      </c>
      <c r="AK231" s="93">
        <f>'Returns per Gal.'!AJ238</f>
        <v>2.2641821791320402</v>
      </c>
      <c r="AL231" s="93">
        <f>'Returns per Gal.'!AK238</f>
        <v>2.4604281912532522</v>
      </c>
      <c r="AM231" s="105">
        <f>'Returns per Gal.'!AL238</f>
        <v>0</v>
      </c>
      <c r="AN231" s="104"/>
      <c r="AO231" s="93">
        <f>'Returns per Gal.'!AN238</f>
        <v>-0.14450770544782987</v>
      </c>
      <c r="AP231" s="93">
        <f>'Returns per Gal.'!AO238</f>
        <v>-0.34075371756904183</v>
      </c>
      <c r="AQ231" s="93">
        <f>'Returns per Gal.'!AP238</f>
        <v>2.1046882615630036E-2</v>
      </c>
      <c r="AR231" s="93">
        <f>'Returns per Gal.'!AQ238</f>
        <v>-0.36180060018467186</v>
      </c>
      <c r="AS231" s="52"/>
      <c r="AU231" s="177">
        <f>'Returns per Bu.'!G238</f>
        <v>4.3014525000000008</v>
      </c>
      <c r="AV231" s="166">
        <f>'Returns per Bu.'!N238</f>
        <v>6.0410722500000009</v>
      </c>
      <c r="AW231" s="166">
        <f>'Returns per Bu.'!O238</f>
        <v>4.3614361154545467</v>
      </c>
      <c r="AX231" s="169">
        <f>'Returns per Bu.'!Z238</f>
        <v>1.8265798549559797E-2</v>
      </c>
      <c r="AY231" s="162">
        <f>'Returns per Bu.'!AF238</f>
        <v>5.3325842105263153</v>
      </c>
      <c r="AZ231" s="165"/>
      <c r="BA231" s="15">
        <f t="shared" si="54"/>
        <v>3.8641631578947364</v>
      </c>
      <c r="BB231" s="93">
        <f>'Returns per Bu.'!AD238</f>
        <v>1.4684210526315788</v>
      </c>
      <c r="BC231" s="93">
        <f t="shared" si="55"/>
        <v>1.3558467220683286</v>
      </c>
    </row>
    <row r="232" spans="1:55" x14ac:dyDescent="0.2">
      <c r="A232" s="8">
        <v>45370</v>
      </c>
      <c r="C232" s="53"/>
      <c r="D232" s="93"/>
      <c r="E232" s="95"/>
      <c r="F232" s="319"/>
      <c r="G232" s="93"/>
      <c r="H232" s="308"/>
      <c r="I232" s="184"/>
      <c r="J232" s="12"/>
      <c r="K232" s="93"/>
      <c r="L232" s="93"/>
      <c r="M232" s="93"/>
      <c r="N232" s="93"/>
      <c r="O232" s="110"/>
      <c r="P232" s="108"/>
      <c r="Q232" s="93"/>
      <c r="R232" s="93"/>
      <c r="S232" s="93"/>
      <c r="T232" s="93"/>
      <c r="U232" s="93"/>
      <c r="V232" s="93"/>
      <c r="W232" s="93"/>
      <c r="X232" s="105"/>
      <c r="Y232" s="93"/>
      <c r="Z232" s="93"/>
      <c r="AA232" s="93"/>
      <c r="AB232" s="93"/>
      <c r="AC232" s="80"/>
      <c r="AD232" s="15"/>
      <c r="AE232" s="81"/>
      <c r="AF232" s="93"/>
      <c r="AG232" s="93"/>
      <c r="AH232" s="93"/>
      <c r="AI232" s="105"/>
      <c r="AJ232" s="104"/>
      <c r="AK232" s="93"/>
      <c r="AL232" s="93"/>
      <c r="AM232" s="105"/>
      <c r="AN232" s="104"/>
      <c r="AO232" s="93"/>
      <c r="AP232" s="93"/>
      <c r="AQ232" s="93"/>
      <c r="AR232" s="93"/>
      <c r="AS232" s="52"/>
      <c r="AU232" s="177"/>
      <c r="AV232" s="166"/>
      <c r="AW232" s="166"/>
      <c r="AX232" s="169"/>
      <c r="AY232" s="162"/>
      <c r="AZ232" s="165"/>
      <c r="BA232" s="15"/>
      <c r="BB232" s="93"/>
      <c r="BC232" s="93"/>
    </row>
    <row r="233" spans="1:55" x14ac:dyDescent="0.2">
      <c r="A233" s="8">
        <v>45401</v>
      </c>
      <c r="C233" s="53"/>
      <c r="D233" s="281"/>
      <c r="E233" s="282"/>
      <c r="F233" s="319"/>
      <c r="G233" s="281"/>
      <c r="H233" s="308"/>
      <c r="I233" s="184"/>
      <c r="J233" s="12"/>
      <c r="K233" s="93"/>
      <c r="L233" s="93"/>
      <c r="M233" s="93"/>
      <c r="N233" s="93"/>
      <c r="O233" s="110"/>
      <c r="P233" s="108"/>
      <c r="Q233" s="93"/>
      <c r="R233" s="93"/>
      <c r="S233" s="93"/>
      <c r="T233" s="93"/>
      <c r="U233" s="93"/>
      <c r="V233" s="93"/>
      <c r="W233" s="93"/>
      <c r="X233" s="105"/>
      <c r="Y233" s="93"/>
      <c r="Z233" s="93"/>
      <c r="AA233" s="93"/>
      <c r="AB233" s="93"/>
      <c r="AC233" s="80"/>
      <c r="AD233" s="15"/>
      <c r="AE233" s="81"/>
      <c r="AF233" s="93"/>
      <c r="AG233" s="93"/>
      <c r="AH233" s="93"/>
      <c r="AI233" s="105"/>
      <c r="AJ233" s="104"/>
      <c r="AK233" s="93"/>
      <c r="AL233" s="93"/>
      <c r="AM233" s="105"/>
      <c r="AN233" s="104"/>
      <c r="AO233" s="93"/>
      <c r="AP233" s="93"/>
      <c r="AQ233" s="93"/>
      <c r="AR233" s="93"/>
      <c r="AS233" s="52"/>
      <c r="AU233" s="177"/>
      <c r="AV233" s="166"/>
      <c r="AW233" s="166"/>
      <c r="AX233" s="169"/>
      <c r="AY233" s="162"/>
      <c r="AZ233" s="165"/>
      <c r="BA233" s="15"/>
      <c r="BB233" s="93"/>
      <c r="BC233" s="93"/>
    </row>
    <row r="234" spans="1:55" x14ac:dyDescent="0.2">
      <c r="A234" s="8">
        <v>45431</v>
      </c>
      <c r="C234" s="53"/>
      <c r="D234" s="281"/>
      <c r="E234" s="282"/>
      <c r="F234" s="319"/>
      <c r="G234" s="281"/>
      <c r="H234" s="308"/>
      <c r="I234" s="184"/>
      <c r="J234" s="12"/>
      <c r="K234" s="93"/>
      <c r="L234" s="93"/>
      <c r="M234" s="93"/>
      <c r="N234" s="93"/>
      <c r="O234" s="110"/>
      <c r="P234" s="108"/>
      <c r="Q234" s="93"/>
      <c r="R234" s="93"/>
      <c r="S234" s="93"/>
      <c r="T234" s="93"/>
      <c r="U234" s="93"/>
      <c r="V234" s="93"/>
      <c r="W234" s="93"/>
      <c r="X234" s="105"/>
      <c r="Y234" s="93"/>
      <c r="Z234" s="93"/>
      <c r="AA234" s="93"/>
      <c r="AB234" s="93"/>
      <c r="AC234" s="80"/>
      <c r="AD234" s="15"/>
      <c r="AE234" s="81"/>
      <c r="AF234" s="93"/>
      <c r="AG234" s="93"/>
      <c r="AH234" s="93"/>
      <c r="AI234" s="105"/>
      <c r="AJ234" s="104"/>
      <c r="AK234" s="93"/>
      <c r="AL234" s="93"/>
      <c r="AM234" s="105"/>
      <c r="AN234" s="104"/>
      <c r="AO234" s="93"/>
      <c r="AP234" s="93"/>
      <c r="AQ234" s="93"/>
      <c r="AR234" s="93"/>
      <c r="AS234" s="52"/>
      <c r="AU234" s="177"/>
      <c r="AV234" s="166"/>
      <c r="AW234" s="166"/>
      <c r="AX234" s="169"/>
      <c r="AY234" s="162"/>
      <c r="AZ234" s="165"/>
      <c r="BA234" s="15"/>
      <c r="BB234" s="93"/>
      <c r="BC234" s="93"/>
    </row>
    <row r="235" spans="1:55" x14ac:dyDescent="0.2">
      <c r="A235" s="8">
        <v>45462</v>
      </c>
      <c r="C235" s="53"/>
      <c r="D235" s="281"/>
      <c r="E235" s="282"/>
      <c r="F235" s="319"/>
      <c r="G235" s="281"/>
      <c r="H235" s="308"/>
      <c r="I235" s="184"/>
      <c r="K235" s="93"/>
      <c r="L235" s="93"/>
      <c r="M235" s="93"/>
      <c r="N235" s="93"/>
      <c r="O235" s="110"/>
      <c r="P235" s="108"/>
      <c r="Q235" s="93"/>
      <c r="R235" s="93"/>
      <c r="S235" s="93"/>
      <c r="T235" s="93"/>
      <c r="U235" s="93"/>
      <c r="V235" s="93"/>
      <c r="W235" s="93"/>
      <c r="X235" s="105"/>
      <c r="Y235" s="93"/>
      <c r="Z235" s="93"/>
      <c r="AA235" s="93"/>
      <c r="AB235" s="93"/>
      <c r="AC235" s="80"/>
      <c r="AD235" s="15"/>
      <c r="AE235" s="81"/>
      <c r="AF235" s="93"/>
      <c r="AG235" s="93"/>
      <c r="AH235" s="93"/>
      <c r="AI235" s="105"/>
      <c r="AJ235" s="104"/>
      <c r="AK235" s="93"/>
      <c r="AL235" s="93"/>
      <c r="AM235" s="105"/>
      <c r="AN235" s="104"/>
      <c r="AO235" s="93"/>
      <c r="AP235" s="93"/>
      <c r="AQ235" s="93"/>
      <c r="AR235" s="93"/>
      <c r="AS235" s="52"/>
      <c r="AU235" s="177"/>
      <c r="AV235" s="166"/>
      <c r="AW235" s="166"/>
      <c r="AX235" s="169"/>
      <c r="AY235" s="162"/>
      <c r="AZ235" s="165"/>
      <c r="BA235" s="15"/>
      <c r="BB235" s="93"/>
      <c r="BC235" s="93"/>
    </row>
    <row r="236" spans="1:55" x14ac:dyDescent="0.2">
      <c r="A236" s="8">
        <v>45492</v>
      </c>
      <c r="C236" s="53"/>
      <c r="D236" s="281"/>
      <c r="E236" s="282"/>
      <c r="F236" s="319"/>
      <c r="G236" s="281"/>
      <c r="H236" s="308"/>
      <c r="I236" s="184"/>
      <c r="K236" s="93"/>
      <c r="L236" s="93"/>
      <c r="M236" s="93"/>
      <c r="N236" s="93"/>
      <c r="O236" s="110"/>
      <c r="P236" s="108"/>
      <c r="Q236" s="93"/>
      <c r="R236" s="93"/>
      <c r="S236" s="93"/>
      <c r="T236" s="93"/>
      <c r="U236" s="93"/>
      <c r="V236" s="93"/>
      <c r="W236" s="93"/>
      <c r="X236" s="105"/>
      <c r="Y236" s="93"/>
      <c r="Z236" s="93"/>
      <c r="AA236" s="93"/>
      <c r="AB236" s="93"/>
      <c r="AC236" s="80"/>
      <c r="AD236" s="15"/>
      <c r="AE236" s="81"/>
      <c r="AF236" s="93"/>
      <c r="AG236" s="93"/>
      <c r="AH236" s="93"/>
      <c r="AI236" s="105"/>
      <c r="AJ236" s="104"/>
      <c r="AK236" s="93"/>
      <c r="AL236" s="93"/>
      <c r="AM236" s="105"/>
      <c r="AN236" s="104"/>
      <c r="AO236" s="93"/>
      <c r="AP236" s="93"/>
      <c r="AQ236" s="93"/>
      <c r="AR236" s="93"/>
      <c r="AS236" s="52"/>
      <c r="AU236" s="177"/>
      <c r="AV236" s="166"/>
      <c r="AW236" s="166"/>
      <c r="AX236" s="169"/>
      <c r="AY236" s="162"/>
      <c r="AZ236" s="165"/>
      <c r="BA236" s="15"/>
      <c r="BB236" s="93"/>
      <c r="BC236" s="93"/>
    </row>
    <row r="237" spans="1:55" x14ac:dyDescent="0.2">
      <c r="A237" s="8">
        <v>45523</v>
      </c>
      <c r="C237" s="53"/>
      <c r="D237" s="281"/>
      <c r="E237" s="282"/>
      <c r="F237" s="281"/>
      <c r="G237" s="281"/>
      <c r="H237" s="308"/>
      <c r="I237" s="184"/>
      <c r="K237" s="93"/>
      <c r="L237" s="93"/>
      <c r="M237" s="93"/>
      <c r="N237" s="93"/>
      <c r="O237" s="110"/>
      <c r="P237" s="108"/>
      <c r="Q237" s="93"/>
      <c r="R237" s="93"/>
      <c r="S237" s="93"/>
      <c r="T237" s="93"/>
      <c r="U237" s="93"/>
      <c r="V237" s="93"/>
      <c r="W237" s="93"/>
      <c r="X237" s="105"/>
      <c r="Y237" s="93"/>
      <c r="Z237" s="93"/>
      <c r="AA237" s="93"/>
      <c r="AB237" s="93"/>
      <c r="AC237" s="80"/>
      <c r="AD237" s="15"/>
      <c r="AE237" s="81"/>
      <c r="AF237" s="93"/>
      <c r="AG237" s="93"/>
      <c r="AH237" s="93"/>
      <c r="AI237" s="105"/>
      <c r="AJ237" s="104"/>
      <c r="AK237" s="93"/>
      <c r="AL237" s="93"/>
      <c r="AM237" s="105"/>
      <c r="AN237" s="104"/>
      <c r="AO237" s="93"/>
      <c r="AP237" s="93"/>
      <c r="AQ237" s="93"/>
      <c r="AR237" s="93"/>
      <c r="AS237" s="52"/>
      <c r="AU237" s="177"/>
      <c r="AV237" s="166"/>
      <c r="AW237" s="166"/>
      <c r="AX237" s="169"/>
      <c r="AY237" s="162"/>
      <c r="AZ237" s="165"/>
      <c r="BA237" s="15"/>
      <c r="BB237" s="93"/>
      <c r="BC237" s="93"/>
    </row>
  </sheetData>
  <phoneticPr fontId="10" type="noConversion"/>
  <pageMargins left="0.5" right="0.5" top="0.5" bottom="0.5" header="0.5" footer="0.5"/>
  <pageSetup scale="61" orientation="portrait" r:id="rId1"/>
  <headerFooter alignWithMargins="0"/>
  <rowBreaks count="2" manualBreakCount="2">
    <brk id="40" max="16383"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4679" r:id="rId4" name="Button 7">
              <controlPr defaultSize="0" print="0" autoFill="0" autoPict="0" macro="[0]!Macro8">
                <anchor moveWithCells="1" sizeWithCells="1">
                  <from>
                    <xdr:col>3</xdr:col>
                    <xdr:colOff>66675</xdr:colOff>
                    <xdr:row>0</xdr:row>
                    <xdr:rowOff>0</xdr:rowOff>
                  </from>
                  <to>
                    <xdr:col>7</xdr:col>
                    <xdr:colOff>0</xdr:colOff>
                    <xdr:row>0</xdr:row>
                    <xdr:rowOff>0</xdr:rowOff>
                  </to>
                </anchor>
              </controlPr>
            </control>
          </mc:Choice>
        </mc:AlternateContent>
        <mc:AlternateContent xmlns:mc="http://schemas.openxmlformats.org/markup-compatibility/2006">
          <mc:Choice Requires="x14">
            <control shapeId="924683" r:id="rId5" name="Button 11">
              <controlPr defaultSize="0" print="0" autoFill="0" autoPict="0" macro="[0]!Macro8">
                <anchor moveWithCells="1" sizeWithCells="1">
                  <from>
                    <xdr:col>46</xdr:col>
                    <xdr:colOff>0</xdr:colOff>
                    <xdr:row>0</xdr:row>
                    <xdr:rowOff>0</xdr:rowOff>
                  </from>
                  <to>
                    <xdr:col>47</xdr:col>
                    <xdr:colOff>0</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2" tint="-9.9978637043366805E-2"/>
    <pageSetUpPr fitToPage="1"/>
  </sheetPr>
  <dimension ref="A1:P47"/>
  <sheetViews>
    <sheetView showGridLines="0" tabSelected="1" zoomScale="90" zoomScaleNormal="90" workbookViewId="0"/>
  </sheetViews>
  <sheetFormatPr defaultColWidth="9.140625" defaultRowHeight="12.75" x14ac:dyDescent="0.2"/>
  <cols>
    <col min="1" max="1" width="138.85546875" style="35" customWidth="1"/>
    <col min="2" max="16384" width="9.140625" style="35"/>
  </cols>
  <sheetData>
    <row r="1" spans="1:16" ht="26.25" x14ac:dyDescent="0.4">
      <c r="A1" s="330" t="s">
        <v>178</v>
      </c>
      <c r="B1" s="89"/>
      <c r="C1" s="89"/>
      <c r="D1" s="89"/>
      <c r="E1" s="89"/>
      <c r="F1" s="89"/>
      <c r="G1" s="89"/>
      <c r="H1" s="89"/>
      <c r="I1" s="89"/>
      <c r="J1" s="89"/>
      <c r="K1" s="89"/>
      <c r="L1" s="89"/>
      <c r="M1" s="89"/>
      <c r="N1" s="89"/>
      <c r="O1" s="89"/>
      <c r="P1" s="89"/>
    </row>
    <row r="2" spans="1:16" ht="14.25" x14ac:dyDescent="0.2">
      <c r="A2" s="343" t="s">
        <v>216</v>
      </c>
      <c r="B2" s="89"/>
      <c r="C2" s="89"/>
      <c r="D2" s="89"/>
      <c r="E2" s="89"/>
      <c r="F2" s="89"/>
      <c r="G2" s="89"/>
      <c r="H2" s="89"/>
      <c r="I2" s="89"/>
      <c r="J2" s="89"/>
      <c r="K2" s="89"/>
      <c r="L2" s="89"/>
      <c r="M2" s="89"/>
      <c r="N2" s="89"/>
      <c r="O2" s="89"/>
      <c r="P2" s="89"/>
    </row>
    <row r="3" spans="1:16" x14ac:dyDescent="0.2">
      <c r="A3" s="344"/>
    </row>
    <row r="4" spans="1:16" ht="15.75" x14ac:dyDescent="0.25">
      <c r="A4" s="345" t="s">
        <v>188</v>
      </c>
    </row>
    <row r="5" spans="1:16" ht="7.5" customHeight="1" x14ac:dyDescent="0.2">
      <c r="A5" s="344"/>
    </row>
    <row r="6" spans="1:16" ht="15" x14ac:dyDescent="0.2">
      <c r="A6" s="346" t="s">
        <v>184</v>
      </c>
    </row>
    <row r="7" spans="1:16" x14ac:dyDescent="0.2">
      <c r="A7" s="344"/>
    </row>
    <row r="8" spans="1:16" ht="15.75" x14ac:dyDescent="0.25">
      <c r="A8" s="347" t="s">
        <v>179</v>
      </c>
    </row>
    <row r="9" spans="1:16" ht="15" x14ac:dyDescent="0.2">
      <c r="A9" s="348" t="s">
        <v>185</v>
      </c>
    </row>
    <row r="10" spans="1:16" ht="15" x14ac:dyDescent="0.2">
      <c r="A10" s="348" t="s">
        <v>186</v>
      </c>
    </row>
    <row r="11" spans="1:16" x14ac:dyDescent="0.2">
      <c r="A11" s="344"/>
    </row>
    <row r="12" spans="1:16" ht="15.75" x14ac:dyDescent="0.25">
      <c r="A12" s="347" t="s">
        <v>180</v>
      </c>
    </row>
    <row r="13" spans="1:16" ht="15" x14ac:dyDescent="0.2">
      <c r="A13" s="349" t="s">
        <v>246</v>
      </c>
    </row>
    <row r="14" spans="1:16" ht="15" x14ac:dyDescent="0.2">
      <c r="A14" s="349" t="s">
        <v>247</v>
      </c>
    </row>
    <row r="15" spans="1:16" ht="15" x14ac:dyDescent="0.2">
      <c r="A15" s="349" t="s">
        <v>245</v>
      </c>
    </row>
    <row r="16" spans="1:16" ht="15" x14ac:dyDescent="0.2">
      <c r="A16" s="349" t="s">
        <v>248</v>
      </c>
    </row>
    <row r="17" spans="1:1" x14ac:dyDescent="0.2">
      <c r="A17" s="344"/>
    </row>
    <row r="18" spans="1:1" ht="15" x14ac:dyDescent="0.2">
      <c r="A18" s="350" t="s">
        <v>181</v>
      </c>
    </row>
    <row r="19" spans="1:1" ht="15" x14ac:dyDescent="0.2">
      <c r="A19" s="349" t="s">
        <v>249</v>
      </c>
    </row>
    <row r="20" spans="1:1" ht="15" x14ac:dyDescent="0.2">
      <c r="A20" s="349" t="s">
        <v>250</v>
      </c>
    </row>
    <row r="21" spans="1:1" ht="15" x14ac:dyDescent="0.2">
      <c r="A21" s="349" t="s">
        <v>251</v>
      </c>
    </row>
    <row r="22" spans="1:1" ht="15" x14ac:dyDescent="0.2">
      <c r="A22" s="349" t="s">
        <v>252</v>
      </c>
    </row>
    <row r="23" spans="1:1" ht="15" x14ac:dyDescent="0.2">
      <c r="A23" s="349" t="s">
        <v>253</v>
      </c>
    </row>
    <row r="24" spans="1:1" x14ac:dyDescent="0.2">
      <c r="A24" s="344"/>
    </row>
    <row r="25" spans="1:1" ht="15" x14ac:dyDescent="0.2">
      <c r="A25" s="350" t="s">
        <v>182</v>
      </c>
    </row>
    <row r="26" spans="1:1" ht="16.5" customHeight="1" x14ac:dyDescent="0.2">
      <c r="A26" s="349" t="s">
        <v>254</v>
      </c>
    </row>
    <row r="27" spans="1:1" ht="16.5" customHeight="1" x14ac:dyDescent="0.2">
      <c r="A27" s="349" t="s">
        <v>255</v>
      </c>
    </row>
    <row r="28" spans="1:1" ht="16.5" customHeight="1" x14ac:dyDescent="0.2">
      <c r="A28" s="349" t="s">
        <v>253</v>
      </c>
    </row>
    <row r="29" spans="1:1" x14ac:dyDescent="0.2">
      <c r="A29" s="344"/>
    </row>
    <row r="30" spans="1:1" x14ac:dyDescent="0.2">
      <c r="A30" s="351" t="s">
        <v>156</v>
      </c>
    </row>
    <row r="31" spans="1:1" x14ac:dyDescent="0.2">
      <c r="A31" s="352" t="s">
        <v>261</v>
      </c>
    </row>
    <row r="32" spans="1:1" x14ac:dyDescent="0.2">
      <c r="A32" s="353" t="s">
        <v>260</v>
      </c>
    </row>
    <row r="33" spans="1:2" x14ac:dyDescent="0.2">
      <c r="A33" s="354"/>
    </row>
    <row r="34" spans="1:2" x14ac:dyDescent="0.2">
      <c r="A34" s="355" t="str">
        <f>"File updated:"&amp;" "&amp;TEXT(Data!J219,"mm/dd/yyyy")</f>
        <v>File updated: 03/05/2024</v>
      </c>
    </row>
    <row r="35" spans="1:2" ht="15" x14ac:dyDescent="0.25">
      <c r="A35" s="356" t="str">
        <f>"Next update:"&amp;" "&amp;TEXT(Data!J220,"mm/dd/yyyy")</f>
        <v>Next update: 04/15/2024</v>
      </c>
    </row>
    <row r="36" spans="1:2" x14ac:dyDescent="0.2">
      <c r="A36" s="357"/>
    </row>
    <row r="37" spans="1:2" x14ac:dyDescent="0.2">
      <c r="A37" s="358"/>
    </row>
    <row r="38" spans="1:2" ht="12.75" customHeight="1" x14ac:dyDescent="0.2">
      <c r="A38" s="361" t="s">
        <v>244</v>
      </c>
    </row>
    <row r="39" spans="1:2" ht="28.5" customHeight="1" x14ac:dyDescent="0.2">
      <c r="A39" s="361"/>
    </row>
    <row r="40" spans="1:2" x14ac:dyDescent="0.2">
      <c r="A40" s="291"/>
    </row>
    <row r="46" spans="1:2" x14ac:dyDescent="0.2">
      <c r="B46" s="360"/>
    </row>
    <row r="47" spans="1:2" x14ac:dyDescent="0.2">
      <c r="B47" s="360"/>
    </row>
  </sheetData>
  <sheetProtection sheet="1" objects="1" scenarios="1"/>
  <mergeCells count="2">
    <mergeCell ref="B46:B47"/>
    <mergeCell ref="A38:A39"/>
  </mergeCells>
  <phoneticPr fontId="10" type="noConversion"/>
  <hyperlinks>
    <hyperlink ref="A4" location="'Overview &amp; Assumptions'!A1" display="Overview and Assumptions – Overview of the model, assumptions and data sources. " xr:uid="{00000000-0004-0000-0100-000000000000}"/>
    <hyperlink ref="A6" location="'Economic Model'!A1" display="Economic Ethanol Facility Model – The economic model that computes the monthly costs, revenue and profit (loss)." xr:uid="{00000000-0004-0000-0100-000001000000}"/>
    <hyperlink ref="A9" location="'Returns per Gal.'!A1" display="Costs and Returns – Monthly Results per Gallon of Ethanol" xr:uid="{00000000-0004-0000-0100-000002000000}"/>
    <hyperlink ref="A10" location="'Returns per Bu.'!A1" display="Costs and Returns – Monthly Results per Bushel of Corn" xr:uid="{00000000-0004-0000-0100-000003000000}"/>
    <hyperlink ref="A30" r:id="rId1" display="Ag Decision Maker - Ethanol Production Profitability" xr:uid="{00000000-0004-0000-0100-000004000000}"/>
    <hyperlink ref="A31" r:id="rId2" display="Author: Don Hofstrand" xr:uid="{00000000-0004-0000-0100-000005000000}"/>
  </hyperlinks>
  <pageMargins left="0.7" right="0.7" top="0.75" bottom="0.75" header="0.3" footer="0.3"/>
  <pageSetup scale="97"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2" tint="-9.9978637043366805E-2"/>
    <pageSetUpPr fitToPage="1"/>
  </sheetPr>
  <dimension ref="A1:J47"/>
  <sheetViews>
    <sheetView showGridLines="0" workbookViewId="0">
      <selection activeCell="K236" sqref="K236"/>
    </sheetView>
  </sheetViews>
  <sheetFormatPr defaultColWidth="9.140625" defaultRowHeight="12.75" x14ac:dyDescent="0.2"/>
  <cols>
    <col min="1" max="1" width="120.140625" style="36" customWidth="1"/>
    <col min="2" max="16384" width="9.140625" style="35"/>
  </cols>
  <sheetData>
    <row r="1" spans="1:4" ht="25.35" customHeight="1" x14ac:dyDescent="0.35">
      <c r="A1" s="254" t="s">
        <v>187</v>
      </c>
      <c r="B1" s="151"/>
      <c r="C1" s="151"/>
      <c r="D1" s="151"/>
    </row>
    <row r="2" spans="1:4" ht="43.5" customHeight="1" x14ac:dyDescent="0.2">
      <c r="A2" s="331" t="s">
        <v>239</v>
      </c>
      <c r="B2" s="152"/>
      <c r="C2" s="152"/>
      <c r="D2" s="152"/>
    </row>
    <row r="3" spans="1:4" x14ac:dyDescent="0.2">
      <c r="A3" s="332"/>
    </row>
    <row r="4" spans="1:4" ht="49.7" customHeight="1" x14ac:dyDescent="0.2">
      <c r="A4" s="331" t="s">
        <v>238</v>
      </c>
      <c r="B4" s="10"/>
      <c r="C4" s="153"/>
      <c r="D4" s="10"/>
    </row>
    <row r="5" spans="1:4" x14ac:dyDescent="0.2">
      <c r="A5" s="332"/>
    </row>
    <row r="6" spans="1:4" ht="17.25" x14ac:dyDescent="0.25">
      <c r="A6" s="333" t="s">
        <v>154</v>
      </c>
    </row>
    <row r="7" spans="1:4" ht="39.75" x14ac:dyDescent="0.2">
      <c r="A7" s="334" t="s">
        <v>233</v>
      </c>
      <c r="B7" s="10"/>
      <c r="C7" s="10"/>
      <c r="D7" s="10"/>
    </row>
    <row r="8" spans="1:4" ht="30.75" customHeight="1" x14ac:dyDescent="0.2">
      <c r="A8" s="334" t="s">
        <v>231</v>
      </c>
      <c r="B8" s="10"/>
      <c r="C8" s="10"/>
      <c r="D8" s="10"/>
    </row>
    <row r="9" spans="1:4" ht="38.25" x14ac:dyDescent="0.2">
      <c r="A9" s="334" t="s">
        <v>230</v>
      </c>
      <c r="B9" s="307"/>
      <c r="C9" s="307"/>
      <c r="D9" s="307"/>
    </row>
    <row r="10" spans="1:4" ht="27" x14ac:dyDescent="0.2">
      <c r="A10" s="334" t="s">
        <v>232</v>
      </c>
      <c r="B10" s="10"/>
      <c r="C10" s="10"/>
      <c r="D10" s="10"/>
    </row>
    <row r="11" spans="1:4" ht="25.5" x14ac:dyDescent="0.2">
      <c r="A11" s="334" t="s">
        <v>229</v>
      </c>
      <c r="B11" s="10"/>
      <c r="C11" s="10"/>
      <c r="D11" s="10"/>
    </row>
    <row r="12" spans="1:4" x14ac:dyDescent="0.2">
      <c r="A12" s="332"/>
    </row>
    <row r="13" spans="1:4" ht="38.450000000000003" customHeight="1" x14ac:dyDescent="0.2">
      <c r="A13" s="331" t="s">
        <v>208</v>
      </c>
      <c r="B13" s="10"/>
      <c r="C13" s="10"/>
      <c r="D13" s="10"/>
    </row>
    <row r="14" spans="1:4" x14ac:dyDescent="0.2">
      <c r="A14" s="332"/>
    </row>
    <row r="15" spans="1:4" ht="38.25" customHeight="1" x14ac:dyDescent="0.2">
      <c r="A15" s="331" t="s">
        <v>264</v>
      </c>
      <c r="B15" s="10"/>
      <c r="C15" s="10"/>
      <c r="D15" s="10"/>
    </row>
    <row r="16" spans="1:4" x14ac:dyDescent="0.2">
      <c r="A16" s="332"/>
    </row>
    <row r="17" spans="1:4" ht="25.35" customHeight="1" x14ac:dyDescent="0.2">
      <c r="A17" s="331" t="s">
        <v>155</v>
      </c>
      <c r="B17" s="10"/>
      <c r="C17" s="10"/>
      <c r="D17" s="10"/>
    </row>
    <row r="18" spans="1:4" x14ac:dyDescent="0.2">
      <c r="A18" s="332"/>
    </row>
    <row r="19" spans="1:4" ht="17.25" x14ac:dyDescent="0.25">
      <c r="A19" s="333" t="s">
        <v>148</v>
      </c>
    </row>
    <row r="20" spans="1:4" x14ac:dyDescent="0.2">
      <c r="A20" s="331" t="s">
        <v>258</v>
      </c>
    </row>
    <row r="21" spans="1:4" x14ac:dyDescent="0.2">
      <c r="A21" s="331" t="s">
        <v>149</v>
      </c>
    </row>
    <row r="22" spans="1:4" x14ac:dyDescent="0.2">
      <c r="A22" s="331" t="s">
        <v>150</v>
      </c>
    </row>
    <row r="23" spans="1:4" x14ac:dyDescent="0.2">
      <c r="A23" s="331" t="s">
        <v>151</v>
      </c>
    </row>
    <row r="24" spans="1:4" x14ac:dyDescent="0.2">
      <c r="A24" s="331" t="s">
        <v>235</v>
      </c>
    </row>
    <row r="25" spans="1:4" x14ac:dyDescent="0.2">
      <c r="A25" s="331" t="s">
        <v>236</v>
      </c>
    </row>
    <row r="26" spans="1:4" x14ac:dyDescent="0.2">
      <c r="A26" s="331" t="s">
        <v>234</v>
      </c>
    </row>
    <row r="27" spans="1:4" x14ac:dyDescent="0.2">
      <c r="A27" s="331" t="s">
        <v>226</v>
      </c>
    </row>
    <row r="28" spans="1:4" x14ac:dyDescent="0.2">
      <c r="A28" s="335" t="s">
        <v>256</v>
      </c>
    </row>
    <row r="29" spans="1:4" x14ac:dyDescent="0.2">
      <c r="A29" s="331" t="s">
        <v>152</v>
      </c>
    </row>
    <row r="30" spans="1:4" x14ac:dyDescent="0.2">
      <c r="A30" s="331" t="s">
        <v>160</v>
      </c>
    </row>
    <row r="31" spans="1:4" x14ac:dyDescent="0.2">
      <c r="A31" s="331" t="s">
        <v>153</v>
      </c>
    </row>
    <row r="32" spans="1:4" x14ac:dyDescent="0.2">
      <c r="A32" s="332"/>
    </row>
    <row r="33" spans="1:10" ht="38.25" x14ac:dyDescent="0.2">
      <c r="A33" s="336" t="s">
        <v>257</v>
      </c>
      <c r="B33" s="10"/>
      <c r="C33" s="10"/>
      <c r="D33" s="10"/>
    </row>
    <row r="34" spans="1:10" x14ac:dyDescent="0.2">
      <c r="A34" s="332"/>
    </row>
    <row r="35" spans="1:10" ht="38.25" x14ac:dyDescent="0.2">
      <c r="A35" s="331" t="s">
        <v>237</v>
      </c>
      <c r="B35" s="10"/>
      <c r="C35" s="10"/>
    </row>
    <row r="36" spans="1:10" x14ac:dyDescent="0.2">
      <c r="A36" s="332"/>
    </row>
    <row r="37" spans="1:10" ht="61.5" x14ac:dyDescent="0.2">
      <c r="A37" s="337" t="s">
        <v>263</v>
      </c>
      <c r="B37" s="10"/>
      <c r="C37" s="10"/>
      <c r="D37" s="10"/>
    </row>
    <row r="38" spans="1:10" x14ac:dyDescent="0.2">
      <c r="A38" s="332"/>
    </row>
    <row r="39" spans="1:10" x14ac:dyDescent="0.2">
      <c r="A39" s="332"/>
    </row>
    <row r="40" spans="1:10" ht="15.75" x14ac:dyDescent="0.25">
      <c r="A40" s="338" t="s">
        <v>156</v>
      </c>
      <c r="B40" s="37"/>
      <c r="C40" s="37"/>
      <c r="D40" s="37"/>
      <c r="E40" s="37"/>
      <c r="F40" s="37"/>
      <c r="G40" s="37"/>
    </row>
    <row r="41" spans="1:10" x14ac:dyDescent="0.2">
      <c r="A41" s="339" t="s">
        <v>259</v>
      </c>
      <c r="B41" s="150"/>
      <c r="C41" s="38"/>
      <c r="D41" s="39"/>
      <c r="E41" s="40"/>
      <c r="F41" s="40"/>
      <c r="G41" s="40"/>
    </row>
    <row r="42" spans="1:10" x14ac:dyDescent="0.2">
      <c r="A42" s="342" t="s">
        <v>260</v>
      </c>
      <c r="B42" s="41"/>
      <c r="C42" s="41"/>
      <c r="D42" s="39"/>
      <c r="E42" s="40"/>
      <c r="F42" s="40"/>
      <c r="G42" s="40"/>
    </row>
    <row r="43" spans="1:10" x14ac:dyDescent="0.2">
      <c r="A43" s="332"/>
    </row>
    <row r="44" spans="1:10" x14ac:dyDescent="0.2">
      <c r="A44" s="340" t="str">
        <f>Introduction!A34</f>
        <v>File updated: 03/05/2024</v>
      </c>
      <c r="B44" s="42"/>
      <c r="F44" s="40"/>
      <c r="G44" s="40"/>
    </row>
    <row r="45" spans="1:10" x14ac:dyDescent="0.2">
      <c r="A45" s="341" t="str">
        <f>Introduction!A35</f>
        <v>Next update: 04/15/2024</v>
      </c>
      <c r="B45" s="43"/>
      <c r="C45" s="44"/>
      <c r="D45" s="44"/>
      <c r="E45" s="44"/>
      <c r="F45" s="45"/>
      <c r="G45" s="44"/>
    </row>
    <row r="46" spans="1:10" x14ac:dyDescent="0.2">
      <c r="A46" s="46"/>
      <c r="B46" s="46"/>
      <c r="C46" s="44"/>
      <c r="D46" s="44"/>
      <c r="E46" s="44"/>
      <c r="F46" s="45"/>
      <c r="G46" s="44"/>
    </row>
    <row r="47" spans="1:10" x14ac:dyDescent="0.2">
      <c r="A47" s="362"/>
      <c r="B47" s="362"/>
      <c r="C47" s="362"/>
      <c r="D47" s="47"/>
      <c r="E47" s="47"/>
      <c r="F47" s="47"/>
      <c r="G47" s="47"/>
      <c r="H47" s="47"/>
      <c r="I47" s="47"/>
      <c r="J47" s="47"/>
    </row>
  </sheetData>
  <sheetProtection sheet="1" objects="1" scenarios="1"/>
  <mergeCells count="1">
    <mergeCell ref="A47:C47"/>
  </mergeCells>
  <phoneticPr fontId="10" type="noConversion"/>
  <hyperlinks>
    <hyperlink ref="A40" r:id="rId1" display="Ag Decision Maker - Ethanol Production Profitability" xr:uid="{00000000-0004-0000-0200-000000000000}"/>
    <hyperlink ref="A41" r:id="rId2" display="Author: Don Hofstrand" xr:uid="{00000000-0004-0000-0200-000001000000}"/>
    <hyperlink ref="A11" r:id="rId3" display="4)  Natural Gas Price – Monthly Iowa natural gas price for industrial users as reported by the Energy Information Administration (official energy statistics of the U.S. government). " xr:uid="{00000000-0004-0000-0200-000002000000}"/>
    <hyperlink ref="A10" r:id="rId4" display="3)  DDGS Price 1 – Distillers Grains with Solubles daily price F.O.B. the plant (converted into monthly average prices) at selected ethanol plants in Iowa as reported by USDA Ag Market News in the National Daily Ethanol Plant Report." xr:uid="{00000000-0004-0000-0200-000003000000}"/>
    <hyperlink ref="A8" r:id="rId5" display="2)  Corn Price (No. 2 yellow) 1 – Spot bid daily corn price (converted into monthly average prices) at selected ethanol plants in Iowa as reported by USDA Ag Market News in the National Daily Ethanol Plant Report." xr:uid="{00000000-0004-0000-0200-000004000000}"/>
    <hyperlink ref="A7" r:id="rId6" display="1)  Ethanol Price 1 – Ethanol daily price F.O.B. (Free on Board) the plant (converted into monthly average prices) at selected ethanol plants in Iowa as reported by USDA Ag Market News in the National Daily Ethanol Plant Report, https://mymarketnews.ams.u" xr:uid="{00000000-0004-0000-0200-000005000000}"/>
    <hyperlink ref="A9" r:id="rId7" display="2) Distillers Corn Oil Price (Feed grade) – Spot bid weekly corn price (converted into monthly average prices) at selected ethanol plants in Iowa as reported by USDA Ag Market News in the National Daily Ethanol Plant Report, https://mymarketnews.ams.usda." xr:uid="{00000000-0004-0000-0200-000006000000}"/>
  </hyperlinks>
  <pageMargins left="0.75" right="0.75" top="0.68" bottom="0.67" header="0.5" footer="0.5"/>
  <pageSetup scale="75" fitToHeight="2" orientation="portrait" r:id="rId8"/>
  <headerFooter alignWithMargins="0"/>
  <drawing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2" tint="-9.9978637043366805E-2"/>
    <pageSetUpPr fitToPage="1"/>
  </sheetPr>
  <dimension ref="A1:P77"/>
  <sheetViews>
    <sheetView showGridLines="0" workbookViewId="0">
      <selection activeCell="K236" sqref="K236"/>
    </sheetView>
  </sheetViews>
  <sheetFormatPr defaultColWidth="8.85546875" defaultRowHeight="12.75" x14ac:dyDescent="0.2"/>
  <cols>
    <col min="1" max="1" width="3.7109375" customWidth="1"/>
    <col min="2" max="2" width="26.85546875" customWidth="1"/>
    <col min="3" max="3" width="12.7109375" customWidth="1"/>
    <col min="4" max="4" width="10.7109375" customWidth="1"/>
    <col min="5" max="5" width="5.7109375" customWidth="1"/>
    <col min="6" max="6" width="3.7109375" customWidth="1"/>
    <col min="7" max="7" width="27.7109375" customWidth="1"/>
    <col min="8" max="8" width="9.7109375" customWidth="1"/>
    <col min="9" max="9" width="5.7109375" customWidth="1"/>
    <col min="10" max="10" width="3.7109375" customWidth="1"/>
    <col min="11" max="11" width="9.7109375" customWidth="1"/>
    <col min="12" max="12" width="5.7109375" customWidth="1"/>
  </cols>
  <sheetData>
    <row r="1" spans="1:13" ht="13.5" thickBot="1" x14ac:dyDescent="0.25">
      <c r="A1" s="239"/>
    </row>
    <row r="2" spans="1:13" ht="21" thickBot="1" x14ac:dyDescent="0.35">
      <c r="B2" s="386" t="s">
        <v>42</v>
      </c>
      <c r="C2" s="387"/>
      <c r="D2" s="387"/>
      <c r="E2" s="387"/>
      <c r="F2" s="387"/>
      <c r="G2" s="387"/>
      <c r="H2" s="387"/>
      <c r="I2" s="387"/>
      <c r="J2" s="387"/>
      <c r="K2" s="387"/>
      <c r="L2" s="388"/>
      <c r="M2" s="1"/>
    </row>
    <row r="3" spans="1:13" ht="13.5" thickBot="1" x14ac:dyDescent="0.25">
      <c r="B3" s="370" t="s">
        <v>145</v>
      </c>
      <c r="C3" s="370"/>
      <c r="D3" s="370"/>
      <c r="E3" s="238"/>
      <c r="F3" s="238"/>
      <c r="G3" s="238"/>
      <c r="H3" s="238"/>
      <c r="I3" s="238"/>
      <c r="J3" s="238"/>
      <c r="K3" s="238"/>
      <c r="L3" s="238"/>
    </row>
    <row r="4" spans="1:13" ht="18.75" x14ac:dyDescent="0.3">
      <c r="B4" s="389" t="s">
        <v>77</v>
      </c>
      <c r="C4" s="390"/>
      <c r="D4" s="391"/>
      <c r="E4" s="10"/>
      <c r="F4" s="389" t="s">
        <v>76</v>
      </c>
      <c r="G4" s="397"/>
      <c r="H4" s="397"/>
      <c r="I4" s="397"/>
      <c r="J4" s="397"/>
      <c r="K4" s="397"/>
      <c r="L4" s="398"/>
    </row>
    <row r="5" spans="1:13" x14ac:dyDescent="0.2">
      <c r="B5" s="369" t="s">
        <v>210</v>
      </c>
      <c r="C5" s="370"/>
      <c r="D5" s="371"/>
      <c r="E5" s="1"/>
      <c r="F5" s="212"/>
      <c r="G5" s="210"/>
      <c r="H5" s="210"/>
      <c r="I5" s="210"/>
      <c r="J5" s="210"/>
      <c r="K5" s="210"/>
      <c r="L5" s="52"/>
    </row>
    <row r="6" spans="1:13" x14ac:dyDescent="0.2">
      <c r="B6" s="227" t="s">
        <v>209</v>
      </c>
      <c r="C6" s="211"/>
      <c r="D6" s="228"/>
      <c r="E6" s="1"/>
      <c r="F6" s="212"/>
      <c r="G6" s="210"/>
      <c r="H6" s="210"/>
      <c r="I6" s="210"/>
      <c r="J6" s="210"/>
      <c r="K6" s="210"/>
      <c r="L6" s="52"/>
    </row>
    <row r="7" spans="1:13" ht="15" x14ac:dyDescent="0.25">
      <c r="B7" s="379" t="s">
        <v>88</v>
      </c>
      <c r="C7" s="392"/>
      <c r="D7" s="393"/>
      <c r="F7" s="379" t="s">
        <v>111</v>
      </c>
      <c r="G7" s="399"/>
      <c r="H7" s="399"/>
      <c r="I7" s="399"/>
      <c r="J7" s="399"/>
      <c r="K7" s="399"/>
      <c r="L7" s="400"/>
    </row>
    <row r="8" spans="1:13" x14ac:dyDescent="0.2">
      <c r="B8" s="213" t="s">
        <v>24</v>
      </c>
      <c r="C8" s="240">
        <v>100000000</v>
      </c>
      <c r="D8" s="215" t="s">
        <v>49</v>
      </c>
      <c r="E8" s="7"/>
      <c r="F8" s="213"/>
      <c r="G8" s="190" t="s">
        <v>43</v>
      </c>
      <c r="H8" s="191"/>
      <c r="I8" s="191"/>
      <c r="J8" s="191"/>
      <c r="K8" s="191"/>
      <c r="L8" s="214"/>
    </row>
    <row r="9" spans="1:13" x14ac:dyDescent="0.2">
      <c r="B9" s="229" t="s">
        <v>87</v>
      </c>
      <c r="C9" s="241">
        <v>3700000</v>
      </c>
      <c r="D9" s="214"/>
      <c r="E9" s="7"/>
      <c r="F9" s="213"/>
      <c r="G9" s="190" t="s">
        <v>92</v>
      </c>
      <c r="H9" s="394">
        <f>C9+C10+C11+C12+C14+C15+C16+C18+C19+C20</f>
        <v>211247000</v>
      </c>
      <c r="I9" s="364"/>
      <c r="J9" s="191"/>
      <c r="K9" s="191"/>
      <c r="L9" s="214"/>
    </row>
    <row r="10" spans="1:13" x14ac:dyDescent="0.2">
      <c r="B10" s="229" t="s">
        <v>86</v>
      </c>
      <c r="C10" s="241">
        <v>153000000</v>
      </c>
      <c r="D10" s="214"/>
      <c r="F10" s="213"/>
      <c r="G10" s="191" t="s">
        <v>157</v>
      </c>
      <c r="H10" s="394">
        <f>H9-H11</f>
        <v>126748200</v>
      </c>
      <c r="I10" s="364"/>
      <c r="J10" s="191"/>
      <c r="K10" s="191"/>
      <c r="L10" s="214"/>
    </row>
    <row r="11" spans="1:13" x14ac:dyDescent="0.2">
      <c r="B11" s="229" t="s">
        <v>85</v>
      </c>
      <c r="C11" s="241">
        <v>1000000</v>
      </c>
      <c r="D11" s="214"/>
      <c r="F11" s="213"/>
      <c r="G11" s="191" t="s">
        <v>158</v>
      </c>
      <c r="H11" s="374">
        <f>H9*C25/100</f>
        <v>84498800</v>
      </c>
      <c r="I11" s="374"/>
      <c r="J11" s="191"/>
      <c r="K11" s="191"/>
      <c r="L11" s="214"/>
      <c r="M11" s="74" t="s">
        <v>0</v>
      </c>
    </row>
    <row r="12" spans="1:13" x14ac:dyDescent="0.2">
      <c r="B12" s="229" t="s">
        <v>84</v>
      </c>
      <c r="C12" s="241">
        <v>5500000</v>
      </c>
      <c r="D12" s="214"/>
      <c r="F12" s="213"/>
      <c r="G12" s="190" t="s">
        <v>104</v>
      </c>
      <c r="H12" s="395">
        <f>H9/H17</f>
        <v>2.1124700000000001</v>
      </c>
      <c r="I12" s="395"/>
      <c r="J12" s="191"/>
      <c r="K12" s="191"/>
      <c r="L12" s="214"/>
      <c r="M12" s="27"/>
    </row>
    <row r="13" spans="1:13" x14ac:dyDescent="0.2">
      <c r="B13" s="229" t="s">
        <v>83</v>
      </c>
      <c r="C13" s="189"/>
      <c r="D13" s="214"/>
      <c r="F13" s="213"/>
      <c r="G13" s="190" t="s">
        <v>142</v>
      </c>
      <c r="H13" s="401">
        <f>H9/H18</f>
        <v>1.9204272727272726</v>
      </c>
      <c r="I13" s="364"/>
      <c r="J13" s="191"/>
      <c r="K13" s="191"/>
      <c r="L13" s="215" t="s">
        <v>0</v>
      </c>
    </row>
    <row r="14" spans="1:13" x14ac:dyDescent="0.2">
      <c r="B14" s="230" t="s">
        <v>122</v>
      </c>
      <c r="C14" s="241">
        <v>9000000</v>
      </c>
      <c r="D14" s="214"/>
      <c r="F14" s="213"/>
      <c r="G14" s="190" t="s">
        <v>143</v>
      </c>
      <c r="H14" s="396">
        <f>H9/H21</f>
        <v>5.4732177272727274</v>
      </c>
      <c r="I14" s="364"/>
      <c r="J14" s="190" t="s">
        <v>0</v>
      </c>
      <c r="K14" s="190" t="s">
        <v>0</v>
      </c>
      <c r="L14" s="215" t="s">
        <v>0</v>
      </c>
    </row>
    <row r="15" spans="1:13" x14ac:dyDescent="0.2">
      <c r="B15" s="229" t="s">
        <v>82</v>
      </c>
      <c r="C15" s="241">
        <v>900000</v>
      </c>
      <c r="D15" s="214"/>
      <c r="F15" s="213"/>
      <c r="G15" s="190" t="s">
        <v>136</v>
      </c>
      <c r="H15" s="394">
        <f>(H9-C20)/C21</f>
        <v>12083133.333333334</v>
      </c>
      <c r="I15" s="364"/>
      <c r="J15" s="365" t="s">
        <v>106</v>
      </c>
      <c r="K15" s="366"/>
      <c r="L15" s="214"/>
    </row>
    <row r="16" spans="1:13" x14ac:dyDescent="0.2">
      <c r="B16" s="229" t="s">
        <v>91</v>
      </c>
      <c r="C16" s="241">
        <v>3600000</v>
      </c>
      <c r="D16" s="214"/>
      <c r="F16" s="213"/>
      <c r="G16" s="190" t="s">
        <v>10</v>
      </c>
      <c r="H16" s="192"/>
      <c r="I16" s="192"/>
      <c r="J16" s="191"/>
      <c r="K16" s="191"/>
      <c r="L16" s="214"/>
    </row>
    <row r="17" spans="2:12" x14ac:dyDescent="0.2">
      <c r="B17" s="229" t="s">
        <v>90</v>
      </c>
      <c r="C17" s="189"/>
      <c r="D17" s="214"/>
      <c r="F17" s="213"/>
      <c r="G17" s="190" t="s">
        <v>93</v>
      </c>
      <c r="H17" s="363">
        <f>C8</f>
        <v>100000000</v>
      </c>
      <c r="I17" s="364"/>
      <c r="J17" s="365" t="s">
        <v>137</v>
      </c>
      <c r="K17" s="366"/>
      <c r="L17" s="367"/>
    </row>
    <row r="18" spans="2:12" x14ac:dyDescent="0.2">
      <c r="B18" s="230" t="s">
        <v>123</v>
      </c>
      <c r="C18" s="241">
        <v>3300000</v>
      </c>
      <c r="D18" s="214"/>
      <c r="F18" s="213"/>
      <c r="G18" s="190" t="s">
        <v>94</v>
      </c>
      <c r="H18" s="363">
        <f>C8*C31/100</f>
        <v>110000000</v>
      </c>
      <c r="I18" s="363"/>
      <c r="J18" s="365" t="s">
        <v>137</v>
      </c>
      <c r="K18" s="366"/>
      <c r="L18" s="367"/>
    </row>
    <row r="19" spans="2:12" x14ac:dyDescent="0.2">
      <c r="B19" s="229" t="s">
        <v>89</v>
      </c>
      <c r="C19" s="241">
        <v>1247000</v>
      </c>
      <c r="D19" s="214"/>
      <c r="F19" s="213"/>
      <c r="G19" s="191" t="s">
        <v>8</v>
      </c>
      <c r="H19" s="363">
        <f>H21*C32/2000</f>
        <v>316491.22807017539</v>
      </c>
      <c r="I19" s="364"/>
      <c r="J19" s="365" t="s">
        <v>138</v>
      </c>
      <c r="K19" s="366"/>
      <c r="L19" s="367"/>
    </row>
    <row r="20" spans="2:12" x14ac:dyDescent="0.2">
      <c r="B20" s="213" t="s">
        <v>36</v>
      </c>
      <c r="C20" s="241">
        <v>30000000</v>
      </c>
      <c r="D20" s="214"/>
      <c r="F20" s="213"/>
      <c r="G20" s="305" t="s">
        <v>219</v>
      </c>
      <c r="H20" s="363">
        <f>H21*C33/2000</f>
        <v>12543.859649122807</v>
      </c>
      <c r="I20" s="364"/>
      <c r="J20" s="365" t="s">
        <v>138</v>
      </c>
      <c r="K20" s="366"/>
      <c r="L20" s="367"/>
    </row>
    <row r="21" spans="2:12" x14ac:dyDescent="0.2">
      <c r="B21" s="229" t="s">
        <v>44</v>
      </c>
      <c r="C21" s="242">
        <v>15</v>
      </c>
      <c r="D21" s="215" t="s">
        <v>50</v>
      </c>
      <c r="F21" s="213"/>
      <c r="G21" s="191" t="s">
        <v>9</v>
      </c>
      <c r="H21" s="363">
        <f>H18/C30</f>
        <v>38596491.228070177</v>
      </c>
      <c r="I21" s="363"/>
      <c r="J21" s="365" t="s">
        <v>139</v>
      </c>
      <c r="K21" s="366"/>
      <c r="L21" s="367"/>
    </row>
    <row r="22" spans="2:12" x14ac:dyDescent="0.2">
      <c r="B22" s="231" t="s">
        <v>45</v>
      </c>
      <c r="C22" s="241">
        <v>250000</v>
      </c>
      <c r="D22" s="232" t="s">
        <v>51</v>
      </c>
      <c r="E22" s="7"/>
      <c r="F22" s="213"/>
      <c r="G22" s="191" t="s">
        <v>7</v>
      </c>
      <c r="H22" s="363">
        <f>C34*H18/1000</f>
        <v>3300000</v>
      </c>
      <c r="I22" s="363"/>
      <c r="J22" s="365" t="s">
        <v>141</v>
      </c>
      <c r="K22" s="366"/>
      <c r="L22" s="367"/>
    </row>
    <row r="23" spans="2:12" x14ac:dyDescent="0.2">
      <c r="B23" s="53"/>
      <c r="C23" s="27"/>
      <c r="D23" s="52"/>
      <c r="E23" s="7"/>
      <c r="F23" s="213"/>
      <c r="G23" s="191" t="s">
        <v>6</v>
      </c>
      <c r="H23" s="363">
        <f>H18*C35</f>
        <v>77000000</v>
      </c>
      <c r="I23" s="363"/>
      <c r="J23" s="365" t="s">
        <v>140</v>
      </c>
      <c r="K23" s="366"/>
      <c r="L23" s="367"/>
    </row>
    <row r="24" spans="2:12" ht="15" x14ac:dyDescent="0.25">
      <c r="B24" s="379" t="s">
        <v>48</v>
      </c>
      <c r="C24" s="380"/>
      <c r="D24" s="381"/>
      <c r="F24" s="213"/>
      <c r="G24" s="190" t="s">
        <v>121</v>
      </c>
      <c r="H24" s="374">
        <f>H23*C49/100</f>
        <v>4235000</v>
      </c>
      <c r="I24" s="374"/>
      <c r="J24" s="368" t="s">
        <v>106</v>
      </c>
      <c r="K24" s="366"/>
      <c r="L24" s="214"/>
    </row>
    <row r="25" spans="2:12" x14ac:dyDescent="0.2">
      <c r="B25" s="213" t="s">
        <v>11</v>
      </c>
      <c r="C25" s="242">
        <v>40</v>
      </c>
      <c r="D25" s="215" t="s">
        <v>52</v>
      </c>
      <c r="F25" s="213"/>
      <c r="G25" s="191" t="s">
        <v>5</v>
      </c>
      <c r="H25" s="363">
        <f>H18*C36</f>
        <v>385000000</v>
      </c>
      <c r="I25" s="363"/>
      <c r="J25" s="365" t="s">
        <v>137</v>
      </c>
      <c r="K25" s="366"/>
      <c r="L25" s="367"/>
    </row>
    <row r="26" spans="2:12" x14ac:dyDescent="0.2">
      <c r="B26" s="213" t="s">
        <v>12</v>
      </c>
      <c r="C26" s="242">
        <v>10</v>
      </c>
      <c r="D26" s="215" t="s">
        <v>50</v>
      </c>
      <c r="E26" s="7"/>
      <c r="F26" s="213"/>
      <c r="G26" s="190" t="s">
        <v>107</v>
      </c>
      <c r="H26" s="374">
        <f>H25*C50/100</f>
        <v>1347500</v>
      </c>
      <c r="I26" s="374"/>
      <c r="J26" s="368" t="s">
        <v>106</v>
      </c>
      <c r="K26" s="366"/>
      <c r="L26" s="214"/>
    </row>
    <row r="27" spans="2:12" x14ac:dyDescent="0.2">
      <c r="B27" s="216" t="s">
        <v>13</v>
      </c>
      <c r="C27" s="243">
        <v>6</v>
      </c>
      <c r="D27" s="232" t="s">
        <v>52</v>
      </c>
      <c r="E27" s="7"/>
      <c r="F27" s="213"/>
      <c r="G27" s="190" t="s">
        <v>109</v>
      </c>
      <c r="H27" s="382">
        <f>C40+C41+C42+C43+C44</f>
        <v>42</v>
      </c>
      <c r="I27" s="364"/>
      <c r="J27" s="368" t="s">
        <v>110</v>
      </c>
      <c r="K27" s="366"/>
      <c r="L27" s="214"/>
    </row>
    <row r="28" spans="2:12" x14ac:dyDescent="0.2">
      <c r="B28" s="53"/>
      <c r="C28" s="27"/>
      <c r="D28" s="52"/>
      <c r="E28" s="7"/>
      <c r="F28" s="213"/>
      <c r="G28" s="191" t="s">
        <v>105</v>
      </c>
      <c r="H28" s="374">
        <f>(C40*D40)+(C41*D41)+(C42*D42)+(C43*D43)+(C44*D44)+D45+D46</f>
        <v>4184000</v>
      </c>
      <c r="I28" s="364"/>
      <c r="J28" s="368" t="s">
        <v>106</v>
      </c>
      <c r="K28" s="366"/>
      <c r="L28" s="214"/>
    </row>
    <row r="29" spans="2:12" ht="15" x14ac:dyDescent="0.25">
      <c r="B29" s="379" t="s">
        <v>26</v>
      </c>
      <c r="C29" s="380"/>
      <c r="D29" s="381"/>
      <c r="F29" s="213"/>
      <c r="G29" s="190" t="s">
        <v>112</v>
      </c>
      <c r="H29" s="374">
        <f>H9*C25/100*C27/100</f>
        <v>5069928</v>
      </c>
      <c r="I29" s="374"/>
      <c r="J29" s="365" t="s">
        <v>113</v>
      </c>
      <c r="K29" s="366"/>
      <c r="L29" s="214"/>
    </row>
    <row r="30" spans="2:12" x14ac:dyDescent="0.2">
      <c r="B30" s="213" t="s">
        <v>25</v>
      </c>
      <c r="C30" s="242">
        <v>2.85</v>
      </c>
      <c r="D30" s="215" t="s">
        <v>53</v>
      </c>
      <c r="F30" s="213"/>
      <c r="G30" s="190" t="s">
        <v>115</v>
      </c>
      <c r="H30" s="374">
        <f>C53*H$18/100</f>
        <v>3685000</v>
      </c>
      <c r="I30" s="374"/>
      <c r="J30" s="365" t="s">
        <v>113</v>
      </c>
      <c r="K30" s="366"/>
      <c r="L30" s="214"/>
    </row>
    <row r="31" spans="2:12" x14ac:dyDescent="0.2">
      <c r="B31" s="213" t="s">
        <v>27</v>
      </c>
      <c r="C31" s="242">
        <v>110</v>
      </c>
      <c r="D31" s="215" t="s">
        <v>54</v>
      </c>
      <c r="E31" s="7"/>
      <c r="F31" s="213"/>
      <c r="G31" s="190" t="s">
        <v>116</v>
      </c>
      <c r="H31" s="374">
        <f>C54*H$18/100</f>
        <v>374000</v>
      </c>
      <c r="I31" s="374"/>
      <c r="J31" s="365" t="s">
        <v>113</v>
      </c>
      <c r="K31" s="366"/>
      <c r="L31" s="214"/>
    </row>
    <row r="32" spans="2:12" x14ac:dyDescent="0.2">
      <c r="B32" s="213" t="s">
        <v>14</v>
      </c>
      <c r="C32" s="245">
        <v>16.399999999999999</v>
      </c>
      <c r="D32" s="215" t="s">
        <v>55</v>
      </c>
      <c r="E32" s="7"/>
      <c r="F32" s="213"/>
      <c r="G32" s="190" t="s">
        <v>117</v>
      </c>
      <c r="H32" s="374">
        <f>C55*H$18/100</f>
        <v>3564000</v>
      </c>
      <c r="I32" s="374"/>
      <c r="J32" s="365" t="s">
        <v>113</v>
      </c>
      <c r="K32" s="366"/>
      <c r="L32" s="214"/>
    </row>
    <row r="33" spans="2:13" x14ac:dyDescent="0.2">
      <c r="B33" s="359" t="s">
        <v>262</v>
      </c>
      <c r="C33" s="245">
        <v>0.65</v>
      </c>
      <c r="D33" s="215" t="s">
        <v>55</v>
      </c>
      <c r="F33" s="213"/>
      <c r="G33" s="190" t="s">
        <v>118</v>
      </c>
      <c r="H33" s="374">
        <f>C56*H$18/100</f>
        <v>5126000</v>
      </c>
      <c r="I33" s="374"/>
      <c r="J33" s="365" t="s">
        <v>113</v>
      </c>
      <c r="K33" s="366"/>
      <c r="L33" s="214"/>
    </row>
    <row r="34" spans="2:13" x14ac:dyDescent="0.2">
      <c r="B34" s="213" t="s">
        <v>2</v>
      </c>
      <c r="C34" s="240">
        <v>30</v>
      </c>
      <c r="D34" s="215" t="s">
        <v>79</v>
      </c>
      <c r="E34" s="7"/>
      <c r="F34" s="213"/>
      <c r="G34" s="190" t="s">
        <v>46</v>
      </c>
      <c r="H34" s="374">
        <f>C59*H$18/100</f>
        <v>2750000</v>
      </c>
      <c r="I34" s="374"/>
      <c r="J34" s="365" t="s">
        <v>113</v>
      </c>
      <c r="K34" s="366"/>
      <c r="L34" s="214"/>
    </row>
    <row r="35" spans="2:13" x14ac:dyDescent="0.2">
      <c r="B35" s="213" t="s">
        <v>21</v>
      </c>
      <c r="C35" s="242">
        <v>0.7</v>
      </c>
      <c r="D35" s="215" t="s">
        <v>56</v>
      </c>
      <c r="E35" s="7"/>
      <c r="F35" s="213"/>
      <c r="G35" s="190" t="s">
        <v>119</v>
      </c>
      <c r="H35" s="374">
        <f>C60*H$18/100</f>
        <v>825000</v>
      </c>
      <c r="I35" s="374"/>
      <c r="J35" s="365" t="s">
        <v>113</v>
      </c>
      <c r="K35" s="366"/>
      <c r="L35" s="214"/>
    </row>
    <row r="36" spans="2:13" x14ac:dyDescent="0.2">
      <c r="B36" s="216" t="s">
        <v>22</v>
      </c>
      <c r="C36" s="245">
        <v>3.5</v>
      </c>
      <c r="D36" s="232" t="s">
        <v>57</v>
      </c>
      <c r="E36" s="7"/>
      <c r="F36" s="216"/>
      <c r="G36" s="193" t="s">
        <v>120</v>
      </c>
      <c r="H36" s="375">
        <f>C62*H$18/100</f>
        <v>2200000</v>
      </c>
      <c r="I36" s="375"/>
      <c r="J36" s="376" t="s">
        <v>113</v>
      </c>
      <c r="K36" s="377"/>
      <c r="L36" s="217"/>
    </row>
    <row r="37" spans="2:13" x14ac:dyDescent="0.2">
      <c r="B37" s="53"/>
      <c r="C37" s="27"/>
      <c r="D37" s="52"/>
      <c r="F37" s="53"/>
      <c r="G37" s="27"/>
      <c r="H37" s="27"/>
      <c r="I37" s="27"/>
      <c r="J37" s="27"/>
      <c r="K37" s="27"/>
      <c r="L37" s="52"/>
    </row>
    <row r="38" spans="2:13" ht="15" x14ac:dyDescent="0.25">
      <c r="B38" s="379" t="s">
        <v>95</v>
      </c>
      <c r="C38" s="380"/>
      <c r="D38" s="381"/>
      <c r="F38" s="383" t="s">
        <v>114</v>
      </c>
      <c r="G38" s="384"/>
      <c r="H38" s="384"/>
      <c r="I38" s="384"/>
      <c r="J38" s="384"/>
      <c r="K38" s="384"/>
      <c r="L38" s="385"/>
    </row>
    <row r="39" spans="2:13" x14ac:dyDescent="0.2">
      <c r="B39" s="213"/>
      <c r="C39" s="194" t="s">
        <v>96</v>
      </c>
      <c r="D39" s="233" t="s">
        <v>97</v>
      </c>
      <c r="E39" s="24"/>
      <c r="F39" s="378" t="s">
        <v>101</v>
      </c>
      <c r="G39" s="364"/>
      <c r="H39" s="372" t="s">
        <v>34</v>
      </c>
      <c r="I39" s="364"/>
      <c r="J39" s="195"/>
      <c r="K39" s="372" t="s">
        <v>33</v>
      </c>
      <c r="L39" s="373"/>
    </row>
    <row r="40" spans="2:13" x14ac:dyDescent="0.2">
      <c r="B40" s="229" t="s">
        <v>27</v>
      </c>
      <c r="C40" s="244">
        <v>17</v>
      </c>
      <c r="D40" s="246">
        <v>75000</v>
      </c>
      <c r="E40" s="23"/>
      <c r="F40" s="218"/>
      <c r="G40" s="192" t="s">
        <v>18</v>
      </c>
      <c r="H40" s="196">
        <f>C53</f>
        <v>3.35</v>
      </c>
      <c r="I40" s="197" t="s">
        <v>58</v>
      </c>
      <c r="J40" s="192"/>
      <c r="K40" s="198">
        <f>H40*C$30</f>
        <v>9.5475000000000012</v>
      </c>
      <c r="L40" s="219" t="s">
        <v>17</v>
      </c>
    </row>
    <row r="41" spans="2:13" x14ac:dyDescent="0.2">
      <c r="B41" s="229" t="s">
        <v>98</v>
      </c>
      <c r="C41" s="244">
        <v>7</v>
      </c>
      <c r="D41" s="246">
        <v>79000</v>
      </c>
      <c r="E41" s="23"/>
      <c r="F41" s="218"/>
      <c r="G41" s="192" t="s">
        <v>19</v>
      </c>
      <c r="H41" s="196">
        <f>C54</f>
        <v>0.34</v>
      </c>
      <c r="I41" s="197" t="s">
        <v>58</v>
      </c>
      <c r="J41" s="192"/>
      <c r="K41" s="198">
        <f>H41*C$30</f>
        <v>0.96900000000000008</v>
      </c>
      <c r="L41" s="219" t="s">
        <v>17</v>
      </c>
      <c r="M41" s="7"/>
    </row>
    <row r="42" spans="2:13" x14ac:dyDescent="0.2">
      <c r="B42" s="229" t="s">
        <v>99</v>
      </c>
      <c r="C42" s="244">
        <v>2</v>
      </c>
      <c r="D42" s="247">
        <v>88000</v>
      </c>
      <c r="E42" s="22"/>
      <c r="F42" s="218"/>
      <c r="G42" s="197" t="s">
        <v>78</v>
      </c>
      <c r="H42" s="196">
        <f>C55</f>
        <v>3.24</v>
      </c>
      <c r="I42" s="197" t="s">
        <v>58</v>
      </c>
      <c r="J42" s="192"/>
      <c r="K42" s="198">
        <f>H42*C$30</f>
        <v>9.2340000000000018</v>
      </c>
      <c r="L42" s="219" t="s">
        <v>17</v>
      </c>
    </row>
    <row r="43" spans="2:13" x14ac:dyDescent="0.2">
      <c r="B43" s="234" t="s">
        <v>100</v>
      </c>
      <c r="C43" s="244">
        <v>10</v>
      </c>
      <c r="D43" s="247">
        <v>38000</v>
      </c>
      <c r="E43" s="22"/>
      <c r="F43" s="218"/>
      <c r="G43" s="192" t="s">
        <v>20</v>
      </c>
      <c r="H43" s="199">
        <f>C56</f>
        <v>4.66</v>
      </c>
      <c r="I43" s="197" t="s">
        <v>58</v>
      </c>
      <c r="J43" s="192"/>
      <c r="K43" s="200">
        <f>H43*C$30</f>
        <v>13.281000000000001</v>
      </c>
      <c r="L43" s="219" t="s">
        <v>17</v>
      </c>
    </row>
    <row r="44" spans="2:13" x14ac:dyDescent="0.2">
      <c r="B44" s="234" t="s">
        <v>207</v>
      </c>
      <c r="C44" s="244">
        <v>6</v>
      </c>
      <c r="D44" s="246">
        <v>100000</v>
      </c>
      <c r="E44" s="23"/>
      <c r="F44" s="218"/>
      <c r="G44" s="201" t="s">
        <v>28</v>
      </c>
      <c r="H44" s="202">
        <f>SUM(H40:H43)</f>
        <v>11.59</v>
      </c>
      <c r="I44" s="201" t="s">
        <v>58</v>
      </c>
      <c r="J44" s="201"/>
      <c r="K44" s="202">
        <f>SUM(K40:K43)</f>
        <v>33.031500000000001</v>
      </c>
      <c r="L44" s="220" t="s">
        <v>17</v>
      </c>
    </row>
    <row r="45" spans="2:13" x14ac:dyDescent="0.2">
      <c r="B45" s="404" t="s">
        <v>206</v>
      </c>
      <c r="C45" s="366"/>
      <c r="D45" s="246">
        <v>700000</v>
      </c>
      <c r="E45" s="25"/>
      <c r="F45" s="218"/>
      <c r="G45" s="192"/>
      <c r="H45" s="192"/>
      <c r="I45" s="192"/>
      <c r="J45" s="192"/>
      <c r="K45" s="192"/>
      <c r="L45" s="219"/>
    </row>
    <row r="46" spans="2:13" x14ac:dyDescent="0.2">
      <c r="B46" s="405" t="s">
        <v>203</v>
      </c>
      <c r="C46" s="377"/>
      <c r="D46" s="246">
        <v>500000</v>
      </c>
      <c r="E46" s="7"/>
      <c r="F46" s="378" t="s">
        <v>102</v>
      </c>
      <c r="G46" s="364"/>
      <c r="H46" s="203"/>
      <c r="I46" s="192"/>
      <c r="J46" s="192"/>
      <c r="K46" s="198"/>
      <c r="L46" s="219"/>
    </row>
    <row r="47" spans="2:13" x14ac:dyDescent="0.2">
      <c r="B47" s="53"/>
      <c r="C47" s="27"/>
      <c r="D47" s="52"/>
      <c r="F47" s="218"/>
      <c r="G47" s="197" t="s">
        <v>46</v>
      </c>
      <c r="H47" s="204">
        <f>C59</f>
        <v>2.5</v>
      </c>
      <c r="I47" s="197" t="s">
        <v>58</v>
      </c>
      <c r="J47" s="192"/>
      <c r="K47" s="198">
        <f t="shared" ref="K47:K52" si="0">H47*C$30</f>
        <v>7.125</v>
      </c>
      <c r="L47" s="219" t="s">
        <v>17</v>
      </c>
    </row>
    <row r="48" spans="2:13" ht="15" x14ac:dyDescent="0.25">
      <c r="B48" s="379" t="s">
        <v>4</v>
      </c>
      <c r="C48" s="380"/>
      <c r="D48" s="381"/>
      <c r="F48" s="218"/>
      <c r="G48" s="192" t="s">
        <v>23</v>
      </c>
      <c r="H48" s="204">
        <f>C60</f>
        <v>0.75</v>
      </c>
      <c r="I48" s="197" t="s">
        <v>58</v>
      </c>
      <c r="J48" s="192"/>
      <c r="K48" s="198">
        <f t="shared" si="0"/>
        <v>2.1375000000000002</v>
      </c>
      <c r="L48" s="219" t="s">
        <v>17</v>
      </c>
    </row>
    <row r="49" spans="2:16" x14ac:dyDescent="0.2">
      <c r="B49" s="213" t="s">
        <v>21</v>
      </c>
      <c r="C49" s="248">
        <v>5.5</v>
      </c>
      <c r="D49" s="215" t="s">
        <v>108</v>
      </c>
      <c r="E49" s="1"/>
      <c r="F49" s="218"/>
      <c r="G49" s="192" t="s">
        <v>22</v>
      </c>
      <c r="H49" s="204">
        <f>C50*C36</f>
        <v>1.2249999999999999</v>
      </c>
      <c r="I49" s="197" t="s">
        <v>58</v>
      </c>
      <c r="J49" s="192"/>
      <c r="K49" s="198">
        <f t="shared" si="0"/>
        <v>3.4912499999999995</v>
      </c>
      <c r="L49" s="219" t="s">
        <v>17</v>
      </c>
    </row>
    <row r="50" spans="2:16" x14ac:dyDescent="0.2">
      <c r="B50" s="216" t="s">
        <v>30</v>
      </c>
      <c r="C50" s="248">
        <v>0.35</v>
      </c>
      <c r="D50" s="232" t="s">
        <v>58</v>
      </c>
      <c r="F50" s="218"/>
      <c r="G50" s="192" t="s">
        <v>21</v>
      </c>
      <c r="H50" s="205">
        <f>C35*C49</f>
        <v>3.8499999999999996</v>
      </c>
      <c r="I50" s="197" t="s">
        <v>58</v>
      </c>
      <c r="J50" s="192"/>
      <c r="K50" s="198">
        <f t="shared" si="0"/>
        <v>10.9725</v>
      </c>
      <c r="L50" s="219" t="s">
        <v>17</v>
      </c>
      <c r="N50" s="303"/>
      <c r="P50" s="303"/>
    </row>
    <row r="51" spans="2:16" x14ac:dyDescent="0.2">
      <c r="B51" s="53"/>
      <c r="C51" s="27"/>
      <c r="D51" s="52"/>
      <c r="F51" s="218"/>
      <c r="G51" s="306" t="s">
        <v>224</v>
      </c>
      <c r="H51" s="205">
        <f>C61</f>
        <v>2.5000000000000001E-2</v>
      </c>
      <c r="I51" s="197" t="s">
        <v>58</v>
      </c>
      <c r="J51" s="192"/>
      <c r="K51" s="198">
        <f t="shared" si="0"/>
        <v>7.1250000000000008E-2</v>
      </c>
      <c r="L51" s="219" t="s">
        <v>17</v>
      </c>
      <c r="N51" s="303"/>
      <c r="O51" s="7"/>
    </row>
    <row r="52" spans="2:16" ht="15" x14ac:dyDescent="0.25">
      <c r="B52" s="379" t="s">
        <v>78</v>
      </c>
      <c r="C52" s="380"/>
      <c r="D52" s="381"/>
      <c r="F52" s="218"/>
      <c r="G52" s="192" t="s">
        <v>1</v>
      </c>
      <c r="H52" s="206">
        <f>C62</f>
        <v>2</v>
      </c>
      <c r="I52" s="197" t="s">
        <v>58</v>
      </c>
      <c r="J52" s="192"/>
      <c r="K52" s="200">
        <f t="shared" si="0"/>
        <v>5.7</v>
      </c>
      <c r="L52" s="219" t="s">
        <v>17</v>
      </c>
    </row>
    <row r="53" spans="2:16" x14ac:dyDescent="0.2">
      <c r="B53" s="213" t="s">
        <v>18</v>
      </c>
      <c r="C53" s="249">
        <v>3.35</v>
      </c>
      <c r="D53" s="215" t="s">
        <v>58</v>
      </c>
      <c r="F53" s="218"/>
      <c r="G53" s="201" t="s">
        <v>29</v>
      </c>
      <c r="H53" s="202">
        <f>SUM(H47:H52)</f>
        <v>10.35</v>
      </c>
      <c r="I53" s="201" t="s">
        <v>58</v>
      </c>
      <c r="J53" s="201"/>
      <c r="K53" s="202">
        <f>SUM(K47:K52)</f>
        <v>29.497499999999999</v>
      </c>
      <c r="L53" s="220" t="s">
        <v>17</v>
      </c>
    </row>
    <row r="54" spans="2:16" x14ac:dyDescent="0.2">
      <c r="B54" s="213" t="s">
        <v>19</v>
      </c>
      <c r="C54" s="249">
        <v>0.34</v>
      </c>
      <c r="D54" s="215" t="s">
        <v>58</v>
      </c>
      <c r="F54" s="218"/>
      <c r="G54" s="192"/>
      <c r="H54" s="192"/>
      <c r="I54" s="192"/>
      <c r="J54" s="192"/>
      <c r="K54" s="192"/>
      <c r="L54" s="219"/>
      <c r="O54" s="273"/>
    </row>
    <row r="55" spans="2:16" x14ac:dyDescent="0.2">
      <c r="B55" s="229" t="s">
        <v>78</v>
      </c>
      <c r="C55" s="249">
        <v>3.24</v>
      </c>
      <c r="D55" s="215" t="s">
        <v>58</v>
      </c>
      <c r="F55" s="378" t="s">
        <v>103</v>
      </c>
      <c r="G55" s="364"/>
      <c r="H55" s="203"/>
      <c r="I55" s="192" t="s">
        <v>0</v>
      </c>
      <c r="J55" s="192"/>
      <c r="K55" s="203"/>
      <c r="L55" s="219" t="s">
        <v>0</v>
      </c>
    </row>
    <row r="56" spans="2:16" x14ac:dyDescent="0.2">
      <c r="B56" s="216" t="s">
        <v>20</v>
      </c>
      <c r="C56" s="249">
        <v>4.66</v>
      </c>
      <c r="D56" s="232" t="s">
        <v>58</v>
      </c>
      <c r="F56" s="218"/>
      <c r="G56" s="192" t="s">
        <v>15</v>
      </c>
      <c r="H56" s="198">
        <f>H15/H18*100</f>
        <v>10.984666666666667</v>
      </c>
      <c r="I56" s="197" t="s">
        <v>58</v>
      </c>
      <c r="J56" s="192"/>
      <c r="K56" s="198">
        <f>H56*C$30</f>
        <v>31.306300000000004</v>
      </c>
      <c r="L56" s="219" t="s">
        <v>17</v>
      </c>
    </row>
    <row r="57" spans="2:16" x14ac:dyDescent="0.2">
      <c r="B57" s="53"/>
      <c r="C57" s="20"/>
      <c r="D57" s="52"/>
      <c r="F57" s="218"/>
      <c r="G57" s="192" t="s">
        <v>16</v>
      </c>
      <c r="H57" s="198">
        <f>H29/H18*100</f>
        <v>4.6090254545454545</v>
      </c>
      <c r="I57" s="197" t="s">
        <v>58</v>
      </c>
      <c r="J57" s="192"/>
      <c r="K57" s="198">
        <f>H57*C$30</f>
        <v>13.135722545454545</v>
      </c>
      <c r="L57" s="219" t="s">
        <v>17</v>
      </c>
    </row>
    <row r="58" spans="2:16" ht="15" x14ac:dyDescent="0.25">
      <c r="B58" s="379" t="s">
        <v>31</v>
      </c>
      <c r="C58" s="380"/>
      <c r="D58" s="381"/>
      <c r="E58" s="7"/>
      <c r="F58" s="218"/>
      <c r="G58" s="197" t="s">
        <v>95</v>
      </c>
      <c r="H58" s="198">
        <f>H28/H18*100</f>
        <v>3.8036363636363637</v>
      </c>
      <c r="I58" s="197" t="s">
        <v>58</v>
      </c>
      <c r="J58" s="192"/>
      <c r="K58" s="198">
        <f>H58*C$30</f>
        <v>10.840363636363637</v>
      </c>
      <c r="L58" s="219" t="s">
        <v>17</v>
      </c>
    </row>
    <row r="59" spans="2:16" x14ac:dyDescent="0.2">
      <c r="B59" s="229" t="s">
        <v>46</v>
      </c>
      <c r="C59" s="250">
        <v>2.5</v>
      </c>
      <c r="D59" s="215" t="s">
        <v>58</v>
      </c>
      <c r="E59" s="7"/>
      <c r="F59" s="218"/>
      <c r="G59" s="197" t="s">
        <v>45</v>
      </c>
      <c r="H59" s="200">
        <f>C22/H18*100</f>
        <v>0.22727272727272727</v>
      </c>
      <c r="I59" s="197" t="s">
        <v>58</v>
      </c>
      <c r="J59" s="192"/>
      <c r="K59" s="200">
        <f>H59*C$30</f>
        <v>0.64772727272727271</v>
      </c>
      <c r="L59" s="219" t="s">
        <v>17</v>
      </c>
    </row>
    <row r="60" spans="2:16" x14ac:dyDescent="0.2">
      <c r="B60" s="213" t="s">
        <v>23</v>
      </c>
      <c r="C60" s="250">
        <v>0.75</v>
      </c>
      <c r="D60" s="215" t="s">
        <v>58</v>
      </c>
      <c r="F60" s="218"/>
      <c r="G60" s="201" t="s">
        <v>32</v>
      </c>
      <c r="H60" s="202">
        <f>SUM(H56:H59)</f>
        <v>19.624601212121213</v>
      </c>
      <c r="I60" s="201" t="s">
        <v>58</v>
      </c>
      <c r="J60" s="201"/>
      <c r="K60" s="202">
        <f>SUM(K56:K59)</f>
        <v>55.930113454545456</v>
      </c>
      <c r="L60" s="220" t="s">
        <v>17</v>
      </c>
    </row>
    <row r="61" spans="2:16" ht="14.25" x14ac:dyDescent="0.2">
      <c r="B61" s="213" t="s">
        <v>224</v>
      </c>
      <c r="C61" s="250">
        <v>2.5000000000000001E-2</v>
      </c>
      <c r="D61" s="215" t="s">
        <v>58</v>
      </c>
      <c r="E61" s="26"/>
      <c r="F61" s="218"/>
      <c r="G61" s="192"/>
      <c r="H61" s="192"/>
      <c r="I61" s="192"/>
      <c r="J61" s="192"/>
      <c r="K61" s="192"/>
      <c r="L61" s="219"/>
    </row>
    <row r="62" spans="2:16" x14ac:dyDescent="0.2">
      <c r="B62" s="216" t="s">
        <v>1</v>
      </c>
      <c r="C62" s="250">
        <v>2</v>
      </c>
      <c r="D62" s="232" t="s">
        <v>58</v>
      </c>
      <c r="E62" s="7"/>
      <c r="F62" s="402" t="s">
        <v>144</v>
      </c>
      <c r="G62" s="403"/>
      <c r="H62" s="403"/>
      <c r="I62" s="192"/>
      <c r="J62" s="192"/>
      <c r="K62" s="192"/>
      <c r="L62" s="219"/>
    </row>
    <row r="63" spans="2:16" x14ac:dyDescent="0.2">
      <c r="B63" s="53"/>
      <c r="C63" s="27"/>
      <c r="D63" s="52"/>
      <c r="E63" s="7"/>
      <c r="F63" s="218"/>
      <c r="G63" s="197" t="s">
        <v>71</v>
      </c>
      <c r="H63" s="207">
        <f>H44+H53</f>
        <v>21.939999999999998</v>
      </c>
      <c r="I63" s="197" t="s">
        <v>58</v>
      </c>
      <c r="J63" s="208" t="s">
        <v>0</v>
      </c>
      <c r="K63" s="207">
        <f>K44+K53</f>
        <v>62.528999999999996</v>
      </c>
      <c r="L63" s="221" t="s">
        <v>17</v>
      </c>
    </row>
    <row r="64" spans="2:16" ht="15.75" thickBot="1" x14ac:dyDescent="0.3">
      <c r="B64" s="379" t="s">
        <v>47</v>
      </c>
      <c r="C64" s="380"/>
      <c r="D64" s="381"/>
      <c r="E64" s="7"/>
      <c r="F64" s="222"/>
      <c r="G64" s="223" t="s">
        <v>72</v>
      </c>
      <c r="H64" s="224">
        <f>H63+H60</f>
        <v>41.564601212121211</v>
      </c>
      <c r="I64" s="223" t="s">
        <v>58</v>
      </c>
      <c r="J64" s="225" t="s">
        <v>0</v>
      </c>
      <c r="K64" s="224">
        <f>K63+K60</f>
        <v>118.45911345454545</v>
      </c>
      <c r="L64" s="226" t="s">
        <v>17</v>
      </c>
    </row>
    <row r="65" spans="2:5" x14ac:dyDescent="0.2">
      <c r="B65" s="229" t="s">
        <v>25</v>
      </c>
      <c r="C65" s="251">
        <v>0</v>
      </c>
      <c r="D65" s="215" t="s">
        <v>59</v>
      </c>
      <c r="E65" s="7"/>
    </row>
    <row r="66" spans="2:5" x14ac:dyDescent="0.2">
      <c r="B66" s="229" t="s">
        <v>14</v>
      </c>
      <c r="C66" s="241">
        <v>0</v>
      </c>
      <c r="D66" s="215" t="s">
        <v>60</v>
      </c>
      <c r="E66" s="7"/>
    </row>
    <row r="67" spans="2:5" x14ac:dyDescent="0.2">
      <c r="B67" s="229" t="s">
        <v>218</v>
      </c>
      <c r="C67" s="252">
        <v>0</v>
      </c>
      <c r="D67" s="215" t="s">
        <v>225</v>
      </c>
    </row>
    <row r="68" spans="2:5" x14ac:dyDescent="0.2">
      <c r="B68" s="229" t="s">
        <v>3</v>
      </c>
      <c r="C68" s="252">
        <v>0</v>
      </c>
      <c r="D68" s="215" t="s">
        <v>61</v>
      </c>
    </row>
    <row r="69" spans="2:5" x14ac:dyDescent="0.2">
      <c r="B69" s="229" t="s">
        <v>2</v>
      </c>
      <c r="C69" s="251">
        <v>0</v>
      </c>
      <c r="D69" s="215" t="s">
        <v>124</v>
      </c>
      <c r="E69" s="7"/>
    </row>
    <row r="70" spans="2:5" ht="13.5" thickBot="1" x14ac:dyDescent="0.25">
      <c r="B70" s="235" t="s">
        <v>0</v>
      </c>
      <c r="C70" s="236" t="s">
        <v>0</v>
      </c>
      <c r="D70" s="237" t="s">
        <v>125</v>
      </c>
      <c r="E70" s="7"/>
    </row>
    <row r="71" spans="2:5" x14ac:dyDescent="0.2">
      <c r="E71" s="7"/>
    </row>
    <row r="74" spans="2:5" x14ac:dyDescent="0.2">
      <c r="E74" s="7"/>
    </row>
    <row r="75" spans="2:5" x14ac:dyDescent="0.2">
      <c r="E75" s="9"/>
    </row>
    <row r="76" spans="2:5" x14ac:dyDescent="0.2">
      <c r="E76" s="9"/>
    </row>
    <row r="77" spans="2:5" x14ac:dyDescent="0.2">
      <c r="E77" s="9"/>
    </row>
  </sheetData>
  <sheetProtection sheet="1" selectLockedCells="1"/>
  <mergeCells count="71">
    <mergeCell ref="B58:D58"/>
    <mergeCell ref="B64:D64"/>
    <mergeCell ref="F62:H62"/>
    <mergeCell ref="F55:G55"/>
    <mergeCell ref="B45:C45"/>
    <mergeCell ref="B46:C46"/>
    <mergeCell ref="F46:G46"/>
    <mergeCell ref="B52:D52"/>
    <mergeCell ref="B48:D48"/>
    <mergeCell ref="B2:L2"/>
    <mergeCell ref="H17:I17"/>
    <mergeCell ref="H18:I18"/>
    <mergeCell ref="B4:D4"/>
    <mergeCell ref="B7:D7"/>
    <mergeCell ref="H9:I9"/>
    <mergeCell ref="H12:I12"/>
    <mergeCell ref="B3:D3"/>
    <mergeCell ref="H14:I14"/>
    <mergeCell ref="F4:L4"/>
    <mergeCell ref="F7:L7"/>
    <mergeCell ref="H13:I13"/>
    <mergeCell ref="H10:I10"/>
    <mergeCell ref="H11:I11"/>
    <mergeCell ref="H15:I15"/>
    <mergeCell ref="J17:L17"/>
    <mergeCell ref="J29:K29"/>
    <mergeCell ref="B38:D38"/>
    <mergeCell ref="B29:D29"/>
    <mergeCell ref="F38:L38"/>
    <mergeCell ref="J31:K31"/>
    <mergeCell ref="J32:K32"/>
    <mergeCell ref="H29:I29"/>
    <mergeCell ref="F39:G39"/>
    <mergeCell ref="B24:D24"/>
    <mergeCell ref="H28:I28"/>
    <mergeCell ref="H31:I31"/>
    <mergeCell ref="H30:I30"/>
    <mergeCell ref="H27:I27"/>
    <mergeCell ref="H24:I24"/>
    <mergeCell ref="K39:L39"/>
    <mergeCell ref="H33:I33"/>
    <mergeCell ref="H39:I39"/>
    <mergeCell ref="H25:I25"/>
    <mergeCell ref="H32:I32"/>
    <mergeCell ref="H34:I34"/>
    <mergeCell ref="H26:I26"/>
    <mergeCell ref="H36:I36"/>
    <mergeCell ref="J36:K36"/>
    <mergeCell ref="J33:K33"/>
    <mergeCell ref="J35:K35"/>
    <mergeCell ref="H35:I35"/>
    <mergeCell ref="J27:K27"/>
    <mergeCell ref="J30:K30"/>
    <mergeCell ref="J34:K34"/>
    <mergeCell ref="J28:K28"/>
    <mergeCell ref="H20:I20"/>
    <mergeCell ref="J20:L20"/>
    <mergeCell ref="J23:L23"/>
    <mergeCell ref="J26:K26"/>
    <mergeCell ref="B5:D5"/>
    <mergeCell ref="J25:L25"/>
    <mergeCell ref="J21:L21"/>
    <mergeCell ref="J22:L22"/>
    <mergeCell ref="H19:I19"/>
    <mergeCell ref="J15:K15"/>
    <mergeCell ref="J18:L18"/>
    <mergeCell ref="J19:L19"/>
    <mergeCell ref="H21:I21"/>
    <mergeCell ref="H23:I23"/>
    <mergeCell ref="H22:I22"/>
    <mergeCell ref="J24:K24"/>
  </mergeCells>
  <phoneticPr fontId="10" type="noConversion"/>
  <pageMargins left="0.75" right="0.75" top="1" bottom="1" header="0.5" footer="0.5"/>
  <pageSetup scale="75" orientation="portrait" horizontalDpi="300" verticalDpi="300" r:id="rId1"/>
  <headerFooter alignWithMargins="0"/>
  <rowBreaks count="1" manualBreakCount="1">
    <brk id="35" max="16383" man="1"/>
  </rowBreaks>
  <cellWatches>
    <cellWatch r="C22"/>
  </cellWatche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2" tint="-9.9978637043366805E-2"/>
    <pageSetUpPr fitToPage="1"/>
  </sheetPr>
  <dimension ref="A2:AU249"/>
  <sheetViews>
    <sheetView showGridLines="0" zoomScale="90" workbookViewId="0">
      <pane xSplit="2" ySplit="8" topLeftCell="C202" activePane="bottomRight" state="frozen"/>
      <selection activeCell="K236" sqref="K236"/>
      <selection pane="topRight" activeCell="K236" sqref="K236"/>
      <selection pane="bottomLeft" activeCell="K236" sqref="K236"/>
      <selection pane="bottomRight" activeCell="A246" sqref="A246"/>
    </sheetView>
  </sheetViews>
  <sheetFormatPr defaultColWidth="8.85546875" defaultRowHeight="12.75" x14ac:dyDescent="0.2"/>
  <cols>
    <col min="1" max="1" width="7.7109375" customWidth="1"/>
    <col min="2" max="2" width="1.42578125" customWidth="1"/>
    <col min="3" max="4" width="8.5703125" customWidth="1"/>
    <col min="5" max="5" width="8.5703125" style="35" customWidth="1"/>
    <col min="6" max="6" width="8.5703125" customWidth="1"/>
    <col min="7" max="7" width="8.5703125" style="1" customWidth="1"/>
    <col min="8" max="9" width="1.42578125" customWidth="1"/>
    <col min="10" max="11" width="8.5703125" customWidth="1"/>
    <col min="12" max="12" width="8.5703125" style="35" customWidth="1"/>
    <col min="13" max="13" width="8.5703125" customWidth="1"/>
    <col min="14" max="15" width="1.42578125" customWidth="1"/>
    <col min="16" max="22" width="8.5703125" customWidth="1"/>
    <col min="23" max="24" width="1.140625" customWidth="1"/>
    <col min="25" max="27" width="9.28515625" customWidth="1"/>
    <col min="28" max="30" width="1.42578125" customWidth="1"/>
    <col min="31" max="33" width="8.5703125" customWidth="1"/>
    <col min="34" max="35" width="1.42578125" customWidth="1"/>
    <col min="36" max="37" width="8.7109375" bestFit="1" customWidth="1"/>
    <col min="38" max="39" width="1.42578125" customWidth="1"/>
    <col min="40" max="43" width="9.42578125" customWidth="1"/>
    <col min="44" max="44" width="1.42578125" customWidth="1"/>
    <col min="46" max="46" width="9.42578125" bestFit="1" customWidth="1"/>
    <col min="47" max="47" width="7.42578125" bestFit="1" customWidth="1"/>
  </cols>
  <sheetData>
    <row r="2" spans="1:47" ht="20.25" x14ac:dyDescent="0.3">
      <c r="A2" s="48"/>
      <c r="B2" s="48"/>
      <c r="C2" s="406" t="s">
        <v>81</v>
      </c>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8"/>
      <c r="AQ2" s="408"/>
      <c r="AR2" s="408"/>
    </row>
    <row r="3" spans="1:47" ht="21" thickBot="1" x14ac:dyDescent="0.35">
      <c r="A3" s="48"/>
      <c r="B3" s="48"/>
      <c r="C3" s="48"/>
      <c r="D3" s="48"/>
      <c r="E3" s="63"/>
      <c r="F3" s="48"/>
      <c r="G3" s="48"/>
      <c r="H3" s="48"/>
      <c r="I3" s="48"/>
      <c r="J3" s="48"/>
      <c r="K3" s="48"/>
      <c r="L3" s="63"/>
      <c r="M3" s="48"/>
      <c r="N3" s="48"/>
      <c r="O3" s="48"/>
      <c r="P3" s="48"/>
      <c r="Q3" s="48"/>
      <c r="R3" s="48"/>
      <c r="S3" s="48"/>
      <c r="T3" s="48"/>
      <c r="U3" s="48"/>
      <c r="V3" s="48"/>
      <c r="W3" s="48"/>
      <c r="X3" s="48"/>
      <c r="Y3" s="48"/>
      <c r="Z3" s="48"/>
      <c r="AA3" s="10"/>
    </row>
    <row r="4" spans="1:47" s="33" customFormat="1" ht="18" x14ac:dyDescent="0.25">
      <c r="A4" s="32"/>
      <c r="B4" s="32"/>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8"/>
      <c r="AD4" s="409" t="s">
        <v>169</v>
      </c>
      <c r="AE4" s="410"/>
      <c r="AF4" s="410"/>
      <c r="AG4" s="410"/>
      <c r="AH4" s="410"/>
      <c r="AI4" s="410"/>
      <c r="AJ4" s="410"/>
      <c r="AK4" s="410"/>
      <c r="AL4" s="410"/>
      <c r="AM4" s="410"/>
      <c r="AN4" s="410"/>
      <c r="AO4" s="410"/>
      <c r="AP4" s="410"/>
      <c r="AQ4" s="410"/>
      <c r="AR4" s="411"/>
    </row>
    <row r="5" spans="1:47" ht="14.25" x14ac:dyDescent="0.2">
      <c r="C5" s="419" t="s">
        <v>4</v>
      </c>
      <c r="D5" s="419"/>
      <c r="E5" s="419"/>
      <c r="F5" s="419"/>
      <c r="G5" s="419"/>
      <c r="H5" s="420"/>
      <c r="I5" s="421" t="s">
        <v>70</v>
      </c>
      <c r="J5" s="422"/>
      <c r="K5" s="422"/>
      <c r="L5" s="422"/>
      <c r="M5" s="422"/>
      <c r="N5" s="420"/>
      <c r="O5" s="421" t="s">
        <v>68</v>
      </c>
      <c r="P5" s="423"/>
      <c r="Q5" s="423"/>
      <c r="R5" s="423"/>
      <c r="S5" s="423"/>
      <c r="T5" s="423"/>
      <c r="U5" s="423"/>
      <c r="V5" s="423"/>
      <c r="W5" s="424"/>
      <c r="X5" s="421" t="s">
        <v>66</v>
      </c>
      <c r="Y5" s="425"/>
      <c r="Z5" s="423"/>
      <c r="AA5" s="423"/>
      <c r="AB5" s="426"/>
      <c r="AC5" s="10"/>
      <c r="AD5" s="414" t="s">
        <v>172</v>
      </c>
      <c r="AE5" s="413"/>
      <c r="AF5" s="413"/>
      <c r="AG5" s="413"/>
      <c r="AH5" s="415"/>
      <c r="AI5" s="416" t="s">
        <v>173</v>
      </c>
      <c r="AJ5" s="413"/>
      <c r="AK5" s="413"/>
      <c r="AL5" s="415"/>
      <c r="AM5" s="180"/>
      <c r="AN5" s="412" t="s">
        <v>66</v>
      </c>
      <c r="AO5" s="413"/>
      <c r="AP5" s="413"/>
      <c r="AQ5" s="413"/>
      <c r="AR5" s="62"/>
    </row>
    <row r="6" spans="1:47" x14ac:dyDescent="0.2">
      <c r="A6" s="4" t="s">
        <v>39</v>
      </c>
      <c r="B6" s="4"/>
      <c r="C6" s="3" t="s">
        <v>25</v>
      </c>
      <c r="D6" s="3" t="s">
        <v>14</v>
      </c>
      <c r="E6" s="59" t="s">
        <v>218</v>
      </c>
      <c r="F6" s="3" t="s">
        <v>3</v>
      </c>
      <c r="G6" s="3" t="s">
        <v>35</v>
      </c>
      <c r="H6" s="30"/>
      <c r="I6" s="3"/>
      <c r="J6" s="3" t="s">
        <v>0</v>
      </c>
      <c r="K6" s="3"/>
      <c r="L6" s="59"/>
      <c r="M6" s="3"/>
      <c r="N6" s="30"/>
      <c r="O6" s="3"/>
      <c r="P6" s="3" t="s">
        <v>0</v>
      </c>
      <c r="Q6" s="3" t="s">
        <v>0</v>
      </c>
      <c r="R6" s="3" t="s">
        <v>0</v>
      </c>
      <c r="S6" s="3" t="s">
        <v>0</v>
      </c>
      <c r="T6" s="3" t="s">
        <v>0</v>
      </c>
      <c r="U6" s="3" t="s">
        <v>69</v>
      </c>
      <c r="V6" s="3" t="s">
        <v>25</v>
      </c>
      <c r="W6" s="30"/>
      <c r="X6" s="3"/>
      <c r="Y6" s="181"/>
      <c r="Z6" s="3" t="s">
        <v>62</v>
      </c>
      <c r="AA6" s="3" t="s">
        <v>62</v>
      </c>
      <c r="AB6" s="52"/>
      <c r="AD6" s="53"/>
      <c r="AE6" s="27"/>
      <c r="AF6" s="27"/>
      <c r="AG6" s="27"/>
      <c r="AH6" s="27"/>
      <c r="AI6" s="14"/>
      <c r="AJ6" s="27"/>
      <c r="AK6" s="3" t="s">
        <v>69</v>
      </c>
      <c r="AL6" s="3"/>
      <c r="AM6" s="13"/>
      <c r="AN6" s="3" t="s">
        <v>62</v>
      </c>
      <c r="AO6" s="3" t="s">
        <v>62</v>
      </c>
      <c r="AP6" s="3" t="s">
        <v>175</v>
      </c>
      <c r="AQ6" s="3" t="s">
        <v>175</v>
      </c>
      <c r="AR6" s="52"/>
      <c r="AT6" s="3"/>
      <c r="AU6" s="3"/>
    </row>
    <row r="7" spans="1:47" x14ac:dyDescent="0.2">
      <c r="A7" s="4" t="s">
        <v>40</v>
      </c>
      <c r="B7" s="4"/>
      <c r="C7" s="3" t="s">
        <v>38</v>
      </c>
      <c r="D7" s="3" t="s">
        <v>38</v>
      </c>
      <c r="E7" s="59" t="s">
        <v>38</v>
      </c>
      <c r="F7" s="3" t="s">
        <v>38</v>
      </c>
      <c r="G7" s="3" t="s">
        <v>133</v>
      </c>
      <c r="H7" s="30"/>
      <c r="I7" s="13"/>
      <c r="J7" s="3" t="s">
        <v>0</v>
      </c>
      <c r="K7" s="3" t="s">
        <v>0</v>
      </c>
      <c r="L7" s="59" t="s">
        <v>0</v>
      </c>
      <c r="M7" s="3" t="s">
        <v>69</v>
      </c>
      <c r="N7" s="30"/>
      <c r="O7" s="13"/>
      <c r="P7" s="3" t="s">
        <v>0</v>
      </c>
      <c r="Q7" s="3" t="s">
        <v>128</v>
      </c>
      <c r="R7" s="3" t="s">
        <v>1</v>
      </c>
      <c r="S7" s="3" t="s">
        <v>69</v>
      </c>
      <c r="T7" s="3" t="s">
        <v>0</v>
      </c>
      <c r="U7" s="3" t="s">
        <v>65</v>
      </c>
      <c r="V7" s="3" t="s">
        <v>146</v>
      </c>
      <c r="W7" s="30"/>
      <c r="X7" s="3"/>
      <c r="Y7" s="3" t="s">
        <v>204</v>
      </c>
      <c r="Z7" s="3" t="s">
        <v>65</v>
      </c>
      <c r="AA7" s="3" t="s">
        <v>63</v>
      </c>
      <c r="AB7" s="52"/>
      <c r="AD7" s="53"/>
      <c r="AE7" s="3" t="s">
        <v>161</v>
      </c>
      <c r="AF7" s="3" t="s">
        <v>163</v>
      </c>
      <c r="AG7" s="3" t="s">
        <v>69</v>
      </c>
      <c r="AH7" s="30"/>
      <c r="AI7" s="14"/>
      <c r="AJ7" s="3" t="s">
        <v>69</v>
      </c>
      <c r="AK7" s="3" t="s">
        <v>65</v>
      </c>
      <c r="AL7" s="30"/>
      <c r="AM7" s="3"/>
      <c r="AN7" s="3" t="s">
        <v>65</v>
      </c>
      <c r="AO7" s="3" t="s">
        <v>63</v>
      </c>
      <c r="AP7" s="3" t="s">
        <v>25</v>
      </c>
      <c r="AQ7" s="3" t="s">
        <v>3</v>
      </c>
      <c r="AR7" s="52"/>
      <c r="AT7" s="3"/>
      <c r="AU7" s="3"/>
    </row>
    <row r="8" spans="1:47" x14ac:dyDescent="0.2">
      <c r="A8" s="2" t="s">
        <v>41</v>
      </c>
      <c r="B8" s="3"/>
      <c r="C8" s="2" t="s">
        <v>212</v>
      </c>
      <c r="D8" s="2" t="s">
        <v>213</v>
      </c>
      <c r="E8" s="5" t="s">
        <v>221</v>
      </c>
      <c r="F8" s="2" t="s">
        <v>214</v>
      </c>
      <c r="G8" s="2" t="s">
        <v>215</v>
      </c>
      <c r="H8" s="31"/>
      <c r="I8" s="55"/>
      <c r="J8" s="2" t="s">
        <v>25</v>
      </c>
      <c r="K8" s="2" t="s">
        <v>14</v>
      </c>
      <c r="L8" s="5" t="s">
        <v>220</v>
      </c>
      <c r="M8" s="2" t="s">
        <v>222</v>
      </c>
      <c r="N8" s="31"/>
      <c r="O8" s="55"/>
      <c r="P8" s="2" t="s">
        <v>3</v>
      </c>
      <c r="Q8" s="2" t="s">
        <v>127</v>
      </c>
      <c r="R8" s="2" t="s">
        <v>135</v>
      </c>
      <c r="S8" s="2" t="s">
        <v>135</v>
      </c>
      <c r="T8" s="2" t="s">
        <v>126</v>
      </c>
      <c r="U8" s="2" t="s">
        <v>132</v>
      </c>
      <c r="V8" s="2" t="s">
        <v>147</v>
      </c>
      <c r="W8" s="31"/>
      <c r="X8" s="3"/>
      <c r="Y8" s="3" t="s">
        <v>205</v>
      </c>
      <c r="Z8" s="2" t="s">
        <v>64</v>
      </c>
      <c r="AA8" s="2" t="s">
        <v>64</v>
      </c>
      <c r="AB8" s="52"/>
      <c r="AD8" s="56"/>
      <c r="AE8" s="2" t="s">
        <v>162</v>
      </c>
      <c r="AF8" s="2" t="s">
        <v>164</v>
      </c>
      <c r="AG8" s="2" t="s">
        <v>165</v>
      </c>
      <c r="AH8" s="31"/>
      <c r="AI8" s="57"/>
      <c r="AJ8" s="2" t="s">
        <v>65</v>
      </c>
      <c r="AK8" s="2" t="s">
        <v>132</v>
      </c>
      <c r="AL8" s="31"/>
      <c r="AM8" s="2"/>
      <c r="AN8" s="2" t="s">
        <v>64</v>
      </c>
      <c r="AO8" s="2" t="s">
        <v>64</v>
      </c>
      <c r="AP8" s="3" t="s">
        <v>176</v>
      </c>
      <c r="AQ8" s="3" t="s">
        <v>177</v>
      </c>
      <c r="AR8" s="52"/>
      <c r="AT8" s="3"/>
      <c r="AU8" s="3"/>
    </row>
    <row r="9" spans="1:47" hidden="1" x14ac:dyDescent="0.2">
      <c r="A9" s="21">
        <v>38353</v>
      </c>
      <c r="B9" s="6"/>
      <c r="C9" s="93">
        <f>Data!D2+'Economic Model'!C$65</f>
        <v>1.5149515423207636</v>
      </c>
      <c r="D9" s="95">
        <f>Data!E2+'Economic Model'!C$66</f>
        <v>68.211307006683171</v>
      </c>
      <c r="E9" s="323"/>
      <c r="F9" s="93">
        <f>Data!G2+'Economic Model'!C$68</f>
        <v>1.745099267659205</v>
      </c>
      <c r="G9" s="96">
        <f>Data!H2+'Economic Model'!C$69</f>
        <v>8.17</v>
      </c>
      <c r="H9" s="17"/>
      <c r="I9" s="18"/>
      <c r="J9" s="93">
        <f t="shared" ref="J9:J40" si="0">C9</f>
        <v>1.5149515423207636</v>
      </c>
      <c r="K9" s="93">
        <f>D9/2000*('Economic Model'!C$32+0.5)/'Economic Model'!C$30</f>
        <v>0.20224054182683252</v>
      </c>
      <c r="L9" s="319"/>
      <c r="M9" s="93">
        <f t="shared" ref="M9:M40" si="1">J9+K9</f>
        <v>1.7171920841475961</v>
      </c>
      <c r="N9" s="93"/>
      <c r="O9" s="104"/>
      <c r="P9" s="93">
        <f>F9/'Economic Model'!C$30</f>
        <v>0.61231553251200177</v>
      </c>
      <c r="Q9" s="93">
        <f>G9/1000*'Economic Model'!C$34</f>
        <v>0.24510000000000001</v>
      </c>
      <c r="R9" s="93">
        <f>('Economic Model'!H$44+'Economic Model'!H$53)/100</f>
        <v>0.21939999999999998</v>
      </c>
      <c r="S9" s="93">
        <f t="shared" ref="S9:S40" si="2">P9+Q9+R9</f>
        <v>1.0768155325120017</v>
      </c>
      <c r="T9" s="93">
        <f>'Economic Model'!H$60/100</f>
        <v>0.19624601212121212</v>
      </c>
      <c r="U9" s="93">
        <f t="shared" ref="U9:U40" si="3">S9+T9</f>
        <v>1.2730615446332139</v>
      </c>
      <c r="V9" s="93">
        <f>U9-K9-L9</f>
        <v>1.0708210028063814</v>
      </c>
      <c r="W9" s="105"/>
      <c r="X9" s="93"/>
      <c r="Y9" s="93">
        <f>M9-P9-Q9-('Economic Model'!H$50/100)</f>
        <v>0.82127655163559432</v>
      </c>
      <c r="Z9" s="93">
        <f t="shared" ref="Z9:Z40" si="4">M9-S9</f>
        <v>0.64037655163559437</v>
      </c>
      <c r="AA9" s="93">
        <f t="shared" ref="AA9:AA40" si="5">M9-U9</f>
        <v>0.44413053951438219</v>
      </c>
      <c r="AB9" s="80"/>
      <c r="AC9" s="15"/>
      <c r="AD9" s="81"/>
      <c r="AE9" s="93">
        <f>'Returns per Bu.'!AD9/'Economic Model'!C$30</f>
        <v>0.25394979160608705</v>
      </c>
      <c r="AF9" s="93">
        <f t="shared" ref="AF9:AF40" si="6">AG9-AE9</f>
        <v>0.53271299796452465</v>
      </c>
      <c r="AG9" s="93">
        <f>'Returns per Bu.'!AF9/'Economic Model'!C$30</f>
        <v>0.78666278957061164</v>
      </c>
      <c r="AH9" s="105"/>
      <c r="AI9" s="104"/>
      <c r="AJ9" s="93">
        <f t="shared" ref="AJ9:AJ40" si="7">AG9+Q9+R9</f>
        <v>1.2511627895706117</v>
      </c>
      <c r="AK9" s="93">
        <f t="shared" ref="AK9:AK40" si="8">T9+AJ9</f>
        <v>1.4474088016918238</v>
      </c>
      <c r="AL9" s="105"/>
      <c r="AM9" s="93"/>
      <c r="AN9" s="93">
        <f t="shared" ref="AN9:AN40" si="9">M9-AJ9</f>
        <v>0.46602929457698439</v>
      </c>
      <c r="AO9" s="93">
        <f t="shared" ref="AO9:AO40" si="10">M9-AK9</f>
        <v>0.26978328245577221</v>
      </c>
      <c r="AP9" s="93">
        <f t="shared" ref="AP9:AP40" si="11">AO9-AQ9</f>
        <v>0.44413053951438208</v>
      </c>
      <c r="AQ9" s="93">
        <f t="shared" ref="AQ9:AQ40" si="12">P9-AG9</f>
        <v>-0.17434725705860987</v>
      </c>
      <c r="AR9" s="52"/>
      <c r="AT9" s="72"/>
      <c r="AU9" s="72"/>
    </row>
    <row r="10" spans="1:47" hidden="1" x14ac:dyDescent="0.2">
      <c r="A10" s="8">
        <v>38384</v>
      </c>
      <c r="B10" s="8"/>
      <c r="C10" s="93">
        <f>Data!D3+'Economic Model'!C$65</f>
        <v>1.3740258174537157</v>
      </c>
      <c r="D10" s="95">
        <f>Data!E3+'Economic Model'!C$66</f>
        <v>70.13275227447707</v>
      </c>
      <c r="E10" s="323"/>
      <c r="F10" s="93">
        <f>Data!G3+'Economic Model'!C$68</f>
        <v>1.7757299715284061</v>
      </c>
      <c r="G10" s="96">
        <f>Data!H3+'Economic Model'!C$69</f>
        <v>7.8</v>
      </c>
      <c r="H10" s="17"/>
      <c r="I10" s="18"/>
      <c r="J10" s="93">
        <f t="shared" si="0"/>
        <v>1.3740258174537157</v>
      </c>
      <c r="K10" s="93">
        <f>D10/2000*('Economic Model'!C$32+0.5)/'Economic Model'!C$30</f>
        <v>0.20793745849801096</v>
      </c>
      <c r="L10" s="319"/>
      <c r="M10" s="93">
        <f t="shared" si="1"/>
        <v>1.5819632759517266</v>
      </c>
      <c r="N10" s="93"/>
      <c r="O10" s="104"/>
      <c r="P10" s="93">
        <f>F10/'Economic Model'!C$30</f>
        <v>0.62306314790470385</v>
      </c>
      <c r="Q10" s="93">
        <f>G10/1000*'Economic Model'!C$34</f>
        <v>0.23399999999999999</v>
      </c>
      <c r="R10" s="93">
        <f>('Economic Model'!H$44+'Economic Model'!H$53)/100</f>
        <v>0.21939999999999998</v>
      </c>
      <c r="S10" s="93">
        <f t="shared" si="2"/>
        <v>1.0764631479047038</v>
      </c>
      <c r="T10" s="93">
        <f>'Economic Model'!H$60/100</f>
        <v>0.19624601212121212</v>
      </c>
      <c r="U10" s="93">
        <f t="shared" si="3"/>
        <v>1.2727091600259159</v>
      </c>
      <c r="V10" s="93">
        <f t="shared" ref="V10:V73" si="13">U10-K10-L10</f>
        <v>1.064771701527905</v>
      </c>
      <c r="W10" s="105"/>
      <c r="X10" s="93"/>
      <c r="Y10" s="93">
        <f>M10-P10-Q10-('Economic Model'!H$50/100)</f>
        <v>0.68640012804702277</v>
      </c>
      <c r="Z10" s="93">
        <f t="shared" si="4"/>
        <v>0.50550012804702282</v>
      </c>
      <c r="AA10" s="93">
        <f t="shared" si="5"/>
        <v>0.30925411592581065</v>
      </c>
      <c r="AB10" s="80"/>
      <c r="AC10" s="15"/>
      <c r="AD10" s="81"/>
      <c r="AE10" s="93">
        <f>'Returns per Bu.'!AD10/'Economic Model'!C$30</f>
        <v>0.25394979160608705</v>
      </c>
      <c r="AF10" s="93">
        <f t="shared" si="6"/>
        <v>0.53271299796452465</v>
      </c>
      <c r="AG10" s="93">
        <f>'Returns per Bu.'!AF10/'Economic Model'!C$30</f>
        <v>0.78666278957061164</v>
      </c>
      <c r="AH10" s="105"/>
      <c r="AI10" s="104"/>
      <c r="AJ10" s="93">
        <f t="shared" si="7"/>
        <v>1.2400627895706118</v>
      </c>
      <c r="AK10" s="93">
        <f t="shared" si="8"/>
        <v>1.436308801691824</v>
      </c>
      <c r="AL10" s="105"/>
      <c r="AM10" s="93"/>
      <c r="AN10" s="93">
        <f t="shared" si="9"/>
        <v>0.34190048638111481</v>
      </c>
      <c r="AO10" s="93">
        <f t="shared" si="10"/>
        <v>0.14565447425990263</v>
      </c>
      <c r="AP10" s="93">
        <f t="shared" si="11"/>
        <v>0.30925411592581042</v>
      </c>
      <c r="AQ10" s="93">
        <f t="shared" si="12"/>
        <v>-0.16359964166590779</v>
      </c>
      <c r="AR10" s="52"/>
      <c r="AT10" s="72"/>
      <c r="AU10" s="72"/>
    </row>
    <row r="11" spans="1:47" hidden="1" x14ac:dyDescent="0.2">
      <c r="A11" s="6">
        <v>38412</v>
      </c>
      <c r="B11" s="6"/>
      <c r="C11" s="93">
        <f>Data!D4+'Economic Model'!C$65</f>
        <v>1.1538293723489537</v>
      </c>
      <c r="D11" s="95">
        <f>Data!E4+'Economic Model'!C$66</f>
        <v>70.613113591425545</v>
      </c>
      <c r="E11" s="323"/>
      <c r="F11" s="93">
        <f>Data!G4+'Economic Model'!C$68</f>
        <v>1.8650695244802427</v>
      </c>
      <c r="G11" s="96">
        <f>Data!H4+'Economic Model'!C$69</f>
        <v>8.09</v>
      </c>
      <c r="H11" s="17"/>
      <c r="I11" s="18"/>
      <c r="J11" s="93">
        <f t="shared" si="0"/>
        <v>1.1538293723489537</v>
      </c>
      <c r="K11" s="93">
        <f>D11/2000*('Economic Model'!C$32+0.5)/'Economic Model'!C$30</f>
        <v>0.20936168766580554</v>
      </c>
      <c r="L11" s="319"/>
      <c r="M11" s="93">
        <f t="shared" si="1"/>
        <v>1.3631910600147592</v>
      </c>
      <c r="N11" s="93"/>
      <c r="O11" s="104"/>
      <c r="P11" s="93">
        <f>F11/'Economic Model'!C$30</f>
        <v>0.65441035946675175</v>
      </c>
      <c r="Q11" s="93">
        <f>G11/1000*'Economic Model'!C$34</f>
        <v>0.2427</v>
      </c>
      <c r="R11" s="93">
        <f>('Economic Model'!H$44+'Economic Model'!H$53)/100</f>
        <v>0.21939999999999998</v>
      </c>
      <c r="S11" s="93">
        <f t="shared" si="2"/>
        <v>1.1165103594667518</v>
      </c>
      <c r="T11" s="93">
        <f>'Economic Model'!H$60/100</f>
        <v>0.19624601212121212</v>
      </c>
      <c r="U11" s="93">
        <f t="shared" si="3"/>
        <v>1.312756371587964</v>
      </c>
      <c r="V11" s="93">
        <f t="shared" si="13"/>
        <v>1.1033946839221584</v>
      </c>
      <c r="W11" s="105"/>
      <c r="X11" s="93"/>
      <c r="Y11" s="93">
        <f>M11-P11-Q11-('Economic Model'!H$50/100)</f>
        <v>0.42758070054800745</v>
      </c>
      <c r="Z11" s="93">
        <f t="shared" si="4"/>
        <v>0.24668070054800739</v>
      </c>
      <c r="AA11" s="93">
        <f t="shared" si="5"/>
        <v>5.0434688426795216E-2</v>
      </c>
      <c r="AB11" s="80"/>
      <c r="AC11" s="15"/>
      <c r="AD11" s="81"/>
      <c r="AE11" s="93">
        <f>'Returns per Bu.'!AD11/'Economic Model'!C$30</f>
        <v>0.25394979160608705</v>
      </c>
      <c r="AF11" s="93">
        <f t="shared" si="6"/>
        <v>0.53271299796452465</v>
      </c>
      <c r="AG11" s="93">
        <f>'Returns per Bu.'!AF11/'Economic Model'!C$30</f>
        <v>0.78666278957061164</v>
      </c>
      <c r="AH11" s="105"/>
      <c r="AI11" s="104"/>
      <c r="AJ11" s="93">
        <f t="shared" si="7"/>
        <v>1.2487627895706117</v>
      </c>
      <c r="AK11" s="93">
        <f t="shared" si="8"/>
        <v>1.4450088016918239</v>
      </c>
      <c r="AL11" s="105"/>
      <c r="AM11" s="93"/>
      <c r="AN11" s="93">
        <f t="shared" si="9"/>
        <v>0.1144282704441475</v>
      </c>
      <c r="AO11" s="93">
        <f t="shared" si="10"/>
        <v>-8.1817741677064681E-2</v>
      </c>
      <c r="AP11" s="93">
        <f t="shared" si="11"/>
        <v>5.0434688426795216E-2</v>
      </c>
      <c r="AQ11" s="93">
        <f t="shared" si="12"/>
        <v>-0.1322524301038599</v>
      </c>
      <c r="AR11" s="52"/>
      <c r="AT11" s="72"/>
      <c r="AU11" s="72"/>
    </row>
    <row r="12" spans="1:47" hidden="1" x14ac:dyDescent="0.2">
      <c r="A12" s="8">
        <v>38443</v>
      </c>
      <c r="B12" s="8"/>
      <c r="C12" s="93">
        <f>Data!D5+'Economic Model'!C$65</f>
        <v>1.0569429365028582</v>
      </c>
      <c r="D12" s="95">
        <f>Data!E5+'Economic Model'!C$66</f>
        <v>71.09347490837402</v>
      </c>
      <c r="E12" s="323"/>
      <c r="F12" s="93">
        <f>Data!G5+'Economic Model'!C$68</f>
        <v>1.8301845561847634</v>
      </c>
      <c r="G12" s="96">
        <f>Data!H5+'Economic Model'!C$69</f>
        <v>7.66</v>
      </c>
      <c r="H12" s="17"/>
      <c r="I12" s="18"/>
      <c r="J12" s="93">
        <f t="shared" si="0"/>
        <v>1.0569429365028582</v>
      </c>
      <c r="K12" s="93">
        <f>D12/2000*('Economic Model'!C$32+0.5)/'Economic Model'!C$30</f>
        <v>0.21078591683360015</v>
      </c>
      <c r="L12" s="319"/>
      <c r="M12" s="93">
        <f t="shared" si="1"/>
        <v>1.2677288533364584</v>
      </c>
      <c r="N12" s="93"/>
      <c r="O12" s="104"/>
      <c r="P12" s="93">
        <f>F12/'Economic Model'!C$30</f>
        <v>0.64217001971395204</v>
      </c>
      <c r="Q12" s="93">
        <f>G12/1000*'Economic Model'!C$34</f>
        <v>0.2298</v>
      </c>
      <c r="R12" s="93">
        <f>('Economic Model'!H$44+'Economic Model'!H$53)/100</f>
        <v>0.21939999999999998</v>
      </c>
      <c r="S12" s="93">
        <f t="shared" si="2"/>
        <v>1.091370019713952</v>
      </c>
      <c r="T12" s="93">
        <f>'Economic Model'!H$60/100</f>
        <v>0.19624601212121212</v>
      </c>
      <c r="U12" s="93">
        <f t="shared" si="3"/>
        <v>1.2876160318351642</v>
      </c>
      <c r="V12" s="93">
        <f t="shared" si="13"/>
        <v>1.076830115001564</v>
      </c>
      <c r="W12" s="105"/>
      <c r="X12" s="93"/>
      <c r="Y12" s="93">
        <f>M12-P12-Q12-('Economic Model'!H$50/100)</f>
        <v>0.35725883362250632</v>
      </c>
      <c r="Z12" s="93">
        <f t="shared" si="4"/>
        <v>0.17635883362250637</v>
      </c>
      <c r="AA12" s="93">
        <f t="shared" si="5"/>
        <v>-1.9887178498705804E-2</v>
      </c>
      <c r="AB12" s="80"/>
      <c r="AC12" s="15"/>
      <c r="AD12" s="81"/>
      <c r="AE12" s="93">
        <f>'Returns per Bu.'!AD12/'Economic Model'!C$30</f>
        <v>0.25394979160608705</v>
      </c>
      <c r="AF12" s="93">
        <f t="shared" si="6"/>
        <v>0.53271299796452465</v>
      </c>
      <c r="AG12" s="93">
        <f>'Returns per Bu.'!AF12/'Economic Model'!C$30</f>
        <v>0.78666278957061164</v>
      </c>
      <c r="AH12" s="105"/>
      <c r="AI12" s="104"/>
      <c r="AJ12" s="93">
        <f t="shared" si="7"/>
        <v>1.2358627895706118</v>
      </c>
      <c r="AK12" s="93">
        <f t="shared" si="8"/>
        <v>1.432108801691824</v>
      </c>
      <c r="AL12" s="105"/>
      <c r="AM12" s="93"/>
      <c r="AN12" s="93">
        <f t="shared" si="9"/>
        <v>3.1866063765846553E-2</v>
      </c>
      <c r="AO12" s="93">
        <f t="shared" si="10"/>
        <v>-0.16437994835536562</v>
      </c>
      <c r="AP12" s="93">
        <f t="shared" si="11"/>
        <v>-1.9887178498706026E-2</v>
      </c>
      <c r="AQ12" s="93">
        <f t="shared" si="12"/>
        <v>-0.1444927698566596</v>
      </c>
      <c r="AR12" s="52"/>
      <c r="AT12" s="72"/>
      <c r="AU12" s="72"/>
    </row>
    <row r="13" spans="1:47" hidden="1" x14ac:dyDescent="0.2">
      <c r="A13" s="6">
        <v>38473</v>
      </c>
      <c r="B13" s="6"/>
      <c r="C13" s="93">
        <f>Data!D6+'Economic Model'!C$65</f>
        <v>1.0569429365028582</v>
      </c>
      <c r="D13" s="95">
        <f>Data!E6+'Economic Model'!C$66</f>
        <v>73.014920176167905</v>
      </c>
      <c r="E13" s="323"/>
      <c r="F13" s="93">
        <f>Data!G6+'Economic Model'!C$68</f>
        <v>1.8259302917584859</v>
      </c>
      <c r="G13" s="96">
        <f>Data!H6+'Economic Model'!C$69</f>
        <v>8.11</v>
      </c>
      <c r="H13" s="17"/>
      <c r="I13" s="18"/>
      <c r="J13" s="93">
        <f t="shared" si="0"/>
        <v>1.0569429365028582</v>
      </c>
      <c r="K13" s="93">
        <f>D13/2000*('Economic Model'!C$32+0.5)/'Economic Model'!C$30</f>
        <v>0.21648283350477851</v>
      </c>
      <c r="L13" s="319"/>
      <c r="M13" s="93">
        <f t="shared" si="1"/>
        <v>1.2734257700076368</v>
      </c>
      <c r="N13" s="93"/>
      <c r="O13" s="104"/>
      <c r="P13" s="93">
        <f>F13/'Economic Model'!C$30</f>
        <v>0.64067729535385465</v>
      </c>
      <c r="Q13" s="93">
        <f>G13/1000*'Economic Model'!C$34</f>
        <v>0.24329999999999996</v>
      </c>
      <c r="R13" s="93">
        <f>('Economic Model'!H$44+'Economic Model'!H$53)/100</f>
        <v>0.21939999999999998</v>
      </c>
      <c r="S13" s="93">
        <f t="shared" si="2"/>
        <v>1.1033772953538545</v>
      </c>
      <c r="T13" s="93">
        <f>'Economic Model'!H$60/100</f>
        <v>0.19624601212121212</v>
      </c>
      <c r="U13" s="93">
        <f t="shared" si="3"/>
        <v>1.2996233074750667</v>
      </c>
      <c r="V13" s="93">
        <f t="shared" si="13"/>
        <v>1.0831404739702881</v>
      </c>
      <c r="W13" s="105"/>
      <c r="X13" s="93"/>
      <c r="Y13" s="93">
        <f>M13-P13-Q13-('Economic Model'!H$50/100)</f>
        <v>0.35094847465378221</v>
      </c>
      <c r="Z13" s="93">
        <f t="shared" si="4"/>
        <v>0.17004847465378226</v>
      </c>
      <c r="AA13" s="93">
        <f t="shared" si="5"/>
        <v>-2.6197537467429921E-2</v>
      </c>
      <c r="AB13" s="80"/>
      <c r="AC13" s="15"/>
      <c r="AD13" s="81"/>
      <c r="AE13" s="93">
        <f>'Returns per Bu.'!AD13/'Economic Model'!C$30</f>
        <v>0.25394979160608705</v>
      </c>
      <c r="AF13" s="93">
        <f t="shared" si="6"/>
        <v>0.53271299796452465</v>
      </c>
      <c r="AG13" s="93">
        <f>'Returns per Bu.'!AF13/'Economic Model'!C$30</f>
        <v>0.78666278957061164</v>
      </c>
      <c r="AH13" s="105"/>
      <c r="AI13" s="104"/>
      <c r="AJ13" s="93">
        <f t="shared" si="7"/>
        <v>1.2493627895706116</v>
      </c>
      <c r="AK13" s="93">
        <f t="shared" si="8"/>
        <v>1.4456088016918238</v>
      </c>
      <c r="AL13" s="105"/>
      <c r="AM13" s="93"/>
      <c r="AN13" s="93">
        <f t="shared" si="9"/>
        <v>2.406298043702515E-2</v>
      </c>
      <c r="AO13" s="93">
        <f t="shared" si="10"/>
        <v>-0.17218303168418703</v>
      </c>
      <c r="AP13" s="93">
        <f t="shared" si="11"/>
        <v>-2.6197537467430032E-2</v>
      </c>
      <c r="AQ13" s="93">
        <f t="shared" si="12"/>
        <v>-0.14598549421675699</v>
      </c>
      <c r="AR13" s="52"/>
      <c r="AT13" s="72"/>
      <c r="AU13" s="72"/>
    </row>
    <row r="14" spans="1:47" hidden="1" x14ac:dyDescent="0.2">
      <c r="A14" s="8">
        <v>38504</v>
      </c>
      <c r="B14" s="8"/>
      <c r="C14" s="93">
        <f>Data!D7+'Economic Model'!C$65</f>
        <v>1.2507158081950489</v>
      </c>
      <c r="D14" s="95">
        <f>Data!E7+'Economic Model'!C$66</f>
        <v>73.014920176167905</v>
      </c>
      <c r="E14" s="323"/>
      <c r="F14" s="93">
        <f>Data!G7+'Economic Model'!C$68</f>
        <v>1.8691536183294688</v>
      </c>
      <c r="G14" s="96">
        <f>Data!H7+'Economic Model'!C$69</f>
        <v>7.65</v>
      </c>
      <c r="H14" s="17"/>
      <c r="I14" s="18"/>
      <c r="J14" s="93">
        <f t="shared" si="0"/>
        <v>1.2507158081950489</v>
      </c>
      <c r="K14" s="93">
        <f>D14/2000*('Economic Model'!C$32+0.5)/'Economic Model'!C$30</f>
        <v>0.21648283350477851</v>
      </c>
      <c r="L14" s="319"/>
      <c r="M14" s="93">
        <f t="shared" si="1"/>
        <v>1.4671986416998275</v>
      </c>
      <c r="N14" s="93"/>
      <c r="O14" s="104"/>
      <c r="P14" s="93">
        <f>F14/'Economic Model'!C$30</f>
        <v>0.65584337485244515</v>
      </c>
      <c r="Q14" s="93">
        <f>G14/1000*'Economic Model'!C$34</f>
        <v>0.22950000000000001</v>
      </c>
      <c r="R14" s="93">
        <f>('Economic Model'!H$44+'Economic Model'!H$53)/100</f>
        <v>0.21939999999999998</v>
      </c>
      <c r="S14" s="93">
        <f t="shared" si="2"/>
        <v>1.1047433748524451</v>
      </c>
      <c r="T14" s="93">
        <f>'Economic Model'!H$60/100</f>
        <v>0.19624601212121212</v>
      </c>
      <c r="U14" s="93">
        <f t="shared" si="3"/>
        <v>1.3009893869736573</v>
      </c>
      <c r="V14" s="93">
        <f t="shared" si="13"/>
        <v>1.0845065534688787</v>
      </c>
      <c r="W14" s="105"/>
      <c r="X14" s="93"/>
      <c r="Y14" s="93">
        <f>M14-P14-Q14-('Economic Model'!H$50/100)</f>
        <v>0.54335526684738233</v>
      </c>
      <c r="Z14" s="93">
        <f t="shared" si="4"/>
        <v>0.36245526684738238</v>
      </c>
      <c r="AA14" s="93">
        <f t="shared" si="5"/>
        <v>0.16620925472617021</v>
      </c>
      <c r="AB14" s="80"/>
      <c r="AC14" s="15"/>
      <c r="AD14" s="81"/>
      <c r="AE14" s="93">
        <f>'Returns per Bu.'!AD14/'Economic Model'!C$30</f>
        <v>0.25394979160608705</v>
      </c>
      <c r="AF14" s="93">
        <f t="shared" si="6"/>
        <v>0.53271299796452465</v>
      </c>
      <c r="AG14" s="93">
        <f>'Returns per Bu.'!AF14/'Economic Model'!C$30</f>
        <v>0.78666278957061164</v>
      </c>
      <c r="AH14" s="105"/>
      <c r="AI14" s="104"/>
      <c r="AJ14" s="93">
        <f t="shared" si="7"/>
        <v>1.2355627895706116</v>
      </c>
      <c r="AK14" s="93">
        <f t="shared" si="8"/>
        <v>1.4318088016918238</v>
      </c>
      <c r="AL14" s="105"/>
      <c r="AM14" s="93"/>
      <c r="AN14" s="93">
        <f t="shared" si="9"/>
        <v>0.23163585212921589</v>
      </c>
      <c r="AO14" s="93">
        <f t="shared" si="10"/>
        <v>3.5389840008003715E-2</v>
      </c>
      <c r="AP14" s="93">
        <f t="shared" si="11"/>
        <v>0.16620925472617021</v>
      </c>
      <c r="AQ14" s="93">
        <f t="shared" si="12"/>
        <v>-0.13081941471816649</v>
      </c>
      <c r="AR14" s="52"/>
      <c r="AT14" s="72"/>
      <c r="AU14" s="72"/>
    </row>
    <row r="15" spans="1:47" hidden="1" x14ac:dyDescent="0.2">
      <c r="A15" s="6">
        <v>38534</v>
      </c>
      <c r="B15" s="6"/>
      <c r="C15" s="93">
        <f>Data!D8+'Economic Model'!C$65</f>
        <v>1.5677986891459064</v>
      </c>
      <c r="D15" s="95">
        <f>Data!E8+'Economic Model'!C$66</f>
        <v>76.85781071175569</v>
      </c>
      <c r="E15" s="323"/>
      <c r="F15" s="93">
        <f>Data!G8+'Economic Model'!C$68</f>
        <v>1.9978025745801133</v>
      </c>
      <c r="G15" s="96">
        <f>Data!H8+'Economic Model'!C$69</f>
        <v>7.92</v>
      </c>
      <c r="H15" s="17"/>
      <c r="I15" s="18"/>
      <c r="J15" s="93">
        <f t="shared" si="0"/>
        <v>1.5677986891459064</v>
      </c>
      <c r="K15" s="93">
        <f>D15/2000*('Economic Model'!C$32+0.5)/'Economic Model'!C$30</f>
        <v>0.22787666684713528</v>
      </c>
      <c r="L15" s="319"/>
      <c r="M15" s="93">
        <f t="shared" si="1"/>
        <v>1.7956753559930416</v>
      </c>
      <c r="N15" s="93"/>
      <c r="O15" s="104"/>
      <c r="P15" s="93">
        <f>F15/'Economic Model'!C$30</f>
        <v>0.70098335950179413</v>
      </c>
      <c r="Q15" s="93">
        <f>G15/1000*'Economic Model'!C$34</f>
        <v>0.23760000000000001</v>
      </c>
      <c r="R15" s="93">
        <f>('Economic Model'!H$44+'Economic Model'!H$53)/100</f>
        <v>0.21939999999999998</v>
      </c>
      <c r="S15" s="93">
        <f t="shared" si="2"/>
        <v>1.1579833595017941</v>
      </c>
      <c r="T15" s="93">
        <f>'Economic Model'!H$60/100</f>
        <v>0.19624601212121212</v>
      </c>
      <c r="U15" s="93">
        <f t="shared" si="3"/>
        <v>1.3542293716230063</v>
      </c>
      <c r="V15" s="93">
        <f t="shared" si="13"/>
        <v>1.126352704775871</v>
      </c>
      <c r="W15" s="105"/>
      <c r="X15" s="93"/>
      <c r="Y15" s="93">
        <f>M15-P15-Q15-('Economic Model'!H$50/100)</f>
        <v>0.81859199649124736</v>
      </c>
      <c r="Z15" s="93">
        <f t="shared" si="4"/>
        <v>0.63769199649124753</v>
      </c>
      <c r="AA15" s="93">
        <f t="shared" si="5"/>
        <v>0.44144598437003535</v>
      </c>
      <c r="AB15" s="80"/>
      <c r="AC15" s="15"/>
      <c r="AD15" s="81"/>
      <c r="AE15" s="93">
        <f>'Returns per Bu.'!AD15/'Economic Model'!C$30</f>
        <v>0.25394979160608705</v>
      </c>
      <c r="AF15" s="93">
        <f t="shared" si="6"/>
        <v>0.53271299796452465</v>
      </c>
      <c r="AG15" s="93">
        <f>'Returns per Bu.'!AF15/'Economic Model'!C$30</f>
        <v>0.78666278957061164</v>
      </c>
      <c r="AH15" s="105"/>
      <c r="AI15" s="104"/>
      <c r="AJ15" s="93">
        <f t="shared" si="7"/>
        <v>1.2436627895706116</v>
      </c>
      <c r="AK15" s="93">
        <f t="shared" si="8"/>
        <v>1.4399088016918238</v>
      </c>
      <c r="AL15" s="105"/>
      <c r="AM15" s="93"/>
      <c r="AN15" s="93">
        <f t="shared" si="9"/>
        <v>0.55201256642243002</v>
      </c>
      <c r="AO15" s="93">
        <f t="shared" si="10"/>
        <v>0.35576655430121784</v>
      </c>
      <c r="AP15" s="93">
        <f t="shared" si="11"/>
        <v>0.44144598437003535</v>
      </c>
      <c r="AQ15" s="93">
        <f t="shared" si="12"/>
        <v>-8.5679430068817508E-2</v>
      </c>
      <c r="AR15" s="52"/>
      <c r="AT15" s="72"/>
      <c r="AU15" s="72"/>
    </row>
    <row r="16" spans="1:47" hidden="1" x14ac:dyDescent="0.2">
      <c r="A16" s="8">
        <v>38565</v>
      </c>
      <c r="B16" s="8"/>
      <c r="C16" s="93">
        <f>Data!D9+'Economic Model'!C$65</f>
        <v>1.8232265654674302</v>
      </c>
      <c r="D16" s="95">
        <f>Data!E9+'Economic Model'!C$66</f>
        <v>76.85781071175569</v>
      </c>
      <c r="E16" s="323"/>
      <c r="F16" s="93">
        <f>Data!G9+'Economic Model'!C$68</f>
        <v>1.7459501205444605</v>
      </c>
      <c r="G16" s="96">
        <f>Data!H9+'Economic Model'!C$69</f>
        <v>9.24</v>
      </c>
      <c r="H16" s="17"/>
      <c r="I16" s="18"/>
      <c r="J16" s="93">
        <f t="shared" si="0"/>
        <v>1.8232265654674302</v>
      </c>
      <c r="K16" s="93">
        <f>D16/2000*('Economic Model'!C$32+0.5)/'Economic Model'!C$30</f>
        <v>0.22787666684713528</v>
      </c>
      <c r="L16" s="319"/>
      <c r="M16" s="93">
        <f t="shared" si="1"/>
        <v>2.0511032323145657</v>
      </c>
      <c r="N16" s="93"/>
      <c r="O16" s="104"/>
      <c r="P16" s="93">
        <f>F16/'Economic Model'!C$30</f>
        <v>0.61261407738402118</v>
      </c>
      <c r="Q16" s="93">
        <f>G16/1000*'Economic Model'!C$34</f>
        <v>0.2772</v>
      </c>
      <c r="R16" s="93">
        <f>('Economic Model'!H$44+'Economic Model'!H$53)/100</f>
        <v>0.21939999999999998</v>
      </c>
      <c r="S16" s="93">
        <f t="shared" si="2"/>
        <v>1.1092140773840211</v>
      </c>
      <c r="T16" s="93">
        <f>'Economic Model'!H$60/100</f>
        <v>0.19624601212121212</v>
      </c>
      <c r="U16" s="93">
        <f t="shared" si="3"/>
        <v>1.3054600895052333</v>
      </c>
      <c r="V16" s="93">
        <f t="shared" si="13"/>
        <v>1.077583422658098</v>
      </c>
      <c r="W16" s="105"/>
      <c r="X16" s="93"/>
      <c r="Y16" s="93">
        <f>M16-P16-Q16-('Economic Model'!H$50/100)</f>
        <v>1.1227891549305444</v>
      </c>
      <c r="Z16" s="93">
        <f t="shared" si="4"/>
        <v>0.94188915493054459</v>
      </c>
      <c r="AA16" s="93">
        <f t="shared" si="5"/>
        <v>0.74564314280933242</v>
      </c>
      <c r="AB16" s="80"/>
      <c r="AC16" s="15"/>
      <c r="AD16" s="81"/>
      <c r="AE16" s="93">
        <f>'Returns per Bu.'!AD16/'Economic Model'!C$30</f>
        <v>0.25394979160608705</v>
      </c>
      <c r="AF16" s="93">
        <f t="shared" si="6"/>
        <v>0.53271299796452465</v>
      </c>
      <c r="AG16" s="93">
        <f>'Returns per Bu.'!AF16/'Economic Model'!C$30</f>
        <v>0.78666278957061164</v>
      </c>
      <c r="AH16" s="105"/>
      <c r="AI16" s="104"/>
      <c r="AJ16" s="93">
        <f t="shared" si="7"/>
        <v>1.2832627895706117</v>
      </c>
      <c r="AK16" s="93">
        <f t="shared" si="8"/>
        <v>1.4795088016918239</v>
      </c>
      <c r="AL16" s="105"/>
      <c r="AM16" s="93"/>
      <c r="AN16" s="93">
        <f t="shared" si="9"/>
        <v>0.76784044274395402</v>
      </c>
      <c r="AO16" s="93">
        <f t="shared" si="10"/>
        <v>0.57159443062274184</v>
      </c>
      <c r="AP16" s="93">
        <f t="shared" si="11"/>
        <v>0.7456431428093323</v>
      </c>
      <c r="AQ16" s="93">
        <f t="shared" si="12"/>
        <v>-0.17404871218659046</v>
      </c>
      <c r="AR16" s="52"/>
      <c r="AT16" s="72"/>
      <c r="AU16" s="72"/>
    </row>
    <row r="17" spans="1:47" hidden="1" x14ac:dyDescent="0.2">
      <c r="A17" s="6">
        <v>38596</v>
      </c>
      <c r="B17" s="6"/>
      <c r="C17" s="93">
        <f>Data!D10+'Economic Model'!C$65</f>
        <v>2.4133530383481934</v>
      </c>
      <c r="D17" s="95">
        <f>Data!E10+'Economic Model'!C$66</f>
        <v>74.93636544396179</v>
      </c>
      <c r="E17" s="323"/>
      <c r="F17" s="93">
        <f>Data!G10+'Economic Model'!C$68</f>
        <v>1.5764602258015483</v>
      </c>
      <c r="G17" s="96">
        <f>Data!H10+'Economic Model'!C$69</f>
        <v>10.27</v>
      </c>
      <c r="H17" s="17"/>
      <c r="I17" s="18"/>
      <c r="J17" s="93">
        <f t="shared" si="0"/>
        <v>2.4133530383481934</v>
      </c>
      <c r="K17" s="93">
        <f>D17/2000*('Economic Model'!C$32+0.5)/'Economic Model'!C$30</f>
        <v>0.22217975017595687</v>
      </c>
      <c r="L17" s="319"/>
      <c r="M17" s="93">
        <f t="shared" si="1"/>
        <v>2.6355327885241504</v>
      </c>
      <c r="N17" s="93"/>
      <c r="O17" s="104"/>
      <c r="P17" s="93">
        <f>F17/'Economic Model'!C$30</f>
        <v>0.55314393887773627</v>
      </c>
      <c r="Q17" s="93">
        <f>G17/1000*'Economic Model'!C$34</f>
        <v>0.30809999999999998</v>
      </c>
      <c r="R17" s="93">
        <f>('Economic Model'!H$44+'Economic Model'!H$53)/100</f>
        <v>0.21939999999999998</v>
      </c>
      <c r="S17" s="93">
        <f t="shared" si="2"/>
        <v>1.0806439388777362</v>
      </c>
      <c r="T17" s="93">
        <f>'Economic Model'!H$60/100</f>
        <v>0.19624601212121212</v>
      </c>
      <c r="U17" s="93">
        <f t="shared" si="3"/>
        <v>1.2768899509989484</v>
      </c>
      <c r="V17" s="93">
        <f t="shared" si="13"/>
        <v>1.0547102008229916</v>
      </c>
      <c r="W17" s="105"/>
      <c r="X17" s="93"/>
      <c r="Y17" s="93">
        <f>M17-P17-Q17-('Economic Model'!H$50/100)</f>
        <v>1.735788849646414</v>
      </c>
      <c r="Z17" s="93">
        <f t="shared" si="4"/>
        <v>1.5548888496464142</v>
      </c>
      <c r="AA17" s="93">
        <f t="shared" si="5"/>
        <v>1.358642837525202</v>
      </c>
      <c r="AB17" s="80"/>
      <c r="AC17" s="15"/>
      <c r="AD17" s="81"/>
      <c r="AE17" s="93">
        <f>'Returns per Bu.'!AD17/'Economic Model'!C$30</f>
        <v>0.27380590203833283</v>
      </c>
      <c r="AF17" s="93">
        <f t="shared" si="6"/>
        <v>0.6268329783997566</v>
      </c>
      <c r="AG17" s="93">
        <f>'Returns per Bu.'!AF17/'Economic Model'!C$30</f>
        <v>0.90063888043808937</v>
      </c>
      <c r="AH17" s="105"/>
      <c r="AI17" s="104"/>
      <c r="AJ17" s="93">
        <f t="shared" si="7"/>
        <v>1.4281388804380895</v>
      </c>
      <c r="AK17" s="93">
        <f t="shared" si="8"/>
        <v>1.6243848925593016</v>
      </c>
      <c r="AL17" s="105"/>
      <c r="AM17" s="93"/>
      <c r="AN17" s="93">
        <f t="shared" si="9"/>
        <v>1.207393908086061</v>
      </c>
      <c r="AO17" s="93">
        <f t="shared" si="10"/>
        <v>1.0111478959648488</v>
      </c>
      <c r="AP17" s="93">
        <f t="shared" si="11"/>
        <v>1.3586428375252018</v>
      </c>
      <c r="AQ17" s="93">
        <f t="shared" si="12"/>
        <v>-0.3474949415603531</v>
      </c>
      <c r="AR17" s="52"/>
      <c r="AT17" s="72"/>
      <c r="AU17" s="72"/>
    </row>
    <row r="18" spans="1:47" hidden="1" x14ac:dyDescent="0.2">
      <c r="A18" s="8">
        <v>38626</v>
      </c>
      <c r="B18" s="8"/>
      <c r="C18" s="93">
        <f>Data!D11+'Economic Model'!C$65</f>
        <v>2.1755408776350502</v>
      </c>
      <c r="D18" s="95">
        <f>Data!E11+'Economic Model'!C$66</f>
        <v>74.93636544396179</v>
      </c>
      <c r="E18" s="323"/>
      <c r="F18" s="93">
        <f>Data!G11+'Economic Model'!C$68</f>
        <v>1.4847382847709956</v>
      </c>
      <c r="G18" s="96">
        <f>Data!H11+'Economic Model'!C$69</f>
        <v>11.53</v>
      </c>
      <c r="H18" s="17"/>
      <c r="I18" s="18"/>
      <c r="J18" s="93">
        <f t="shared" si="0"/>
        <v>2.1755408776350502</v>
      </c>
      <c r="K18" s="93">
        <f>D18/2000*('Economic Model'!C$32+0.5)/'Economic Model'!C$30</f>
        <v>0.22217975017595687</v>
      </c>
      <c r="L18" s="319"/>
      <c r="M18" s="93">
        <f t="shared" si="1"/>
        <v>2.3977206278110073</v>
      </c>
      <c r="N18" s="93"/>
      <c r="O18" s="104"/>
      <c r="P18" s="93">
        <f>F18/'Economic Model'!C$30</f>
        <v>0.52096080167403347</v>
      </c>
      <c r="Q18" s="93">
        <f>G18/1000*'Economic Model'!C$34</f>
        <v>0.34589999999999999</v>
      </c>
      <c r="R18" s="93">
        <f>('Economic Model'!H$44+'Economic Model'!H$53)/100</f>
        <v>0.21939999999999998</v>
      </c>
      <c r="S18" s="93">
        <f t="shared" si="2"/>
        <v>1.0862608016740334</v>
      </c>
      <c r="T18" s="93">
        <f>'Economic Model'!H$60/100</f>
        <v>0.19624601212121212</v>
      </c>
      <c r="U18" s="93">
        <f t="shared" si="3"/>
        <v>1.2825068137952456</v>
      </c>
      <c r="V18" s="93">
        <f t="shared" si="13"/>
        <v>1.0603270636192887</v>
      </c>
      <c r="W18" s="105"/>
      <c r="X18" s="93"/>
      <c r="Y18" s="93">
        <f>M18-P18-Q18-('Economic Model'!H$50/100)</f>
        <v>1.4923598261369739</v>
      </c>
      <c r="Z18" s="93">
        <f t="shared" si="4"/>
        <v>1.3114598261369739</v>
      </c>
      <c r="AA18" s="93">
        <f t="shared" si="5"/>
        <v>1.1152138140157617</v>
      </c>
      <c r="AB18" s="80"/>
      <c r="AC18" s="15"/>
      <c r="AD18" s="81"/>
      <c r="AE18" s="93">
        <f>'Returns per Bu.'!AD18/'Economic Model'!C$30</f>
        <v>0.27380590203833283</v>
      </c>
      <c r="AF18" s="93">
        <f t="shared" si="6"/>
        <v>0.6268329783997566</v>
      </c>
      <c r="AG18" s="93">
        <f>'Returns per Bu.'!AF18/'Economic Model'!C$30</f>
        <v>0.90063888043808937</v>
      </c>
      <c r="AH18" s="105"/>
      <c r="AI18" s="104"/>
      <c r="AJ18" s="93">
        <f t="shared" si="7"/>
        <v>1.4659388804380893</v>
      </c>
      <c r="AK18" s="93">
        <f t="shared" si="8"/>
        <v>1.6621848925593015</v>
      </c>
      <c r="AL18" s="105"/>
      <c r="AM18" s="93"/>
      <c r="AN18" s="93">
        <f t="shared" si="9"/>
        <v>0.93178174737291797</v>
      </c>
      <c r="AO18" s="93">
        <f t="shared" si="10"/>
        <v>0.73553573525170579</v>
      </c>
      <c r="AP18" s="93">
        <f t="shared" si="11"/>
        <v>1.1152138140157617</v>
      </c>
      <c r="AQ18" s="93">
        <f t="shared" si="12"/>
        <v>-0.3796780787640559</v>
      </c>
      <c r="AR18" s="52"/>
      <c r="AT18" s="72"/>
      <c r="AU18" s="72"/>
    </row>
    <row r="19" spans="1:47" hidden="1" x14ac:dyDescent="0.2">
      <c r="A19" s="6">
        <v>38657</v>
      </c>
      <c r="B19" s="6"/>
      <c r="C19" s="93">
        <f>Data!D12+'Economic Model'!C$65</f>
        <v>1.8408422810758114</v>
      </c>
      <c r="D19" s="95">
        <f>Data!E12+'Economic Model'!C$66</f>
        <v>74.93636544396179</v>
      </c>
      <c r="E19" s="323"/>
      <c r="F19" s="93">
        <f>Data!G12+'Economic Model'!C$68</f>
        <v>1.5306843405747976</v>
      </c>
      <c r="G19" s="96">
        <f>Data!H12+'Economic Model'!C$69</f>
        <v>12.18</v>
      </c>
      <c r="H19" s="17"/>
      <c r="I19" s="18"/>
      <c r="J19" s="93">
        <f t="shared" si="0"/>
        <v>1.8408422810758114</v>
      </c>
      <c r="K19" s="93">
        <f>D19/2000*('Economic Model'!C$32+0.5)/'Economic Model'!C$30</f>
        <v>0.22217975017595687</v>
      </c>
      <c r="L19" s="319"/>
      <c r="M19" s="93">
        <f t="shared" si="1"/>
        <v>2.0630220312517684</v>
      </c>
      <c r="N19" s="93"/>
      <c r="O19" s="104"/>
      <c r="P19" s="93">
        <f>F19/'Economic Model'!C$30</f>
        <v>0.53708222476308687</v>
      </c>
      <c r="Q19" s="93">
        <f>G19/1000*'Economic Model'!C$34</f>
        <v>0.3654</v>
      </c>
      <c r="R19" s="93">
        <f>('Economic Model'!H$44+'Economic Model'!H$53)/100</f>
        <v>0.21939999999999998</v>
      </c>
      <c r="S19" s="93">
        <f t="shared" si="2"/>
        <v>1.1218822247630869</v>
      </c>
      <c r="T19" s="93">
        <f>'Economic Model'!H$60/100</f>
        <v>0.19624601212121212</v>
      </c>
      <c r="U19" s="93">
        <f t="shared" si="3"/>
        <v>1.318128236884299</v>
      </c>
      <c r="V19" s="93">
        <f t="shared" si="13"/>
        <v>1.0959484867083422</v>
      </c>
      <c r="W19" s="105"/>
      <c r="X19" s="93"/>
      <c r="Y19" s="93">
        <f>M19-P19-Q19-('Economic Model'!H$50/100)</f>
        <v>1.1220398064886816</v>
      </c>
      <c r="Z19" s="93">
        <f t="shared" si="4"/>
        <v>0.94113980648868156</v>
      </c>
      <c r="AA19" s="93">
        <f t="shared" si="5"/>
        <v>0.74489379436746939</v>
      </c>
      <c r="AB19" s="80"/>
      <c r="AC19" s="15"/>
      <c r="AD19" s="81"/>
      <c r="AE19" s="93">
        <f>'Returns per Bu.'!AD19/'Economic Model'!C$30</f>
        <v>0.27380590203833283</v>
      </c>
      <c r="AF19" s="93">
        <f t="shared" si="6"/>
        <v>0.6268329783997566</v>
      </c>
      <c r="AG19" s="93">
        <f>'Returns per Bu.'!AF19/'Economic Model'!C$30</f>
        <v>0.90063888043808937</v>
      </c>
      <c r="AH19" s="105"/>
      <c r="AI19" s="104"/>
      <c r="AJ19" s="93">
        <f t="shared" si="7"/>
        <v>1.4854388804380894</v>
      </c>
      <c r="AK19" s="93">
        <f t="shared" si="8"/>
        <v>1.6816848925593015</v>
      </c>
      <c r="AL19" s="105"/>
      <c r="AM19" s="93"/>
      <c r="AN19" s="93">
        <f t="shared" si="9"/>
        <v>0.57758315081367906</v>
      </c>
      <c r="AO19" s="93">
        <f t="shared" si="10"/>
        <v>0.38133713869246688</v>
      </c>
      <c r="AP19" s="93">
        <f t="shared" si="11"/>
        <v>0.74489379436746939</v>
      </c>
      <c r="AQ19" s="93">
        <f t="shared" si="12"/>
        <v>-0.3635566556750025</v>
      </c>
      <c r="AR19" s="52"/>
      <c r="AT19" s="72"/>
      <c r="AU19" s="72"/>
    </row>
    <row r="20" spans="1:47" hidden="1" x14ac:dyDescent="0.2">
      <c r="A20" s="68">
        <v>38687</v>
      </c>
      <c r="B20" s="68"/>
      <c r="C20" s="97">
        <f>Data!D13+'Economic Model'!C$65</f>
        <v>1.7527637030339065</v>
      </c>
      <c r="D20" s="99">
        <f>Data!E13+'Economic Model'!C$66</f>
        <v>84.15930272937247</v>
      </c>
      <c r="E20" s="324"/>
      <c r="F20" s="97">
        <f>Data!G13+'Economic Model'!C$68</f>
        <v>1.7132773697506458</v>
      </c>
      <c r="G20" s="100">
        <f>Data!H13+'Economic Model'!C$69</f>
        <v>12.05</v>
      </c>
      <c r="H20" s="65"/>
      <c r="I20" s="66"/>
      <c r="J20" s="97">
        <f t="shared" si="0"/>
        <v>1.7527637030339065</v>
      </c>
      <c r="K20" s="97">
        <f>D20/2000*('Economic Model'!C$32+0.5)/'Economic Model'!C$30</f>
        <v>0.24952495019761309</v>
      </c>
      <c r="L20" s="320"/>
      <c r="M20" s="97">
        <f t="shared" si="1"/>
        <v>2.0022886532315196</v>
      </c>
      <c r="N20" s="97"/>
      <c r="O20" s="106"/>
      <c r="P20" s="97">
        <f>F20/'Economic Model'!C$30</f>
        <v>0.60114995429847218</v>
      </c>
      <c r="Q20" s="97">
        <f>G20/1000*'Economic Model'!C$34</f>
        <v>0.36149999999999999</v>
      </c>
      <c r="R20" s="97">
        <f>('Economic Model'!H$44+'Economic Model'!H$53)/100</f>
        <v>0.21939999999999998</v>
      </c>
      <c r="S20" s="97">
        <f t="shared" si="2"/>
        <v>1.1820499542984721</v>
      </c>
      <c r="T20" s="97">
        <f>'Economic Model'!H$60/100</f>
        <v>0.19624601212121212</v>
      </c>
      <c r="U20" s="97">
        <f t="shared" si="3"/>
        <v>1.3782959664196843</v>
      </c>
      <c r="V20" s="97">
        <f t="shared" si="13"/>
        <v>1.1287710162220712</v>
      </c>
      <c r="W20" s="107"/>
      <c r="X20" s="97"/>
      <c r="Y20" s="93">
        <f>M20-P20-Q20-('Economic Model'!H$50/100)</f>
        <v>1.0011386989330475</v>
      </c>
      <c r="Z20" s="97">
        <f t="shared" si="4"/>
        <v>0.82023869893304746</v>
      </c>
      <c r="AA20" s="97">
        <f t="shared" si="5"/>
        <v>0.62399268681183528</v>
      </c>
      <c r="AB20" s="82"/>
      <c r="AC20" s="15"/>
      <c r="AD20" s="83"/>
      <c r="AE20" s="97">
        <f>'Returns per Bu.'!AD20/'Economic Model'!C$30</f>
        <v>0.27380590203833283</v>
      </c>
      <c r="AF20" s="97">
        <f t="shared" si="6"/>
        <v>0.6268329783997566</v>
      </c>
      <c r="AG20" s="97">
        <f>'Returns per Bu.'!AF20/'Economic Model'!C$30</f>
        <v>0.90063888043808937</v>
      </c>
      <c r="AH20" s="107"/>
      <c r="AI20" s="106"/>
      <c r="AJ20" s="97">
        <f t="shared" si="7"/>
        <v>1.4815388804380893</v>
      </c>
      <c r="AK20" s="97">
        <f t="shared" si="8"/>
        <v>1.6777848925593015</v>
      </c>
      <c r="AL20" s="107"/>
      <c r="AM20" s="97"/>
      <c r="AN20" s="97">
        <f t="shared" si="9"/>
        <v>0.52074977279343027</v>
      </c>
      <c r="AO20" s="97">
        <f t="shared" si="10"/>
        <v>0.32450376067221809</v>
      </c>
      <c r="AP20" s="97">
        <f t="shared" si="11"/>
        <v>0.62399268681183528</v>
      </c>
      <c r="AQ20" s="97">
        <f t="shared" si="12"/>
        <v>-0.2994889261396172</v>
      </c>
      <c r="AR20" s="64"/>
      <c r="AT20" s="72"/>
      <c r="AU20" s="72"/>
    </row>
    <row r="21" spans="1:47" hidden="1" x14ac:dyDescent="0.2">
      <c r="A21" s="21">
        <v>38718</v>
      </c>
      <c r="B21" s="6"/>
      <c r="C21" s="93">
        <f>Data!D14+'Economic Model'!C$65</f>
        <v>1.8760737122925732</v>
      </c>
      <c r="D21" s="95">
        <f>Data!E14+'Economic Model'!C$66</f>
        <v>88.386482318519043</v>
      </c>
      <c r="E21" s="323"/>
      <c r="F21" s="93">
        <f>Data!G14+'Economic Model'!C$68</f>
        <v>1.7825367946104507</v>
      </c>
      <c r="G21" s="96">
        <f>Data!H14+'Economic Model'!C$69</f>
        <v>10.95</v>
      </c>
      <c r="H21" s="17"/>
      <c r="I21" s="18"/>
      <c r="J21" s="93">
        <f t="shared" si="0"/>
        <v>1.8760737122925732</v>
      </c>
      <c r="K21" s="93">
        <f>D21/2000*('Economic Model'!C$32+0.5)/'Economic Model'!C$30</f>
        <v>0.26205816687420558</v>
      </c>
      <c r="L21" s="319"/>
      <c r="M21" s="93">
        <f t="shared" si="1"/>
        <v>2.1381318791667789</v>
      </c>
      <c r="N21" s="93"/>
      <c r="O21" s="104"/>
      <c r="P21" s="93">
        <f>F21/'Economic Model'!C$30</f>
        <v>0.62545150688085982</v>
      </c>
      <c r="Q21" s="93">
        <f>G21/1000*'Economic Model'!C$34</f>
        <v>0.32850000000000001</v>
      </c>
      <c r="R21" s="93">
        <f>('Economic Model'!H$44+'Economic Model'!H$53)/100</f>
        <v>0.21939999999999998</v>
      </c>
      <c r="S21" s="93">
        <f t="shared" si="2"/>
        <v>1.1733515068808598</v>
      </c>
      <c r="T21" s="93">
        <f>'Economic Model'!H$60/100</f>
        <v>0.19624601212121212</v>
      </c>
      <c r="U21" s="93">
        <f t="shared" si="3"/>
        <v>1.3695975190020719</v>
      </c>
      <c r="V21" s="93">
        <f t="shared" si="13"/>
        <v>1.1075393521278665</v>
      </c>
      <c r="W21" s="105"/>
      <c r="X21" s="93"/>
      <c r="Y21" s="101">
        <f>M21-P21-Q21-('Economic Model'!H$50/100)</f>
        <v>1.145680372285919</v>
      </c>
      <c r="Z21" s="93">
        <f t="shared" si="4"/>
        <v>0.96478037228591917</v>
      </c>
      <c r="AA21" s="93">
        <f t="shared" si="5"/>
        <v>0.768534360164707</v>
      </c>
      <c r="AB21" s="80"/>
      <c r="AC21" s="15"/>
      <c r="AD21" s="81"/>
      <c r="AE21" s="93">
        <f>'Returns per Bu.'!AD21/'Economic Model'!C$30</f>
        <v>0.27380590203833283</v>
      </c>
      <c r="AF21" s="93">
        <f t="shared" si="6"/>
        <v>0.6268329783997566</v>
      </c>
      <c r="AG21" s="93">
        <f>'Returns per Bu.'!AF21/'Economic Model'!C$30</f>
        <v>0.90063888043808937</v>
      </c>
      <c r="AH21" s="105"/>
      <c r="AI21" s="104"/>
      <c r="AJ21" s="93">
        <f t="shared" si="7"/>
        <v>1.4485388804380894</v>
      </c>
      <c r="AK21" s="93">
        <f t="shared" si="8"/>
        <v>1.6447848925593016</v>
      </c>
      <c r="AL21" s="105"/>
      <c r="AM21" s="93"/>
      <c r="AN21" s="93">
        <f t="shared" si="9"/>
        <v>0.68959299872868951</v>
      </c>
      <c r="AO21" s="93">
        <f t="shared" si="10"/>
        <v>0.49334698660747733</v>
      </c>
      <c r="AP21" s="93">
        <f t="shared" si="11"/>
        <v>0.76853436016470689</v>
      </c>
      <c r="AQ21" s="93">
        <f t="shared" si="12"/>
        <v>-0.27518737355722955</v>
      </c>
      <c r="AR21" s="52"/>
      <c r="AT21" s="72"/>
      <c r="AU21" s="72"/>
    </row>
    <row r="22" spans="1:47" hidden="1" x14ac:dyDescent="0.2">
      <c r="A22" s="8">
        <v>38749</v>
      </c>
      <c r="B22" s="8"/>
      <c r="C22" s="93">
        <f>Data!D15+'Economic Model'!C$65</f>
        <v>2.2195801666560024</v>
      </c>
      <c r="D22" s="95">
        <f>Data!E15+'Economic Model'!C$66</f>
        <v>91.268650220209878</v>
      </c>
      <c r="E22" s="323"/>
      <c r="F22" s="93">
        <f>Data!G15+'Economic Model'!C$68</f>
        <v>1.8880425523821436</v>
      </c>
      <c r="G22" s="96">
        <f>Data!H15+'Economic Model'!C$69</f>
        <v>10.210000000000001</v>
      </c>
      <c r="H22" s="17"/>
      <c r="I22" s="18"/>
      <c r="J22" s="93">
        <f t="shared" si="0"/>
        <v>2.2195801666560024</v>
      </c>
      <c r="K22" s="93">
        <f>D22/2000*('Economic Model'!C$32+0.5)/'Economic Model'!C$30</f>
        <v>0.27060354188097313</v>
      </c>
      <c r="L22" s="319"/>
      <c r="M22" s="93">
        <f t="shared" si="1"/>
        <v>2.4901837085369758</v>
      </c>
      <c r="N22" s="93"/>
      <c r="O22" s="104"/>
      <c r="P22" s="93">
        <f>F22/'Economic Model'!C$30</f>
        <v>0.66247107101127845</v>
      </c>
      <c r="Q22" s="93">
        <f>G22/1000*'Economic Model'!C$34</f>
        <v>0.30630000000000002</v>
      </c>
      <c r="R22" s="93">
        <f>('Economic Model'!H$44+'Economic Model'!H$53)/100</f>
        <v>0.21939999999999998</v>
      </c>
      <c r="S22" s="93">
        <f t="shared" si="2"/>
        <v>1.1881710710112785</v>
      </c>
      <c r="T22" s="93">
        <f>'Economic Model'!H$60/100</f>
        <v>0.19624601212121212</v>
      </c>
      <c r="U22" s="93">
        <f t="shared" si="3"/>
        <v>1.3844170831324907</v>
      </c>
      <c r="V22" s="93">
        <f t="shared" si="13"/>
        <v>1.1138135412515175</v>
      </c>
      <c r="W22" s="105"/>
      <c r="X22" s="93"/>
      <c r="Y22" s="93">
        <f>M22-P22-Q22-('Economic Model'!H$50/100)</f>
        <v>1.4829126375256974</v>
      </c>
      <c r="Z22" s="93">
        <f t="shared" si="4"/>
        <v>1.3020126375256973</v>
      </c>
      <c r="AA22" s="93">
        <f t="shared" si="5"/>
        <v>1.1057666254044851</v>
      </c>
      <c r="AB22" s="80"/>
      <c r="AC22" s="15"/>
      <c r="AD22" s="81"/>
      <c r="AE22" s="93">
        <f>'Returns per Bu.'!AD22/'Economic Model'!C$30</f>
        <v>0.27380590203833283</v>
      </c>
      <c r="AF22" s="93">
        <f t="shared" si="6"/>
        <v>0.6268329783997566</v>
      </c>
      <c r="AG22" s="93">
        <f>'Returns per Bu.'!AF22/'Economic Model'!C$30</f>
        <v>0.90063888043808937</v>
      </c>
      <c r="AH22" s="105"/>
      <c r="AI22" s="104"/>
      <c r="AJ22" s="93">
        <f t="shared" si="7"/>
        <v>1.4263388804380894</v>
      </c>
      <c r="AK22" s="93">
        <f t="shared" si="8"/>
        <v>1.6225848925593016</v>
      </c>
      <c r="AL22" s="105"/>
      <c r="AM22" s="93"/>
      <c r="AN22" s="93">
        <f t="shared" si="9"/>
        <v>1.0638448280988864</v>
      </c>
      <c r="AO22" s="93">
        <f t="shared" si="10"/>
        <v>0.86759881597767419</v>
      </c>
      <c r="AP22" s="93">
        <f t="shared" si="11"/>
        <v>1.1057666254044851</v>
      </c>
      <c r="AQ22" s="93">
        <f t="shared" si="12"/>
        <v>-0.23816780942681093</v>
      </c>
      <c r="AR22" s="52"/>
      <c r="AT22" s="72"/>
      <c r="AU22" s="72"/>
    </row>
    <row r="23" spans="1:47" hidden="1" x14ac:dyDescent="0.2">
      <c r="A23" s="6">
        <v>38777</v>
      </c>
      <c r="B23" s="6"/>
      <c r="C23" s="93">
        <f>Data!D16+'Economic Model'!C$65</f>
        <v>2.1315015886140976</v>
      </c>
      <c r="D23" s="95">
        <f>Data!E16+'Economic Model'!C$66</f>
        <v>91.268650220209878</v>
      </c>
      <c r="E23" s="323"/>
      <c r="F23" s="93">
        <f>Data!G16+'Economic Model'!C$68</f>
        <v>1.8820865821853541</v>
      </c>
      <c r="G23" s="96">
        <f>Data!H16+'Economic Model'!C$69</f>
        <v>9.1999999999999993</v>
      </c>
      <c r="H23" s="17"/>
      <c r="I23" s="18"/>
      <c r="J23" s="93">
        <f t="shared" si="0"/>
        <v>2.1315015886140976</v>
      </c>
      <c r="K23" s="93">
        <f>D23/2000*('Economic Model'!C$32+0.5)/'Economic Model'!C$30</f>
        <v>0.27060354188097313</v>
      </c>
      <c r="L23" s="319"/>
      <c r="M23" s="93">
        <f t="shared" si="1"/>
        <v>2.4021051304950705</v>
      </c>
      <c r="N23" s="93"/>
      <c r="O23" s="104"/>
      <c r="P23" s="93">
        <f>F23/'Economic Model'!C$30</f>
        <v>0.66038125690714178</v>
      </c>
      <c r="Q23" s="93">
        <f>G23/1000*'Economic Model'!C$34</f>
        <v>0.27600000000000002</v>
      </c>
      <c r="R23" s="93">
        <f>('Economic Model'!H$44+'Economic Model'!H$53)/100</f>
        <v>0.21939999999999998</v>
      </c>
      <c r="S23" s="93">
        <f t="shared" si="2"/>
        <v>1.1557812569071417</v>
      </c>
      <c r="T23" s="93">
        <f>'Economic Model'!H$60/100</f>
        <v>0.19624601212121212</v>
      </c>
      <c r="U23" s="93">
        <f t="shared" si="3"/>
        <v>1.3520272690283539</v>
      </c>
      <c r="V23" s="93">
        <f t="shared" si="13"/>
        <v>1.0814237271473808</v>
      </c>
      <c r="W23" s="105"/>
      <c r="X23" s="93"/>
      <c r="Y23" s="93">
        <f>M23-P23-Q23-('Economic Model'!H$50/100)</f>
        <v>1.4272238735879286</v>
      </c>
      <c r="Z23" s="93">
        <f t="shared" si="4"/>
        <v>1.2463238735879287</v>
      </c>
      <c r="AA23" s="93">
        <f t="shared" si="5"/>
        <v>1.0500778614667166</v>
      </c>
      <c r="AB23" s="80"/>
      <c r="AC23" s="15"/>
      <c r="AD23" s="81"/>
      <c r="AE23" s="93">
        <f>'Returns per Bu.'!AD23/'Economic Model'!C$30</f>
        <v>0.27380590203833283</v>
      </c>
      <c r="AF23" s="93">
        <f t="shared" si="6"/>
        <v>0.6268329783997566</v>
      </c>
      <c r="AG23" s="93">
        <f>'Returns per Bu.'!AF23/'Economic Model'!C$30</f>
        <v>0.90063888043808937</v>
      </c>
      <c r="AH23" s="105"/>
      <c r="AI23" s="104"/>
      <c r="AJ23" s="93">
        <f t="shared" si="7"/>
        <v>1.3960388804380894</v>
      </c>
      <c r="AK23" s="93">
        <f t="shared" si="8"/>
        <v>1.5922848925593016</v>
      </c>
      <c r="AL23" s="105"/>
      <c r="AM23" s="93"/>
      <c r="AN23" s="93">
        <f t="shared" si="9"/>
        <v>1.006066250056981</v>
      </c>
      <c r="AO23" s="93">
        <f t="shared" si="10"/>
        <v>0.80982023793576885</v>
      </c>
      <c r="AP23" s="93">
        <f t="shared" si="11"/>
        <v>1.0500778614667166</v>
      </c>
      <c r="AQ23" s="93">
        <f t="shared" si="12"/>
        <v>-0.24025762353094759</v>
      </c>
      <c r="AR23" s="52"/>
      <c r="AT23" s="72"/>
      <c r="AU23" s="72"/>
    </row>
    <row r="24" spans="1:47" hidden="1" x14ac:dyDescent="0.2">
      <c r="A24" s="8">
        <v>38808</v>
      </c>
      <c r="B24" s="8"/>
      <c r="C24" s="93">
        <f>Data!D17+'Economic Model'!C$65</f>
        <v>2.1579251620266691</v>
      </c>
      <c r="D24" s="95">
        <f>Data!E17+'Economic Model'!C$66</f>
        <v>88.386482318519043</v>
      </c>
      <c r="E24" s="323"/>
      <c r="F24" s="93">
        <f>Data!G17+'Economic Model'!C$68</f>
        <v>1.9867414870717905</v>
      </c>
      <c r="G24" s="96">
        <f>Data!H17+'Economic Model'!C$69</f>
        <v>8.6199999999999992</v>
      </c>
      <c r="H24" s="17"/>
      <c r="I24" s="18"/>
      <c r="J24" s="93">
        <f t="shared" si="0"/>
        <v>2.1579251620266691</v>
      </c>
      <c r="K24" s="93">
        <f>D24/2000*('Economic Model'!C$32+0.5)/'Economic Model'!C$30</f>
        <v>0.26205816687420558</v>
      </c>
      <c r="L24" s="319"/>
      <c r="M24" s="93">
        <f t="shared" si="1"/>
        <v>2.4199833289008748</v>
      </c>
      <c r="N24" s="93"/>
      <c r="O24" s="104"/>
      <c r="P24" s="93">
        <f>F24/'Economic Model'!C$30</f>
        <v>0.69710227616554055</v>
      </c>
      <c r="Q24" s="93">
        <f>G24/1000*'Economic Model'!C$34</f>
        <v>0.2586</v>
      </c>
      <c r="R24" s="93">
        <f>('Economic Model'!H$44+'Economic Model'!H$53)/100</f>
        <v>0.21939999999999998</v>
      </c>
      <c r="S24" s="93">
        <f t="shared" si="2"/>
        <v>1.1751022761655405</v>
      </c>
      <c r="T24" s="93">
        <f>'Economic Model'!H$60/100</f>
        <v>0.19624601212121212</v>
      </c>
      <c r="U24" s="93">
        <f t="shared" si="3"/>
        <v>1.3713482882867527</v>
      </c>
      <c r="V24" s="93">
        <f t="shared" si="13"/>
        <v>1.1092901214125472</v>
      </c>
      <c r="W24" s="105"/>
      <c r="X24" s="93"/>
      <c r="Y24" s="93">
        <f>M24-P24-Q24-('Economic Model'!H$50/100)</f>
        <v>1.4257810527353343</v>
      </c>
      <c r="Z24" s="93">
        <f t="shared" si="4"/>
        <v>1.2448810527353342</v>
      </c>
      <c r="AA24" s="93">
        <f t="shared" si="5"/>
        <v>1.048635040614122</v>
      </c>
      <c r="AB24" s="80"/>
      <c r="AC24" s="15"/>
      <c r="AD24" s="81"/>
      <c r="AE24" s="93">
        <f>'Returns per Bu.'!AD24/'Economic Model'!C$30</f>
        <v>0.27380590203833283</v>
      </c>
      <c r="AF24" s="93">
        <f t="shared" si="6"/>
        <v>0.6268329783997566</v>
      </c>
      <c r="AG24" s="93">
        <f>'Returns per Bu.'!AF24/'Economic Model'!C$30</f>
        <v>0.90063888043808937</v>
      </c>
      <c r="AH24" s="105"/>
      <c r="AI24" s="104"/>
      <c r="AJ24" s="93">
        <f t="shared" si="7"/>
        <v>1.3786388804380894</v>
      </c>
      <c r="AK24" s="93">
        <f t="shared" si="8"/>
        <v>1.5748848925593015</v>
      </c>
      <c r="AL24" s="105"/>
      <c r="AM24" s="93"/>
      <c r="AN24" s="93">
        <f t="shared" si="9"/>
        <v>1.0413444484627854</v>
      </c>
      <c r="AO24" s="93">
        <f t="shared" si="10"/>
        <v>0.84509843634157322</v>
      </c>
      <c r="AP24" s="93">
        <f t="shared" si="11"/>
        <v>1.048635040614122</v>
      </c>
      <c r="AQ24" s="93">
        <f t="shared" si="12"/>
        <v>-0.20353660427254883</v>
      </c>
      <c r="AR24" s="52"/>
      <c r="AT24" s="72"/>
      <c r="AU24" s="72"/>
    </row>
    <row r="25" spans="1:47" hidden="1" x14ac:dyDescent="0.2">
      <c r="A25" s="6">
        <v>38838</v>
      </c>
      <c r="B25" s="6"/>
      <c r="C25" s="93">
        <f>Data!D18+'Economic Model'!C$65</f>
        <v>2.6775887724739076</v>
      </c>
      <c r="D25" s="95">
        <f>Data!E18+'Economic Model'!C$66</f>
        <v>83.582869149034309</v>
      </c>
      <c r="E25" s="323"/>
      <c r="F25" s="93">
        <f>Data!G18+'Economic Model'!C$68</f>
        <v>2.0071619563179253</v>
      </c>
      <c r="G25" s="96">
        <f>Data!H18+'Economic Model'!C$69</f>
        <v>8</v>
      </c>
      <c r="H25" s="17"/>
      <c r="I25" s="18"/>
      <c r="J25" s="93">
        <f t="shared" si="0"/>
        <v>2.6775887724739076</v>
      </c>
      <c r="K25" s="93">
        <f>D25/2000*('Economic Model'!C$32+0.5)/'Economic Model'!C$30</f>
        <v>0.24781587519625956</v>
      </c>
      <c r="L25" s="319"/>
      <c r="M25" s="93">
        <f t="shared" si="1"/>
        <v>2.9254046476701672</v>
      </c>
      <c r="N25" s="93"/>
      <c r="O25" s="104"/>
      <c r="P25" s="93">
        <f>F25/'Economic Model'!C$30</f>
        <v>0.7042673530940089</v>
      </c>
      <c r="Q25" s="93">
        <f>G25/1000*'Economic Model'!C$34</f>
        <v>0.24</v>
      </c>
      <c r="R25" s="93">
        <f>('Economic Model'!H$44+'Economic Model'!H$53)/100</f>
        <v>0.21939999999999998</v>
      </c>
      <c r="S25" s="93">
        <f t="shared" si="2"/>
        <v>1.1636673530940089</v>
      </c>
      <c r="T25" s="93">
        <f>'Economic Model'!H$60/100</f>
        <v>0.19624601212121212</v>
      </c>
      <c r="U25" s="93">
        <f t="shared" si="3"/>
        <v>1.3599133652152211</v>
      </c>
      <c r="V25" s="93">
        <f t="shared" si="13"/>
        <v>1.1120974900189615</v>
      </c>
      <c r="W25" s="105"/>
      <c r="X25" s="93"/>
      <c r="Y25" s="93">
        <f>M25-P25-Q25-('Economic Model'!H$50/100)</f>
        <v>1.9426372945761583</v>
      </c>
      <c r="Z25" s="93">
        <f t="shared" si="4"/>
        <v>1.7617372945761582</v>
      </c>
      <c r="AA25" s="93">
        <f t="shared" si="5"/>
        <v>1.5654912824549461</v>
      </c>
      <c r="AB25" s="80"/>
      <c r="AC25" s="15"/>
      <c r="AD25" s="81"/>
      <c r="AE25" s="93">
        <f>'Returns per Bu.'!AD25/'Economic Model'!C$30</f>
        <v>0.27380590203833283</v>
      </c>
      <c r="AF25" s="93">
        <f t="shared" si="6"/>
        <v>0.6268329783997566</v>
      </c>
      <c r="AG25" s="93">
        <f>'Returns per Bu.'!AF25/'Economic Model'!C$30</f>
        <v>0.90063888043808937</v>
      </c>
      <c r="AH25" s="105"/>
      <c r="AI25" s="104"/>
      <c r="AJ25" s="93">
        <f t="shared" si="7"/>
        <v>1.3600388804380894</v>
      </c>
      <c r="AK25" s="93">
        <f t="shared" si="8"/>
        <v>1.5562848925593016</v>
      </c>
      <c r="AL25" s="105"/>
      <c r="AM25" s="93"/>
      <c r="AN25" s="93">
        <f t="shared" si="9"/>
        <v>1.5653657672320778</v>
      </c>
      <c r="AO25" s="93">
        <f t="shared" si="10"/>
        <v>1.3691197551108656</v>
      </c>
      <c r="AP25" s="93">
        <f t="shared" si="11"/>
        <v>1.5654912824549461</v>
      </c>
      <c r="AQ25" s="93">
        <f t="shared" si="12"/>
        <v>-0.19637152734408048</v>
      </c>
      <c r="AR25" s="52"/>
      <c r="AT25" s="72"/>
      <c r="AU25" s="72"/>
    </row>
    <row r="26" spans="1:47" hidden="1" x14ac:dyDescent="0.2">
      <c r="A26" s="8">
        <v>38869</v>
      </c>
      <c r="B26" s="8"/>
      <c r="C26" s="93">
        <f>Data!D19+'Economic Model'!C$65</f>
        <v>3.1532130939001939</v>
      </c>
      <c r="D26" s="95">
        <f>Data!E19+'Economic Model'!C$66</f>
        <v>79.739978613446524</v>
      </c>
      <c r="E26" s="323"/>
      <c r="F26" s="93">
        <f>Data!G19+'Economic Model'!C$68</f>
        <v>1.9406252606909382</v>
      </c>
      <c r="G26" s="96">
        <f>Data!H19+'Economic Model'!C$69</f>
        <v>8.2799999999999994</v>
      </c>
      <c r="H26" s="17"/>
      <c r="I26" s="18"/>
      <c r="J26" s="93">
        <f t="shared" si="0"/>
        <v>3.1532130939001939</v>
      </c>
      <c r="K26" s="93">
        <f>D26/2000*('Economic Model'!C$32+0.5)/'Economic Model'!C$30</f>
        <v>0.23642204185390284</v>
      </c>
      <c r="L26" s="319"/>
      <c r="M26" s="93">
        <f t="shared" si="1"/>
        <v>3.3896351357540966</v>
      </c>
      <c r="N26" s="93"/>
      <c r="O26" s="104"/>
      <c r="P26" s="93">
        <f>F26/'Economic Model'!C$30</f>
        <v>0.6809211441020836</v>
      </c>
      <c r="Q26" s="93">
        <f>G26/1000*'Economic Model'!C$34</f>
        <v>0.24839999999999998</v>
      </c>
      <c r="R26" s="93">
        <f>('Economic Model'!H$44+'Economic Model'!H$53)/100</f>
        <v>0.21939999999999998</v>
      </c>
      <c r="S26" s="93">
        <f t="shared" si="2"/>
        <v>1.1487211441020835</v>
      </c>
      <c r="T26" s="93">
        <f>'Economic Model'!H$60/100</f>
        <v>0.19624601212121212</v>
      </c>
      <c r="U26" s="93">
        <f t="shared" si="3"/>
        <v>1.3449671562232957</v>
      </c>
      <c r="V26" s="93">
        <f t="shared" si="13"/>
        <v>1.1085451143693927</v>
      </c>
      <c r="W26" s="105"/>
      <c r="X26" s="93"/>
      <c r="Y26" s="93">
        <f>M26-P26-Q26-('Economic Model'!H$50/100)</f>
        <v>2.4218139916520127</v>
      </c>
      <c r="Z26" s="93">
        <f t="shared" si="4"/>
        <v>2.2409139916520129</v>
      </c>
      <c r="AA26" s="93">
        <f t="shared" si="5"/>
        <v>2.0446679795308009</v>
      </c>
      <c r="AB26" s="80"/>
      <c r="AC26" s="15"/>
      <c r="AD26" s="81"/>
      <c r="AE26" s="93">
        <f>'Returns per Bu.'!AD26/'Economic Model'!C$30</f>
        <v>0.27380590203833283</v>
      </c>
      <c r="AF26" s="93">
        <f t="shared" si="6"/>
        <v>0.6268329783997566</v>
      </c>
      <c r="AG26" s="93">
        <f>'Returns per Bu.'!AF26/'Economic Model'!C$30</f>
        <v>0.90063888043808937</v>
      </c>
      <c r="AH26" s="105"/>
      <c r="AI26" s="104"/>
      <c r="AJ26" s="93">
        <f t="shared" si="7"/>
        <v>1.3684388804380894</v>
      </c>
      <c r="AK26" s="93">
        <f t="shared" si="8"/>
        <v>1.5646848925593015</v>
      </c>
      <c r="AL26" s="105"/>
      <c r="AM26" s="93"/>
      <c r="AN26" s="93">
        <f t="shared" si="9"/>
        <v>2.0211962553160072</v>
      </c>
      <c r="AO26" s="93">
        <f t="shared" si="10"/>
        <v>1.824950243194795</v>
      </c>
      <c r="AP26" s="93">
        <f t="shared" si="11"/>
        <v>2.0446679795308009</v>
      </c>
      <c r="AQ26" s="93">
        <f t="shared" si="12"/>
        <v>-0.21971773633600578</v>
      </c>
      <c r="AR26" s="52"/>
      <c r="AT26" s="72"/>
      <c r="AU26" s="72"/>
    </row>
    <row r="27" spans="1:47" hidden="1" x14ac:dyDescent="0.2">
      <c r="A27" s="6">
        <v>38899</v>
      </c>
      <c r="B27" s="6"/>
      <c r="C27" s="93">
        <f>Data!D20+'Economic Model'!C$65</f>
        <v>2.7656673505158125</v>
      </c>
      <c r="D27" s="95">
        <f>Data!E20+'Economic Model'!C$66</f>
        <v>78.298894662601114</v>
      </c>
      <c r="E27" s="323"/>
      <c r="F27" s="93">
        <f>Data!G20+'Economic Model'!C$68</f>
        <v>1.9892940457275576</v>
      </c>
      <c r="G27" s="96">
        <f>Data!H20+'Economic Model'!C$69</f>
        <v>6.83</v>
      </c>
      <c r="H27" s="17"/>
      <c r="I27" s="18"/>
      <c r="J27" s="93">
        <f t="shared" si="0"/>
        <v>2.7656673505158125</v>
      </c>
      <c r="K27" s="93">
        <f>D27/2000*('Economic Model'!C$32+0.5)/'Economic Model'!C$30</f>
        <v>0.23214935435051906</v>
      </c>
      <c r="L27" s="319"/>
      <c r="M27" s="93">
        <f t="shared" si="1"/>
        <v>2.9978167048663313</v>
      </c>
      <c r="N27" s="93"/>
      <c r="O27" s="104"/>
      <c r="P27" s="93">
        <f>F27/'Economic Model'!C$30</f>
        <v>0.69799791078159912</v>
      </c>
      <c r="Q27" s="93">
        <f>G27/1000*'Economic Model'!C$34</f>
        <v>0.2049</v>
      </c>
      <c r="R27" s="93">
        <f>('Economic Model'!H$44+'Economic Model'!H$53)/100</f>
        <v>0.21939999999999998</v>
      </c>
      <c r="S27" s="93">
        <f t="shared" si="2"/>
        <v>1.1222979107815991</v>
      </c>
      <c r="T27" s="93">
        <f>'Economic Model'!H$60/100</f>
        <v>0.19624601212121212</v>
      </c>
      <c r="U27" s="93">
        <f t="shared" si="3"/>
        <v>1.3185439229028113</v>
      </c>
      <c r="V27" s="93">
        <f t="shared" si="13"/>
        <v>1.0863945685522922</v>
      </c>
      <c r="W27" s="105"/>
      <c r="X27" s="93"/>
      <c r="Y27" s="93">
        <f>M27-P27-Q27-('Economic Model'!H$50/100)</f>
        <v>2.0564187940847325</v>
      </c>
      <c r="Z27" s="93">
        <f t="shared" si="4"/>
        <v>1.8755187940847322</v>
      </c>
      <c r="AA27" s="93">
        <f t="shared" si="5"/>
        <v>1.67927278196352</v>
      </c>
      <c r="AB27" s="80"/>
      <c r="AC27" s="15"/>
      <c r="AD27" s="81"/>
      <c r="AE27" s="93">
        <f>'Returns per Bu.'!AD27/'Economic Model'!C$30</f>
        <v>0.27380590203833283</v>
      </c>
      <c r="AF27" s="93">
        <f t="shared" si="6"/>
        <v>0.6268329783997566</v>
      </c>
      <c r="AG27" s="93">
        <f>'Returns per Bu.'!AF27/'Economic Model'!C$30</f>
        <v>0.90063888043808937</v>
      </c>
      <c r="AH27" s="105"/>
      <c r="AI27" s="104"/>
      <c r="AJ27" s="93">
        <f t="shared" si="7"/>
        <v>1.3249388804380895</v>
      </c>
      <c r="AK27" s="93">
        <f t="shared" si="8"/>
        <v>1.5211848925593017</v>
      </c>
      <c r="AL27" s="105"/>
      <c r="AM27" s="93"/>
      <c r="AN27" s="93">
        <f t="shared" si="9"/>
        <v>1.6728778244282418</v>
      </c>
      <c r="AO27" s="93">
        <f t="shared" si="10"/>
        <v>1.4766318123070297</v>
      </c>
      <c r="AP27" s="93">
        <f t="shared" si="11"/>
        <v>1.6792727819635198</v>
      </c>
      <c r="AQ27" s="93">
        <f t="shared" si="12"/>
        <v>-0.20264096965649026</v>
      </c>
      <c r="AR27" s="52"/>
      <c r="AT27" s="72"/>
      <c r="AU27" s="72"/>
    </row>
    <row r="28" spans="1:47" hidden="1" x14ac:dyDescent="0.2">
      <c r="A28" s="8">
        <v>38930</v>
      </c>
      <c r="B28" s="8"/>
      <c r="C28" s="93">
        <f>Data!D21+'Economic Model'!C$65</f>
        <v>2.3957373227398122</v>
      </c>
      <c r="D28" s="95">
        <f>Data!E21+'Economic Model'!C$66</f>
        <v>76.85781071175569</v>
      </c>
      <c r="E28" s="323"/>
      <c r="F28" s="93">
        <f>Data!G21+'Economic Model'!C$68</f>
        <v>1.9113559214381461</v>
      </c>
      <c r="G28" s="96">
        <f>Data!H21+'Economic Model'!C$69</f>
        <v>8.4499999999999993</v>
      </c>
      <c r="H28" s="17"/>
      <c r="I28" s="18"/>
      <c r="J28" s="93">
        <f t="shared" si="0"/>
        <v>2.3957373227398122</v>
      </c>
      <c r="K28" s="93">
        <f>D28/2000*('Economic Model'!C$32+0.5)/'Economic Model'!C$30</f>
        <v>0.22787666684713528</v>
      </c>
      <c r="L28" s="319"/>
      <c r="M28" s="93">
        <f t="shared" si="1"/>
        <v>2.6236139895869477</v>
      </c>
      <c r="N28" s="93"/>
      <c r="O28" s="104"/>
      <c r="P28" s="93">
        <f>F28/'Economic Model'!C$30</f>
        <v>0.67065120050461269</v>
      </c>
      <c r="Q28" s="93">
        <f>G28/1000*'Economic Model'!C$34</f>
        <v>0.25349999999999995</v>
      </c>
      <c r="R28" s="93">
        <f>('Economic Model'!H$44+'Economic Model'!H$53)/100</f>
        <v>0.21939999999999998</v>
      </c>
      <c r="S28" s="93">
        <f t="shared" si="2"/>
        <v>1.1435512005046127</v>
      </c>
      <c r="T28" s="93">
        <f>'Economic Model'!H$60/100</f>
        <v>0.19624601212121212</v>
      </c>
      <c r="U28" s="93">
        <f t="shared" si="3"/>
        <v>1.3397972126258249</v>
      </c>
      <c r="V28" s="93">
        <f t="shared" si="13"/>
        <v>1.1119205457786896</v>
      </c>
      <c r="W28" s="105"/>
      <c r="X28" s="93"/>
      <c r="Y28" s="93">
        <f>M28-P28-Q28-('Economic Model'!H$50/100)</f>
        <v>1.6609627890823351</v>
      </c>
      <c r="Z28" s="93">
        <f t="shared" si="4"/>
        <v>1.480062789082335</v>
      </c>
      <c r="AA28" s="93">
        <f t="shared" si="5"/>
        <v>1.2838167769611228</v>
      </c>
      <c r="AB28" s="80"/>
      <c r="AC28" s="15"/>
      <c r="AD28" s="81"/>
      <c r="AE28" s="93">
        <f>'Returns per Bu.'!AD28/'Economic Model'!C$30</f>
        <v>0.27380590203833283</v>
      </c>
      <c r="AF28" s="93">
        <f t="shared" si="6"/>
        <v>0.6268329783997566</v>
      </c>
      <c r="AG28" s="93">
        <f>'Returns per Bu.'!AF28/'Economic Model'!C$30</f>
        <v>0.90063888043808937</v>
      </c>
      <c r="AH28" s="105"/>
      <c r="AI28" s="104"/>
      <c r="AJ28" s="93">
        <f t="shared" si="7"/>
        <v>1.3735388804380892</v>
      </c>
      <c r="AK28" s="93">
        <f t="shared" si="8"/>
        <v>1.5697848925593014</v>
      </c>
      <c r="AL28" s="105"/>
      <c r="AM28" s="93"/>
      <c r="AN28" s="93">
        <f t="shared" si="9"/>
        <v>1.2500751091488584</v>
      </c>
      <c r="AO28" s="93">
        <f t="shared" si="10"/>
        <v>1.0538290970276463</v>
      </c>
      <c r="AP28" s="93">
        <f t="shared" si="11"/>
        <v>1.2838167769611228</v>
      </c>
      <c r="AQ28" s="93">
        <f t="shared" si="12"/>
        <v>-0.22998767993347669</v>
      </c>
      <c r="AR28" s="52"/>
      <c r="AT28" s="72"/>
      <c r="AU28" s="72"/>
    </row>
    <row r="29" spans="1:47" hidden="1" x14ac:dyDescent="0.2">
      <c r="A29" s="6">
        <v>38961</v>
      </c>
      <c r="B29" s="6"/>
      <c r="C29" s="93">
        <f>Data!D22+'Economic Model'!C$65</f>
        <v>2.052230868376383</v>
      </c>
      <c r="D29" s="95">
        <f>Data!E22+'Economic Model'!C$66</f>
        <v>72.054197542270956</v>
      </c>
      <c r="E29" s="323"/>
      <c r="F29" s="93">
        <f>Data!G22+'Economic Model'!C$68</f>
        <v>2.0463011890396823</v>
      </c>
      <c r="G29" s="96">
        <f>Data!H22+'Economic Model'!C$69</f>
        <v>7.83</v>
      </c>
      <c r="H29" s="17"/>
      <c r="I29" s="18"/>
      <c r="J29" s="93">
        <f t="shared" si="0"/>
        <v>2.052230868376383</v>
      </c>
      <c r="K29" s="93">
        <f>D29/2000*('Economic Model'!C$32+0.5)/'Economic Model'!C$30</f>
        <v>0.21363437516918929</v>
      </c>
      <c r="L29" s="319"/>
      <c r="M29" s="93">
        <f t="shared" si="1"/>
        <v>2.2658652435455724</v>
      </c>
      <c r="N29" s="93"/>
      <c r="O29" s="104"/>
      <c r="P29" s="93">
        <f>F29/'Economic Model'!C$30</f>
        <v>0.71800041720690599</v>
      </c>
      <c r="Q29" s="93">
        <f>G29/1000*'Economic Model'!C$34</f>
        <v>0.2349</v>
      </c>
      <c r="R29" s="93">
        <f>('Economic Model'!H$44+'Economic Model'!H$53)/100</f>
        <v>0.21939999999999998</v>
      </c>
      <c r="S29" s="93">
        <f t="shared" si="2"/>
        <v>1.172300417206906</v>
      </c>
      <c r="T29" s="93">
        <f>'Economic Model'!H$60/100</f>
        <v>0.19624601212121212</v>
      </c>
      <c r="U29" s="93">
        <f t="shared" si="3"/>
        <v>1.3685464293281182</v>
      </c>
      <c r="V29" s="93">
        <f t="shared" si="13"/>
        <v>1.1549120541589288</v>
      </c>
      <c r="W29" s="105"/>
      <c r="X29" s="93"/>
      <c r="Y29" s="93">
        <f>M29-P29-Q29-('Economic Model'!H$50/100)</f>
        <v>1.2744648263386664</v>
      </c>
      <c r="Z29" s="93">
        <f t="shared" si="4"/>
        <v>1.0935648263386664</v>
      </c>
      <c r="AA29" s="93">
        <f t="shared" si="5"/>
        <v>0.89731881421745419</v>
      </c>
      <c r="AB29" s="80"/>
      <c r="AC29" s="15"/>
      <c r="AD29" s="81"/>
      <c r="AE29" s="93">
        <f>'Returns per Bu.'!AD29/'Economic Model'!C$30</f>
        <v>0.28535193405199744</v>
      </c>
      <c r="AF29" s="93">
        <f t="shared" si="6"/>
        <v>0.67195096174170366</v>
      </c>
      <c r="AG29" s="93">
        <f>'Returns per Bu.'!AF29/'Economic Model'!C$30</f>
        <v>0.95730289579370109</v>
      </c>
      <c r="AH29" s="105"/>
      <c r="AI29" s="104"/>
      <c r="AJ29" s="93">
        <f t="shared" si="7"/>
        <v>1.411602895793701</v>
      </c>
      <c r="AK29" s="93">
        <f t="shared" si="8"/>
        <v>1.6078489079149132</v>
      </c>
      <c r="AL29" s="105"/>
      <c r="AM29" s="93"/>
      <c r="AN29" s="93">
        <f t="shared" si="9"/>
        <v>0.85426234775187138</v>
      </c>
      <c r="AO29" s="93">
        <f t="shared" si="10"/>
        <v>0.6580163356306592</v>
      </c>
      <c r="AP29" s="93">
        <f t="shared" si="11"/>
        <v>0.8973188142174543</v>
      </c>
      <c r="AQ29" s="93">
        <f t="shared" si="12"/>
        <v>-0.2393024785867951</v>
      </c>
      <c r="AR29" s="52"/>
      <c r="AT29" s="72"/>
      <c r="AU29" s="72"/>
    </row>
    <row r="30" spans="1:47" hidden="1" x14ac:dyDescent="0.2">
      <c r="A30" s="8">
        <v>38991</v>
      </c>
      <c r="B30" s="8"/>
      <c r="C30" s="93">
        <f>Data!D23+'Economic Model'!C$65</f>
        <v>1.9</v>
      </c>
      <c r="D30" s="95">
        <f>Data!E23+'Economic Model'!C$66</f>
        <v>79.607954545454547</v>
      </c>
      <c r="E30" s="323"/>
      <c r="F30" s="93">
        <f>Data!G23+'Economic Model'!C$68</f>
        <v>2.6565056818181829</v>
      </c>
      <c r="G30" s="96">
        <f>Data!H23+'Economic Model'!C$69</f>
        <v>6.39</v>
      </c>
      <c r="H30" s="17"/>
      <c r="I30" s="18"/>
      <c r="J30" s="93">
        <f t="shared" si="0"/>
        <v>1.9</v>
      </c>
      <c r="K30" s="93">
        <f>D30/2000*('Economic Model'!C$32+0.5)/'Economic Model'!C$30</f>
        <v>0.23603060207336521</v>
      </c>
      <c r="L30" s="319"/>
      <c r="M30" s="93">
        <f t="shared" si="1"/>
        <v>2.1360306020733653</v>
      </c>
      <c r="N30" s="93"/>
      <c r="O30" s="104"/>
      <c r="P30" s="93">
        <f>F30/'Economic Model'!C$30</f>
        <v>0.93210725677830975</v>
      </c>
      <c r="Q30" s="93">
        <f>G30/1000*'Economic Model'!C$34</f>
        <v>0.19169999999999998</v>
      </c>
      <c r="R30" s="93">
        <f>('Economic Model'!H$44+'Economic Model'!H$53)/100</f>
        <v>0.21939999999999998</v>
      </c>
      <c r="S30" s="93">
        <f t="shared" si="2"/>
        <v>1.3432072567783098</v>
      </c>
      <c r="T30" s="93">
        <f>'Economic Model'!H$60/100</f>
        <v>0.19624601212121212</v>
      </c>
      <c r="U30" s="93">
        <f t="shared" si="3"/>
        <v>1.5394532688995219</v>
      </c>
      <c r="V30" s="93">
        <f t="shared" si="13"/>
        <v>1.3034226668261568</v>
      </c>
      <c r="W30" s="105"/>
      <c r="X30" s="93"/>
      <c r="Y30" s="93">
        <f>M30-P30-Q30-('Economic Model'!H$50/100)</f>
        <v>0.97372334529505555</v>
      </c>
      <c r="Z30" s="93">
        <f t="shared" si="4"/>
        <v>0.79282334529505549</v>
      </c>
      <c r="AA30" s="93">
        <f t="shared" si="5"/>
        <v>0.59657733317384332</v>
      </c>
      <c r="AB30" s="80"/>
      <c r="AC30" s="15"/>
      <c r="AD30" s="81"/>
      <c r="AE30" s="93">
        <f>'Returns per Bu.'!AD30/'Economic Model'!C$30</f>
        <v>0.28535193405199744</v>
      </c>
      <c r="AF30" s="93">
        <f t="shared" si="6"/>
        <v>0.67195096174170366</v>
      </c>
      <c r="AG30" s="93">
        <f>'Returns per Bu.'!AF30/'Economic Model'!C$30</f>
        <v>0.95730289579370109</v>
      </c>
      <c r="AH30" s="105"/>
      <c r="AI30" s="104"/>
      <c r="AJ30" s="93">
        <f t="shared" si="7"/>
        <v>1.3684028957937011</v>
      </c>
      <c r="AK30" s="93">
        <f t="shared" si="8"/>
        <v>1.5646489079149133</v>
      </c>
      <c r="AL30" s="105"/>
      <c r="AM30" s="93"/>
      <c r="AN30" s="93">
        <f t="shared" si="9"/>
        <v>0.76762770627966415</v>
      </c>
      <c r="AO30" s="93">
        <f t="shared" si="10"/>
        <v>0.57138169415845197</v>
      </c>
      <c r="AP30" s="93">
        <f t="shared" si="11"/>
        <v>0.59657733317384332</v>
      </c>
      <c r="AQ30" s="93">
        <f t="shared" si="12"/>
        <v>-2.5195639015391347E-2</v>
      </c>
      <c r="AR30" s="52"/>
      <c r="AT30" s="72"/>
      <c r="AU30" s="72"/>
    </row>
    <row r="31" spans="1:47" hidden="1" x14ac:dyDescent="0.2">
      <c r="A31" s="6">
        <v>39022</v>
      </c>
      <c r="B31" s="6"/>
      <c r="C31" s="93">
        <f>Data!D24+'Economic Model'!C$65</f>
        <v>2.04</v>
      </c>
      <c r="D31" s="95">
        <f>Data!E24+'Economic Model'!C$66</f>
        <v>106.30952380952381</v>
      </c>
      <c r="E31" s="323"/>
      <c r="F31" s="93">
        <f>Data!G24+'Economic Model'!C$68</f>
        <v>3.2774999999999999</v>
      </c>
      <c r="G31" s="96">
        <f>Data!H24+'Economic Model'!C$69</f>
        <v>7.26</v>
      </c>
      <c r="H31" s="17"/>
      <c r="I31" s="18"/>
      <c r="J31" s="93">
        <f t="shared" si="0"/>
        <v>2.04</v>
      </c>
      <c r="K31" s="93">
        <f>D31/2000*('Economic Model'!C$32+0.5)/'Economic Model'!C$30</f>
        <v>0.31519841269841264</v>
      </c>
      <c r="L31" s="319"/>
      <c r="M31" s="93">
        <f t="shared" si="1"/>
        <v>2.3551984126984129</v>
      </c>
      <c r="N31" s="93"/>
      <c r="O31" s="104"/>
      <c r="P31" s="93">
        <f>F31/'Economic Model'!C$30</f>
        <v>1.1499999999999999</v>
      </c>
      <c r="Q31" s="93">
        <f>G31/1000*'Economic Model'!C$34</f>
        <v>0.21779999999999999</v>
      </c>
      <c r="R31" s="93">
        <f>('Economic Model'!H$44+'Economic Model'!H$53)/100</f>
        <v>0.21939999999999998</v>
      </c>
      <c r="S31" s="93">
        <f t="shared" si="2"/>
        <v>1.5871999999999999</v>
      </c>
      <c r="T31" s="93">
        <f>'Economic Model'!H$60/100</f>
        <v>0.19624601212121212</v>
      </c>
      <c r="U31" s="93">
        <f t="shared" si="3"/>
        <v>1.7834460121212121</v>
      </c>
      <c r="V31" s="93">
        <f t="shared" si="13"/>
        <v>1.4682475994227995</v>
      </c>
      <c r="W31" s="105"/>
      <c r="X31" s="93"/>
      <c r="Y31" s="93">
        <f>M31-P31-Q31-('Economic Model'!H$50/100)</f>
        <v>0.94889841269841302</v>
      </c>
      <c r="Z31" s="93">
        <f t="shared" si="4"/>
        <v>0.76799841269841296</v>
      </c>
      <c r="AA31" s="93">
        <f t="shared" si="5"/>
        <v>0.57175240057720078</v>
      </c>
      <c r="AB31" s="80"/>
      <c r="AC31" s="15"/>
      <c r="AD31" s="81"/>
      <c r="AE31" s="93">
        <f>'Returns per Bu.'!AD31/'Economic Model'!C$30</f>
        <v>0.28535193405199744</v>
      </c>
      <c r="AF31" s="93">
        <f t="shared" si="6"/>
        <v>0.67195096174170366</v>
      </c>
      <c r="AG31" s="93">
        <f>'Returns per Bu.'!AF31/'Economic Model'!C$30</f>
        <v>0.95730289579370109</v>
      </c>
      <c r="AH31" s="105"/>
      <c r="AI31" s="104"/>
      <c r="AJ31" s="93">
        <f t="shared" si="7"/>
        <v>1.3945028957937011</v>
      </c>
      <c r="AK31" s="93">
        <f t="shared" si="8"/>
        <v>1.5907489079149133</v>
      </c>
      <c r="AL31" s="105"/>
      <c r="AM31" s="93"/>
      <c r="AN31" s="93">
        <f t="shared" si="9"/>
        <v>0.96069551690471178</v>
      </c>
      <c r="AO31" s="93">
        <f t="shared" si="10"/>
        <v>0.7644495047834996</v>
      </c>
      <c r="AP31" s="93">
        <f t="shared" si="11"/>
        <v>0.57175240057720078</v>
      </c>
      <c r="AQ31" s="93">
        <f t="shared" si="12"/>
        <v>0.19269710420629882</v>
      </c>
      <c r="AR31" s="52"/>
      <c r="AT31" s="72"/>
      <c r="AU31" s="72"/>
    </row>
    <row r="32" spans="1:47" hidden="1" x14ac:dyDescent="0.2">
      <c r="A32" s="68">
        <v>39052</v>
      </c>
      <c r="B32" s="68"/>
      <c r="C32" s="97">
        <f>Data!D25+'Economic Model'!C$65</f>
        <v>2.23</v>
      </c>
      <c r="D32" s="99">
        <f>Data!E25+'Economic Model'!C$66</f>
        <v>126.1</v>
      </c>
      <c r="E32" s="324"/>
      <c r="F32" s="97">
        <f>Data!G25+'Economic Model'!C$68</f>
        <v>3.4264999999999999</v>
      </c>
      <c r="G32" s="100">
        <f>Data!H25+'Economic Model'!C$69</f>
        <v>8.31</v>
      </c>
      <c r="H32" s="65"/>
      <c r="I32" s="66"/>
      <c r="J32" s="97">
        <f t="shared" si="0"/>
        <v>2.23</v>
      </c>
      <c r="K32" s="97">
        <f>D32/2000*('Economic Model'!C$32+0.5)/'Economic Model'!C$30</f>
        <v>0.37387543859649114</v>
      </c>
      <c r="L32" s="320"/>
      <c r="M32" s="97">
        <f t="shared" si="1"/>
        <v>2.6038754385964911</v>
      </c>
      <c r="N32" s="97"/>
      <c r="O32" s="106"/>
      <c r="P32" s="97">
        <f>F32/'Economic Model'!C$30</f>
        <v>1.2022807017543859</v>
      </c>
      <c r="Q32" s="97">
        <f>G32/1000*'Economic Model'!C$34</f>
        <v>0.24929999999999999</v>
      </c>
      <c r="R32" s="97">
        <f>('Economic Model'!H$44+'Economic Model'!H$53)/100</f>
        <v>0.21939999999999998</v>
      </c>
      <c r="S32" s="97">
        <f t="shared" si="2"/>
        <v>1.6709807017543861</v>
      </c>
      <c r="T32" s="97">
        <f>'Economic Model'!H$60/100</f>
        <v>0.19624601212121212</v>
      </c>
      <c r="U32" s="97">
        <f t="shared" si="3"/>
        <v>1.8672267138755982</v>
      </c>
      <c r="V32" s="97">
        <f t="shared" si="13"/>
        <v>1.4933512752791072</v>
      </c>
      <c r="W32" s="107"/>
      <c r="X32" s="97"/>
      <c r="Y32" s="93">
        <f>M32-P32-Q32-('Economic Model'!H$50/100)</f>
        <v>1.1137947368421051</v>
      </c>
      <c r="Z32" s="97">
        <f t="shared" si="4"/>
        <v>0.932894736842105</v>
      </c>
      <c r="AA32" s="97">
        <f t="shared" si="5"/>
        <v>0.73664872472089282</v>
      </c>
      <c r="AB32" s="82"/>
      <c r="AC32" s="15"/>
      <c r="AD32" s="83"/>
      <c r="AE32" s="97">
        <f>'Returns per Bu.'!AD32/'Economic Model'!C$30</f>
        <v>0.28535193405199744</v>
      </c>
      <c r="AF32" s="97">
        <f t="shared" si="6"/>
        <v>0.67195096174170366</v>
      </c>
      <c r="AG32" s="97">
        <f>'Returns per Bu.'!AF32/'Economic Model'!C$30</f>
        <v>0.95730289579370109</v>
      </c>
      <c r="AH32" s="107"/>
      <c r="AI32" s="106"/>
      <c r="AJ32" s="97">
        <f t="shared" si="7"/>
        <v>1.4260028957937012</v>
      </c>
      <c r="AK32" s="97">
        <f t="shared" si="8"/>
        <v>1.6222489079149134</v>
      </c>
      <c r="AL32" s="107"/>
      <c r="AM32" s="97"/>
      <c r="AN32" s="97">
        <f t="shared" si="9"/>
        <v>1.1778725428027899</v>
      </c>
      <c r="AO32" s="97">
        <f t="shared" si="10"/>
        <v>0.98162653068157768</v>
      </c>
      <c r="AP32" s="97">
        <f t="shared" si="11"/>
        <v>0.73664872472089282</v>
      </c>
      <c r="AQ32" s="97">
        <f t="shared" si="12"/>
        <v>0.24497780596068486</v>
      </c>
      <c r="AR32" s="64"/>
      <c r="AT32" s="72"/>
      <c r="AU32" s="72"/>
    </row>
    <row r="33" spans="1:47" hidden="1" x14ac:dyDescent="0.2">
      <c r="A33" s="21">
        <v>39083</v>
      </c>
      <c r="B33" s="6"/>
      <c r="C33" s="93">
        <f>Data!D26+'Economic Model'!C$65</f>
        <v>2.15</v>
      </c>
      <c r="D33" s="95">
        <f>Data!E26+'Economic Model'!C$66</f>
        <v>128.08750000000001</v>
      </c>
      <c r="E33" s="323"/>
      <c r="F33" s="93">
        <f>Data!G26+'Economic Model'!C$68</f>
        <v>3.5306250000000001</v>
      </c>
      <c r="G33" s="96">
        <f>Data!H26+'Economic Model'!C$69</f>
        <v>8.8699999999999992</v>
      </c>
      <c r="H33" s="16"/>
      <c r="I33" s="84"/>
      <c r="J33" s="93">
        <f t="shared" si="0"/>
        <v>2.15</v>
      </c>
      <c r="K33" s="93">
        <f>D33/2000*('Economic Model'!C$32+0.5)/'Economic Model'!C$30</f>
        <v>0.37976820175438591</v>
      </c>
      <c r="L33" s="319"/>
      <c r="M33" s="93">
        <f t="shared" si="1"/>
        <v>2.5297682017543859</v>
      </c>
      <c r="N33" s="108"/>
      <c r="O33" s="109"/>
      <c r="P33" s="93">
        <f>F33/'Economic Model'!C$30</f>
        <v>1.2388157894736842</v>
      </c>
      <c r="Q33" s="93">
        <f>G33/1000*'Economic Model'!C$34</f>
        <v>0.2661</v>
      </c>
      <c r="R33" s="93">
        <f>('Economic Model'!H$44+'Economic Model'!H$53)/100</f>
        <v>0.21939999999999998</v>
      </c>
      <c r="S33" s="93">
        <f t="shared" si="2"/>
        <v>1.7243157894736842</v>
      </c>
      <c r="T33" s="93">
        <f>'Economic Model'!H$60/100</f>
        <v>0.19624601212121212</v>
      </c>
      <c r="U33" s="93">
        <f t="shared" si="3"/>
        <v>1.9205618015948964</v>
      </c>
      <c r="V33" s="93">
        <f t="shared" si="13"/>
        <v>1.5407935998405105</v>
      </c>
      <c r="W33" s="105"/>
      <c r="X33" s="93"/>
      <c r="Y33" s="101">
        <f>M33-P33-Q33-('Economic Model'!H$50/100)</f>
        <v>0.9863524122807017</v>
      </c>
      <c r="Z33" s="93">
        <f t="shared" si="4"/>
        <v>0.80545241228070164</v>
      </c>
      <c r="AA33" s="93">
        <f t="shared" si="5"/>
        <v>0.60920640015948946</v>
      </c>
      <c r="AB33" s="80"/>
      <c r="AC33" s="15"/>
      <c r="AD33" s="81"/>
      <c r="AE33" s="93">
        <f>'Returns per Bu.'!AD33/'Economic Model'!C$30</f>
        <v>0.28535193405199744</v>
      </c>
      <c r="AF33" s="93">
        <f t="shared" si="6"/>
        <v>0.67195096174170366</v>
      </c>
      <c r="AG33" s="93">
        <f>'Returns per Bu.'!AF33/'Economic Model'!C$30</f>
        <v>0.95730289579370109</v>
      </c>
      <c r="AH33" s="105"/>
      <c r="AI33" s="104"/>
      <c r="AJ33" s="93">
        <f t="shared" si="7"/>
        <v>1.4428028957937011</v>
      </c>
      <c r="AK33" s="93">
        <f t="shared" si="8"/>
        <v>1.6390489079149133</v>
      </c>
      <c r="AL33" s="105"/>
      <c r="AM33" s="93"/>
      <c r="AN33" s="93">
        <f t="shared" si="9"/>
        <v>1.0869653059606847</v>
      </c>
      <c r="AO33" s="93">
        <f t="shared" si="10"/>
        <v>0.89071929383947257</v>
      </c>
      <c r="AP33" s="93">
        <f t="shared" si="11"/>
        <v>0.60920640015948946</v>
      </c>
      <c r="AQ33" s="93">
        <f t="shared" si="12"/>
        <v>0.28151289367998311</v>
      </c>
      <c r="AR33" s="52"/>
      <c r="AT33" s="72"/>
      <c r="AU33" s="72"/>
    </row>
    <row r="34" spans="1:47" hidden="1" x14ac:dyDescent="0.2">
      <c r="A34" s="8">
        <v>39114</v>
      </c>
      <c r="B34" s="8"/>
      <c r="C34" s="93">
        <f>Data!D27+'Economic Model'!C$65</f>
        <v>1.9</v>
      </c>
      <c r="D34" s="95">
        <f>Data!E27+'Economic Model'!C$66</f>
        <v>127.55555555555556</v>
      </c>
      <c r="E34" s="323"/>
      <c r="F34" s="93">
        <f>Data!G27+'Economic Model'!C$68</f>
        <v>3.8377777777777777</v>
      </c>
      <c r="G34" s="96">
        <f>Data!H27+'Economic Model'!C$69</f>
        <v>9.39</v>
      </c>
      <c r="H34" s="16"/>
      <c r="I34" s="84"/>
      <c r="J34" s="93">
        <f t="shared" si="0"/>
        <v>1.9</v>
      </c>
      <c r="K34" s="93">
        <f>D34/2000*('Economic Model'!C$32+0.5)/'Economic Model'!C$30</f>
        <v>0.37819103313840152</v>
      </c>
      <c r="L34" s="319"/>
      <c r="M34" s="93">
        <f t="shared" si="1"/>
        <v>2.2781910331384014</v>
      </c>
      <c r="N34" s="108"/>
      <c r="O34" s="109"/>
      <c r="P34" s="93">
        <f>F34/'Economic Model'!C$30</f>
        <v>1.346588693957115</v>
      </c>
      <c r="Q34" s="93">
        <f>G34/1000*'Economic Model'!C$34</f>
        <v>0.28170000000000001</v>
      </c>
      <c r="R34" s="93">
        <f>('Economic Model'!H$44+'Economic Model'!H$53)/100</f>
        <v>0.21939999999999998</v>
      </c>
      <c r="S34" s="93">
        <f t="shared" si="2"/>
        <v>1.8476886939571151</v>
      </c>
      <c r="T34" s="93">
        <f>'Economic Model'!H$60/100</f>
        <v>0.19624601212121212</v>
      </c>
      <c r="U34" s="93">
        <f t="shared" si="3"/>
        <v>2.0439347060783271</v>
      </c>
      <c r="V34" s="93">
        <f t="shared" si="13"/>
        <v>1.6657436729399255</v>
      </c>
      <c r="W34" s="105"/>
      <c r="X34" s="93"/>
      <c r="Y34" s="93">
        <f>M34-P34-Q34-('Economic Model'!H$50/100)</f>
        <v>0.61140233918128639</v>
      </c>
      <c r="Z34" s="93">
        <f t="shared" si="4"/>
        <v>0.43050233918128633</v>
      </c>
      <c r="AA34" s="93">
        <f t="shared" si="5"/>
        <v>0.23425632706007438</v>
      </c>
      <c r="AB34" s="80"/>
      <c r="AC34" s="15"/>
      <c r="AD34" s="81"/>
      <c r="AE34" s="93">
        <f>'Returns per Bu.'!AD34/'Economic Model'!C$30</f>
        <v>0.28535193405199744</v>
      </c>
      <c r="AF34" s="93">
        <f t="shared" si="6"/>
        <v>0.67195096174170366</v>
      </c>
      <c r="AG34" s="93">
        <f>'Returns per Bu.'!AF34/'Economic Model'!C$30</f>
        <v>0.95730289579370109</v>
      </c>
      <c r="AH34" s="105"/>
      <c r="AI34" s="104"/>
      <c r="AJ34" s="93">
        <f t="shared" si="7"/>
        <v>1.4584028957937012</v>
      </c>
      <c r="AK34" s="93">
        <f t="shared" si="8"/>
        <v>1.6546489079149134</v>
      </c>
      <c r="AL34" s="105"/>
      <c r="AM34" s="93"/>
      <c r="AN34" s="93">
        <f t="shared" si="9"/>
        <v>0.81978813734470024</v>
      </c>
      <c r="AO34" s="93">
        <f t="shared" si="10"/>
        <v>0.62354212522348806</v>
      </c>
      <c r="AP34" s="93">
        <f t="shared" si="11"/>
        <v>0.23425632706007415</v>
      </c>
      <c r="AQ34" s="93">
        <f t="shared" si="12"/>
        <v>0.38928579816341391</v>
      </c>
      <c r="AR34" s="52"/>
      <c r="AT34" s="72"/>
      <c r="AU34" s="72"/>
    </row>
    <row r="35" spans="1:47" hidden="1" x14ac:dyDescent="0.2">
      <c r="A35" s="6">
        <v>39142</v>
      </c>
      <c r="B35" s="6"/>
      <c r="C35" s="93">
        <f>Data!D28+'Economic Model'!C$65</f>
        <v>2.19</v>
      </c>
      <c r="D35" s="95">
        <f>Data!E28+'Economic Model'!C$66</f>
        <v>129.28571428571428</v>
      </c>
      <c r="E35" s="323"/>
      <c r="F35" s="93">
        <f>Data!G28+'Economic Model'!C$68</f>
        <v>3.7503690476190483</v>
      </c>
      <c r="G35" s="96">
        <f>Data!H28+'Economic Model'!C$69</f>
        <v>9.2799999999999994</v>
      </c>
      <c r="H35" s="16"/>
      <c r="I35" s="84"/>
      <c r="J35" s="93">
        <f t="shared" si="0"/>
        <v>2.19</v>
      </c>
      <c r="K35" s="93">
        <f>D35/2000*('Economic Model'!C$32+0.5)/'Economic Model'!C$30</f>
        <v>0.38332080200501251</v>
      </c>
      <c r="L35" s="319"/>
      <c r="M35" s="93">
        <f t="shared" si="1"/>
        <v>2.5733208020050125</v>
      </c>
      <c r="N35" s="108"/>
      <c r="O35" s="109"/>
      <c r="P35" s="93">
        <f>F35/'Economic Model'!C$30</f>
        <v>1.3159189640768589</v>
      </c>
      <c r="Q35" s="93">
        <f>G35/1000*'Economic Model'!C$34</f>
        <v>0.27839999999999998</v>
      </c>
      <c r="R35" s="93">
        <f>('Economic Model'!H$44+'Economic Model'!H$53)/100</f>
        <v>0.21939999999999998</v>
      </c>
      <c r="S35" s="93">
        <f t="shared" si="2"/>
        <v>1.813718964076859</v>
      </c>
      <c r="T35" s="93">
        <f>'Economic Model'!H$60/100</f>
        <v>0.19624601212121212</v>
      </c>
      <c r="U35" s="93">
        <f t="shared" si="3"/>
        <v>2.0099649761980709</v>
      </c>
      <c r="V35" s="93">
        <f t="shared" si="13"/>
        <v>1.6266441741930584</v>
      </c>
      <c r="W35" s="105"/>
      <c r="X35" s="93"/>
      <c r="Y35" s="93">
        <f>M35-P35-Q35-('Economic Model'!H$50/100)</f>
        <v>0.94050183792815356</v>
      </c>
      <c r="Z35" s="93">
        <f t="shared" si="4"/>
        <v>0.7596018379281535</v>
      </c>
      <c r="AA35" s="93">
        <f t="shared" si="5"/>
        <v>0.56335582580694155</v>
      </c>
      <c r="AB35" s="80"/>
      <c r="AC35" s="15"/>
      <c r="AD35" s="81"/>
      <c r="AE35" s="93">
        <f>'Returns per Bu.'!AD35/'Economic Model'!C$30</f>
        <v>0.28535193405199744</v>
      </c>
      <c r="AF35" s="93">
        <f t="shared" si="6"/>
        <v>0.67195096174170366</v>
      </c>
      <c r="AG35" s="93">
        <f>'Returns per Bu.'!AF35/'Economic Model'!C$30</f>
        <v>0.95730289579370109</v>
      </c>
      <c r="AH35" s="105"/>
      <c r="AI35" s="104"/>
      <c r="AJ35" s="93">
        <f t="shared" si="7"/>
        <v>1.4551028957937011</v>
      </c>
      <c r="AK35" s="93">
        <f t="shared" si="8"/>
        <v>1.6513489079149133</v>
      </c>
      <c r="AL35" s="105"/>
      <c r="AM35" s="93"/>
      <c r="AN35" s="93">
        <f t="shared" si="9"/>
        <v>1.1182179062113113</v>
      </c>
      <c r="AO35" s="93">
        <f t="shared" si="10"/>
        <v>0.92197189409009916</v>
      </c>
      <c r="AP35" s="93">
        <f t="shared" si="11"/>
        <v>0.56335582580694132</v>
      </c>
      <c r="AQ35" s="93">
        <f t="shared" si="12"/>
        <v>0.35861606828315784</v>
      </c>
      <c r="AR35" s="52"/>
      <c r="AT35" s="72"/>
      <c r="AU35" s="72"/>
    </row>
    <row r="36" spans="1:47" hidden="1" x14ac:dyDescent="0.2">
      <c r="A36" s="8">
        <v>39173</v>
      </c>
      <c r="B36" s="8"/>
      <c r="C36" s="93">
        <f>Data!D29+'Economic Model'!C$65</f>
        <v>2.16</v>
      </c>
      <c r="D36" s="95">
        <f>Data!E29+'Economic Model'!C$66</f>
        <v>112.42857142857143</v>
      </c>
      <c r="E36" s="323"/>
      <c r="F36" s="93">
        <f>Data!G29+'Economic Model'!C$68</f>
        <v>3.3292857142857133</v>
      </c>
      <c r="G36" s="96">
        <f>Data!H29+'Economic Model'!C$69</f>
        <v>8.58</v>
      </c>
      <c r="H36" s="16"/>
      <c r="I36" s="84"/>
      <c r="J36" s="93">
        <f t="shared" si="0"/>
        <v>2.16</v>
      </c>
      <c r="K36" s="93">
        <f>D36/2000*('Economic Model'!C$32+0.5)/'Economic Model'!C$30</f>
        <v>0.33334085213032583</v>
      </c>
      <c r="L36" s="319"/>
      <c r="M36" s="93">
        <f t="shared" si="1"/>
        <v>2.4933408521303262</v>
      </c>
      <c r="N36" s="108"/>
      <c r="O36" s="109"/>
      <c r="P36" s="93">
        <f>F36/'Economic Model'!C$30</f>
        <v>1.1681704260651624</v>
      </c>
      <c r="Q36" s="93">
        <f>G36/1000*'Economic Model'!C$34</f>
        <v>0.25740000000000002</v>
      </c>
      <c r="R36" s="93">
        <f>('Economic Model'!H$44+'Economic Model'!H$53)/100</f>
        <v>0.21939999999999998</v>
      </c>
      <c r="S36" s="93">
        <f t="shared" si="2"/>
        <v>1.6449704260651625</v>
      </c>
      <c r="T36" s="93">
        <f>'Economic Model'!H$60/100</f>
        <v>0.19624601212121212</v>
      </c>
      <c r="U36" s="93">
        <f t="shared" si="3"/>
        <v>1.8412164381863747</v>
      </c>
      <c r="V36" s="93">
        <f t="shared" si="13"/>
        <v>1.5078755860560489</v>
      </c>
      <c r="W36" s="105"/>
      <c r="X36" s="93"/>
      <c r="Y36" s="93">
        <f>M36-P36-Q36-('Economic Model'!H$50/100)</f>
        <v>1.0292704260651637</v>
      </c>
      <c r="Z36" s="93">
        <f t="shared" si="4"/>
        <v>0.84837042606516366</v>
      </c>
      <c r="AA36" s="93">
        <f t="shared" si="5"/>
        <v>0.65212441394395149</v>
      </c>
      <c r="AB36" s="80"/>
      <c r="AC36" s="15"/>
      <c r="AD36" s="81"/>
      <c r="AE36" s="93">
        <f>'Returns per Bu.'!AD36/'Economic Model'!C$30</f>
        <v>0.28535193405199744</v>
      </c>
      <c r="AF36" s="93">
        <f t="shared" si="6"/>
        <v>0.67195096174170366</v>
      </c>
      <c r="AG36" s="93">
        <f>'Returns per Bu.'!AF36/'Economic Model'!C$30</f>
        <v>0.95730289579370109</v>
      </c>
      <c r="AH36" s="105"/>
      <c r="AI36" s="104"/>
      <c r="AJ36" s="93">
        <f t="shared" si="7"/>
        <v>1.4341028957937012</v>
      </c>
      <c r="AK36" s="93">
        <f t="shared" si="8"/>
        <v>1.6303489079149134</v>
      </c>
      <c r="AL36" s="105"/>
      <c r="AM36" s="93"/>
      <c r="AN36" s="93">
        <f t="shared" si="9"/>
        <v>1.059237956336625</v>
      </c>
      <c r="AO36" s="93">
        <f t="shared" si="10"/>
        <v>0.86299194421541281</v>
      </c>
      <c r="AP36" s="93">
        <f t="shared" si="11"/>
        <v>0.65212441394395149</v>
      </c>
      <c r="AQ36" s="93">
        <f t="shared" si="12"/>
        <v>0.21086753027146132</v>
      </c>
      <c r="AR36" s="52"/>
      <c r="AT36" s="72"/>
      <c r="AU36" s="72"/>
    </row>
    <row r="37" spans="1:47" hidden="1" x14ac:dyDescent="0.2">
      <c r="A37" s="6">
        <v>39203</v>
      </c>
      <c r="B37" s="6"/>
      <c r="C37" s="93">
        <f>Data!D30+'Economic Model'!C$65</f>
        <v>2.17</v>
      </c>
      <c r="D37" s="95">
        <f>Data!E30+'Economic Model'!C$66</f>
        <v>102.17045454545455</v>
      </c>
      <c r="E37" s="323"/>
      <c r="F37" s="93">
        <f>Data!G30+'Economic Model'!C$68</f>
        <v>3.4418181818181819</v>
      </c>
      <c r="G37" s="96">
        <f>Data!H30+'Economic Model'!C$69</f>
        <v>8</v>
      </c>
      <c r="H37" s="16"/>
      <c r="I37" s="84"/>
      <c r="J37" s="93">
        <f t="shared" si="0"/>
        <v>2.17</v>
      </c>
      <c r="K37" s="93">
        <f>D37/2000*('Economic Model'!C$32+0.5)/'Economic Model'!C$30</f>
        <v>0.30292643540669856</v>
      </c>
      <c r="L37" s="319"/>
      <c r="M37" s="93">
        <f t="shared" si="1"/>
        <v>2.4729264354066984</v>
      </c>
      <c r="N37" s="108"/>
      <c r="O37" s="109"/>
      <c r="P37" s="93">
        <f>F37/'Economic Model'!C$30</f>
        <v>1.2076555023923445</v>
      </c>
      <c r="Q37" s="93">
        <f>G37/1000*'Economic Model'!C$34</f>
        <v>0.24</v>
      </c>
      <c r="R37" s="93">
        <f>('Economic Model'!H$44+'Economic Model'!H$53)/100</f>
        <v>0.21939999999999998</v>
      </c>
      <c r="S37" s="93">
        <f t="shared" si="2"/>
        <v>1.6670555023923446</v>
      </c>
      <c r="T37" s="93">
        <f>'Economic Model'!H$60/100</f>
        <v>0.19624601212121212</v>
      </c>
      <c r="U37" s="93">
        <f t="shared" si="3"/>
        <v>1.8633015145135567</v>
      </c>
      <c r="V37" s="93">
        <f t="shared" si="13"/>
        <v>1.5603750791068582</v>
      </c>
      <c r="W37" s="105"/>
      <c r="X37" s="93"/>
      <c r="Y37" s="93">
        <f>M37-P37-Q37-('Economic Model'!H$50/100)</f>
        <v>0.98677093301435392</v>
      </c>
      <c r="Z37" s="93">
        <f t="shared" si="4"/>
        <v>0.80587093301435386</v>
      </c>
      <c r="AA37" s="93">
        <f t="shared" si="5"/>
        <v>0.60962492089314169</v>
      </c>
      <c r="AB37" s="80"/>
      <c r="AC37" s="15"/>
      <c r="AD37" s="81"/>
      <c r="AE37" s="93">
        <f>'Returns per Bu.'!AD37/'Economic Model'!C$30</f>
        <v>0.28535193405199744</v>
      </c>
      <c r="AF37" s="93">
        <f t="shared" si="6"/>
        <v>0.67195096174170366</v>
      </c>
      <c r="AG37" s="93">
        <f>'Returns per Bu.'!AF37/'Economic Model'!C$30</f>
        <v>0.95730289579370109</v>
      </c>
      <c r="AH37" s="105"/>
      <c r="AI37" s="104"/>
      <c r="AJ37" s="93">
        <f t="shared" si="7"/>
        <v>1.4167028957937011</v>
      </c>
      <c r="AK37" s="93">
        <f t="shared" si="8"/>
        <v>1.6129489079149133</v>
      </c>
      <c r="AL37" s="105"/>
      <c r="AM37" s="93"/>
      <c r="AN37" s="93">
        <f t="shared" si="9"/>
        <v>1.0562235396129973</v>
      </c>
      <c r="AO37" s="93">
        <f t="shared" si="10"/>
        <v>0.85997752749178513</v>
      </c>
      <c r="AP37" s="93">
        <f t="shared" si="11"/>
        <v>0.60962492089314169</v>
      </c>
      <c r="AQ37" s="93">
        <f t="shared" si="12"/>
        <v>0.25035260659864345</v>
      </c>
      <c r="AR37" s="52"/>
      <c r="AT37" s="72"/>
      <c r="AU37" s="72"/>
    </row>
    <row r="38" spans="1:47" hidden="1" x14ac:dyDescent="0.2">
      <c r="A38" s="8">
        <v>39234</v>
      </c>
      <c r="B38" s="8"/>
      <c r="C38" s="93">
        <f>Data!D31+'Economic Model'!C$65</f>
        <v>2.09</v>
      </c>
      <c r="D38" s="95">
        <f>Data!E31+'Economic Model'!C$66</f>
        <v>96.642857142857139</v>
      </c>
      <c r="E38" s="323"/>
      <c r="F38" s="93">
        <f>Data!G31+'Economic Model'!C$68</f>
        <v>3.6492857142857154</v>
      </c>
      <c r="G38" s="96">
        <f>Data!H31+'Economic Model'!C$69</f>
        <v>8.58</v>
      </c>
      <c r="H38" s="16"/>
      <c r="I38" s="84"/>
      <c r="J38" s="93">
        <f t="shared" si="0"/>
        <v>2.09</v>
      </c>
      <c r="K38" s="93">
        <f>D38/2000*('Economic Model'!C$32+0.5)/'Economic Model'!C$30</f>
        <v>0.28653759398496237</v>
      </c>
      <c r="L38" s="319"/>
      <c r="M38" s="93">
        <f t="shared" si="1"/>
        <v>2.3765375939849624</v>
      </c>
      <c r="N38" s="108"/>
      <c r="O38" s="109"/>
      <c r="P38" s="93">
        <f>F38/'Economic Model'!C$30</f>
        <v>1.2804511278195492</v>
      </c>
      <c r="Q38" s="93">
        <f>G38/1000*'Economic Model'!C$34</f>
        <v>0.25740000000000002</v>
      </c>
      <c r="R38" s="93">
        <f>('Economic Model'!H$44+'Economic Model'!H$53)/100</f>
        <v>0.21939999999999998</v>
      </c>
      <c r="S38" s="93">
        <f t="shared" si="2"/>
        <v>1.7572511278195493</v>
      </c>
      <c r="T38" s="93">
        <f>'Economic Model'!H$60/100</f>
        <v>0.19624601212121212</v>
      </c>
      <c r="U38" s="93">
        <f t="shared" si="3"/>
        <v>1.9534971399407615</v>
      </c>
      <c r="V38" s="93">
        <f t="shared" si="13"/>
        <v>1.6669595459557991</v>
      </c>
      <c r="W38" s="105"/>
      <c r="X38" s="93"/>
      <c r="Y38" s="93">
        <f>M38-P38-Q38-('Economic Model'!H$50/100)</f>
        <v>0.80018646616541322</v>
      </c>
      <c r="Z38" s="93">
        <f t="shared" si="4"/>
        <v>0.61928646616541316</v>
      </c>
      <c r="AA38" s="93">
        <f t="shared" si="5"/>
        <v>0.42304045404420099</v>
      </c>
      <c r="AB38" s="80"/>
      <c r="AC38" s="15"/>
      <c r="AD38" s="81"/>
      <c r="AE38" s="93">
        <f>'Returns per Bu.'!AD38/'Economic Model'!C$30</f>
        <v>0.28535193405199744</v>
      </c>
      <c r="AF38" s="93">
        <f t="shared" si="6"/>
        <v>0.67195096174170366</v>
      </c>
      <c r="AG38" s="93">
        <f>'Returns per Bu.'!AF38/'Economic Model'!C$30</f>
        <v>0.95730289579370109</v>
      </c>
      <c r="AH38" s="105"/>
      <c r="AI38" s="104"/>
      <c r="AJ38" s="93">
        <f t="shared" si="7"/>
        <v>1.4341028957937012</v>
      </c>
      <c r="AK38" s="93">
        <f t="shared" si="8"/>
        <v>1.6303489079149134</v>
      </c>
      <c r="AL38" s="105"/>
      <c r="AM38" s="93"/>
      <c r="AN38" s="93">
        <f t="shared" si="9"/>
        <v>0.94243469819126124</v>
      </c>
      <c r="AO38" s="93">
        <f t="shared" si="10"/>
        <v>0.74618868607004907</v>
      </c>
      <c r="AP38" s="93">
        <f t="shared" si="11"/>
        <v>0.42304045404420099</v>
      </c>
      <c r="AQ38" s="93">
        <f t="shared" si="12"/>
        <v>0.32314823202584808</v>
      </c>
      <c r="AR38" s="52"/>
      <c r="AT38" s="72"/>
      <c r="AU38" s="72"/>
    </row>
    <row r="39" spans="1:47" hidden="1" x14ac:dyDescent="0.2">
      <c r="A39" s="6">
        <v>39264</v>
      </c>
      <c r="B39" s="6"/>
      <c r="C39" s="93">
        <f>Data!D32+'Economic Model'!C$65</f>
        <v>1.97</v>
      </c>
      <c r="D39" s="95">
        <f>Data!E32+'Economic Model'!C$66</f>
        <v>93.88095238095238</v>
      </c>
      <c r="E39" s="323"/>
      <c r="F39" s="93">
        <f>Data!G32+'Economic Model'!C$68</f>
        <v>3.013363571428572</v>
      </c>
      <c r="G39" s="96">
        <f>Data!H32+'Economic Model'!C$69</f>
        <v>8.61</v>
      </c>
      <c r="H39" s="16"/>
      <c r="I39" s="84"/>
      <c r="J39" s="93">
        <f t="shared" si="0"/>
        <v>1.97</v>
      </c>
      <c r="K39" s="93">
        <f>D39/2000*('Economic Model'!C$32+0.5)/'Economic Model'!C$30</f>
        <v>0.27834878863826229</v>
      </c>
      <c r="L39" s="319"/>
      <c r="M39" s="93">
        <f t="shared" si="1"/>
        <v>2.2483487886382623</v>
      </c>
      <c r="N39" s="108"/>
      <c r="O39" s="109"/>
      <c r="P39" s="93">
        <f>F39/'Economic Model'!C$30</f>
        <v>1.0573205513784463</v>
      </c>
      <c r="Q39" s="93">
        <f>G39/1000*'Economic Model'!C$34</f>
        <v>0.25829999999999997</v>
      </c>
      <c r="R39" s="93">
        <f>('Economic Model'!H$44+'Economic Model'!H$53)/100</f>
        <v>0.21939999999999998</v>
      </c>
      <c r="S39" s="93">
        <f t="shared" si="2"/>
        <v>1.5350205513784463</v>
      </c>
      <c r="T39" s="93">
        <f>'Economic Model'!H$60/100</f>
        <v>0.19624601212121212</v>
      </c>
      <c r="U39" s="93">
        <f t="shared" si="3"/>
        <v>1.7312665634996585</v>
      </c>
      <c r="V39" s="93">
        <f t="shared" si="13"/>
        <v>1.4529177748613962</v>
      </c>
      <c r="W39" s="105"/>
      <c r="X39" s="93"/>
      <c r="Y39" s="93">
        <f>M39-P39-Q39-('Economic Model'!H$50/100)</f>
        <v>0.89422823725981604</v>
      </c>
      <c r="Z39" s="93">
        <f t="shared" si="4"/>
        <v>0.71332823725981598</v>
      </c>
      <c r="AA39" s="93">
        <f t="shared" si="5"/>
        <v>0.5170822251386038</v>
      </c>
      <c r="AB39" s="80"/>
      <c r="AC39" s="15"/>
      <c r="AD39" s="81"/>
      <c r="AE39" s="93">
        <f>'Returns per Bu.'!AD39/'Economic Model'!C$30</f>
        <v>0.28535193405199744</v>
      </c>
      <c r="AF39" s="93">
        <f t="shared" si="6"/>
        <v>0.67195096174170366</v>
      </c>
      <c r="AG39" s="93">
        <f>'Returns per Bu.'!AF39/'Economic Model'!C$30</f>
        <v>0.95730289579370109</v>
      </c>
      <c r="AH39" s="105"/>
      <c r="AI39" s="104"/>
      <c r="AJ39" s="93">
        <f t="shared" si="7"/>
        <v>1.4350028957937011</v>
      </c>
      <c r="AK39" s="93">
        <f t="shared" si="8"/>
        <v>1.6312489079149133</v>
      </c>
      <c r="AL39" s="105"/>
      <c r="AM39" s="93"/>
      <c r="AN39" s="93">
        <f t="shared" si="9"/>
        <v>0.81334589284456116</v>
      </c>
      <c r="AO39" s="93">
        <f t="shared" si="10"/>
        <v>0.61709988072334898</v>
      </c>
      <c r="AP39" s="93">
        <f t="shared" si="11"/>
        <v>0.5170822251386038</v>
      </c>
      <c r="AQ39" s="93">
        <f t="shared" si="12"/>
        <v>0.10001765558474518</v>
      </c>
      <c r="AR39" s="52"/>
      <c r="AT39" s="72"/>
      <c r="AU39" s="72"/>
    </row>
    <row r="40" spans="1:47" hidden="1" x14ac:dyDescent="0.2">
      <c r="A40" s="8">
        <v>39295</v>
      </c>
      <c r="B40" s="6"/>
      <c r="C40" s="93">
        <f>Data!D33+'Economic Model'!C$65</f>
        <v>1.86</v>
      </c>
      <c r="D40" s="95">
        <f>Data!E33+'Economic Model'!C$66</f>
        <v>92.413043478260875</v>
      </c>
      <c r="E40" s="323"/>
      <c r="F40" s="93">
        <f>Data!G33+'Economic Model'!C$68</f>
        <v>3.0681576086956519</v>
      </c>
      <c r="G40" s="96">
        <f>Data!H33+'Economic Model'!C$69</f>
        <v>7.88</v>
      </c>
      <c r="H40" s="16"/>
      <c r="I40" s="84"/>
      <c r="J40" s="93">
        <f t="shared" si="0"/>
        <v>1.86</v>
      </c>
      <c r="K40" s="93">
        <f>D40/2000*('Economic Model'!C$32+0.5)/'Economic Model'!C$30</f>
        <v>0.27399656750572082</v>
      </c>
      <c r="L40" s="319"/>
      <c r="M40" s="93">
        <f t="shared" si="1"/>
        <v>2.1339965675057209</v>
      </c>
      <c r="N40" s="108"/>
      <c r="O40" s="109"/>
      <c r="P40" s="93">
        <f>F40/'Economic Model'!C$30</f>
        <v>1.0765465293668954</v>
      </c>
      <c r="Q40" s="93">
        <f>G40/1000*'Economic Model'!C$34</f>
        <v>0.2364</v>
      </c>
      <c r="R40" s="93">
        <f>('Economic Model'!H$44+'Economic Model'!H$53)/100</f>
        <v>0.21939999999999998</v>
      </c>
      <c r="S40" s="93">
        <f t="shared" si="2"/>
        <v>1.5323465293668954</v>
      </c>
      <c r="T40" s="93">
        <f>'Economic Model'!H$60/100</f>
        <v>0.19624601212121212</v>
      </c>
      <c r="U40" s="93">
        <f t="shared" si="3"/>
        <v>1.7285925414881076</v>
      </c>
      <c r="V40" s="93">
        <f t="shared" si="13"/>
        <v>1.4545959739823868</v>
      </c>
      <c r="W40" s="105"/>
      <c r="X40" s="93"/>
      <c r="Y40" s="93">
        <f>M40-P40-Q40-('Economic Model'!H$50/100)</f>
        <v>0.78255003813882551</v>
      </c>
      <c r="Z40" s="93">
        <f t="shared" si="4"/>
        <v>0.60165003813882545</v>
      </c>
      <c r="AA40" s="93">
        <f t="shared" si="5"/>
        <v>0.40540402601761327</v>
      </c>
      <c r="AB40" s="80"/>
      <c r="AC40" s="15"/>
      <c r="AD40" s="81"/>
      <c r="AE40" s="93">
        <f>'Returns per Bu.'!AD40/'Economic Model'!C$30</f>
        <v>0.28535193405199744</v>
      </c>
      <c r="AF40" s="93">
        <f t="shared" si="6"/>
        <v>0.67195096174170366</v>
      </c>
      <c r="AG40" s="93">
        <f>'Returns per Bu.'!AF40/'Economic Model'!C$30</f>
        <v>0.95730289579370109</v>
      </c>
      <c r="AH40" s="105"/>
      <c r="AI40" s="104"/>
      <c r="AJ40" s="93">
        <f t="shared" si="7"/>
        <v>1.4131028957937011</v>
      </c>
      <c r="AK40" s="93">
        <f t="shared" si="8"/>
        <v>1.6093489079149133</v>
      </c>
      <c r="AL40" s="105"/>
      <c r="AM40" s="93"/>
      <c r="AN40" s="93">
        <f t="shared" si="9"/>
        <v>0.72089367171201979</v>
      </c>
      <c r="AO40" s="93">
        <f t="shared" si="10"/>
        <v>0.52464765959080761</v>
      </c>
      <c r="AP40" s="93">
        <f t="shared" si="11"/>
        <v>0.40540402601761327</v>
      </c>
      <c r="AQ40" s="93">
        <f t="shared" si="12"/>
        <v>0.11924363357319434</v>
      </c>
      <c r="AR40" s="52"/>
      <c r="AT40" s="72"/>
      <c r="AU40" s="72"/>
    </row>
    <row r="41" spans="1:47" hidden="1" x14ac:dyDescent="0.2">
      <c r="A41" s="6">
        <v>39326</v>
      </c>
      <c r="B41" s="6"/>
      <c r="C41" s="93">
        <f>Data!D34+'Economic Model'!C$65</f>
        <v>1.5768421052631594</v>
      </c>
      <c r="D41" s="95">
        <f>Data!E34+'Economic Model'!C$66</f>
        <v>99.973684210526315</v>
      </c>
      <c r="E41" s="323"/>
      <c r="F41" s="93">
        <f>Data!G34+'Economic Model'!C$68</f>
        <v>3.161973684210527</v>
      </c>
      <c r="G41" s="96">
        <f>Data!H34+'Economic Model'!C$69</f>
        <v>7.48</v>
      </c>
      <c r="H41" s="16"/>
      <c r="I41" s="84"/>
      <c r="J41" s="93">
        <f t="shared" ref="J41:J72" si="14">C41</f>
        <v>1.5768421052631594</v>
      </c>
      <c r="K41" s="93">
        <f>D41/2000*('Economic Model'!C$32+0.5)/'Economic Model'!C$30</f>
        <v>0.29641320406278848</v>
      </c>
      <c r="L41" s="319"/>
      <c r="M41" s="93">
        <f t="shared" ref="M41:M72" si="15">J41+K41</f>
        <v>1.8732553093259479</v>
      </c>
      <c r="N41" s="108"/>
      <c r="O41" s="109"/>
      <c r="P41" s="93">
        <f>F41/'Economic Model'!C$30</f>
        <v>1.1094644506001849</v>
      </c>
      <c r="Q41" s="93">
        <f>G41/1000*'Economic Model'!C$34</f>
        <v>0.22440000000000002</v>
      </c>
      <c r="R41" s="93">
        <f>('Economic Model'!H$44+'Economic Model'!H$53)/100</f>
        <v>0.21939999999999998</v>
      </c>
      <c r="S41" s="93">
        <f t="shared" ref="S41:S72" si="16">P41+Q41+R41</f>
        <v>1.5532644506001849</v>
      </c>
      <c r="T41" s="93">
        <f>'Economic Model'!H$60/100</f>
        <v>0.19624601212121212</v>
      </c>
      <c r="U41" s="93">
        <f t="shared" ref="U41:U72" si="17">S41+T41</f>
        <v>1.7495104627213971</v>
      </c>
      <c r="V41" s="93">
        <f t="shared" si="13"/>
        <v>1.4530972586586086</v>
      </c>
      <c r="W41" s="105"/>
      <c r="X41" s="93"/>
      <c r="Y41" s="93">
        <f>M41-P41-Q41-('Economic Model'!H$50/100)</f>
        <v>0.50089085872576289</v>
      </c>
      <c r="Z41" s="93">
        <f t="shared" ref="Z41:Z72" si="18">M41-S41</f>
        <v>0.31999085872576294</v>
      </c>
      <c r="AA41" s="93">
        <f t="shared" ref="AA41:AA72" si="19">M41-U41</f>
        <v>0.12374484660455076</v>
      </c>
      <c r="AB41" s="80"/>
      <c r="AC41" s="15"/>
      <c r="AD41" s="81"/>
      <c r="AE41" s="93">
        <f>'Returns per Bu.'!AD41/'Economic Model'!C$30</f>
        <v>0.30368318456961113</v>
      </c>
      <c r="AF41" s="93">
        <f t="shared" ref="AF41:AF72" si="20">AG41-AE41</f>
        <v>0.69510618651892875</v>
      </c>
      <c r="AG41" s="93">
        <f>'Returns per Bu.'!AF41/'Economic Model'!C$30</f>
        <v>0.99878937108853993</v>
      </c>
      <c r="AH41" s="105"/>
      <c r="AI41" s="104"/>
      <c r="AJ41" s="93">
        <f t="shared" ref="AJ41:AJ72" si="21">AG41+Q41+R41</f>
        <v>1.44258937108854</v>
      </c>
      <c r="AK41" s="93">
        <f t="shared" ref="AK41:AK72" si="22">T41+AJ41</f>
        <v>1.6388353832097522</v>
      </c>
      <c r="AL41" s="105"/>
      <c r="AM41" s="93"/>
      <c r="AN41" s="93">
        <f t="shared" ref="AN41:AN72" si="23">M41-AJ41</f>
        <v>0.43066593823740784</v>
      </c>
      <c r="AO41" s="93">
        <f t="shared" ref="AO41:AO72" si="24">M41-AK41</f>
        <v>0.23441992611619566</v>
      </c>
      <c r="AP41" s="93">
        <f t="shared" ref="AP41:AP72" si="25">AO41-AQ41</f>
        <v>0.12374484660455065</v>
      </c>
      <c r="AQ41" s="93">
        <f t="shared" ref="AQ41:AQ72" si="26">P41-AG41</f>
        <v>0.11067507951164501</v>
      </c>
      <c r="AR41" s="52"/>
      <c r="AT41" s="72"/>
      <c r="AU41" s="72"/>
    </row>
    <row r="42" spans="1:47" hidden="1" x14ac:dyDescent="0.2">
      <c r="A42" s="8">
        <v>39356</v>
      </c>
      <c r="B42" s="6"/>
      <c r="C42" s="93">
        <f>Data!D35+'Economic Model'!C$65</f>
        <v>1.5232608695652179</v>
      </c>
      <c r="D42" s="95">
        <f>Data!E35+'Economic Model'!C$66</f>
        <v>114.71739130434783</v>
      </c>
      <c r="E42" s="323"/>
      <c r="F42" s="93">
        <f>Data!G35+'Economic Model'!C$68</f>
        <v>3.1945951086956517</v>
      </c>
      <c r="G42" s="96">
        <f>Data!H35+'Economic Model'!C$69</f>
        <v>7.48</v>
      </c>
      <c r="H42" s="16"/>
      <c r="I42" s="84"/>
      <c r="J42" s="93">
        <f t="shared" si="14"/>
        <v>1.5232608695652179</v>
      </c>
      <c r="K42" s="93">
        <f>D42/2000*('Economic Model'!C$32+0.5)/'Economic Model'!C$30</f>
        <v>0.34012700228832948</v>
      </c>
      <c r="L42" s="319"/>
      <c r="M42" s="93">
        <f t="shared" si="15"/>
        <v>1.8633878718535475</v>
      </c>
      <c r="N42" s="108"/>
      <c r="O42" s="109"/>
      <c r="P42" s="93">
        <f>F42/'Economic Model'!C$30</f>
        <v>1.1209105644546147</v>
      </c>
      <c r="Q42" s="93">
        <f>G42/1000*'Economic Model'!C$34</f>
        <v>0.22440000000000002</v>
      </c>
      <c r="R42" s="93">
        <f>('Economic Model'!H$44+'Economic Model'!H$53)/100</f>
        <v>0.21939999999999998</v>
      </c>
      <c r="S42" s="93">
        <f t="shared" si="16"/>
        <v>1.5647105644546146</v>
      </c>
      <c r="T42" s="93">
        <f>'Economic Model'!H$60/100</f>
        <v>0.19624601212121212</v>
      </c>
      <c r="U42" s="93">
        <f t="shared" si="17"/>
        <v>1.7609565765758268</v>
      </c>
      <c r="V42" s="93">
        <f t="shared" si="13"/>
        <v>1.4208295742874975</v>
      </c>
      <c r="W42" s="110"/>
      <c r="X42" s="108"/>
      <c r="Y42" s="93">
        <f>M42-P42-Q42-('Economic Model'!H$50/100)</f>
        <v>0.47957730739893278</v>
      </c>
      <c r="Z42" s="93">
        <f t="shared" si="18"/>
        <v>0.29867730739893283</v>
      </c>
      <c r="AA42" s="93">
        <f t="shared" si="19"/>
        <v>0.10243129527772066</v>
      </c>
      <c r="AB42" s="80"/>
      <c r="AC42" s="15"/>
      <c r="AD42" s="81"/>
      <c r="AE42" s="93">
        <f>'Returns per Bu.'!AD42/'Economic Model'!C$30</f>
        <v>0.30368318456961113</v>
      </c>
      <c r="AF42" s="93">
        <f t="shared" si="20"/>
        <v>0.69510618651892875</v>
      </c>
      <c r="AG42" s="93">
        <f>'Returns per Bu.'!AF42/'Economic Model'!C$30</f>
        <v>0.99878937108853993</v>
      </c>
      <c r="AH42" s="105"/>
      <c r="AI42" s="104"/>
      <c r="AJ42" s="93">
        <f t="shared" si="21"/>
        <v>1.44258937108854</v>
      </c>
      <c r="AK42" s="93">
        <f t="shared" si="22"/>
        <v>1.6388353832097522</v>
      </c>
      <c r="AL42" s="105"/>
      <c r="AM42" s="93"/>
      <c r="AN42" s="93">
        <f t="shared" si="23"/>
        <v>0.42079850076500747</v>
      </c>
      <c r="AO42" s="93">
        <f t="shared" si="24"/>
        <v>0.22455248864379529</v>
      </c>
      <c r="AP42" s="93">
        <f t="shared" si="25"/>
        <v>0.10243129527772055</v>
      </c>
      <c r="AQ42" s="93">
        <f t="shared" si="26"/>
        <v>0.12212119336607474</v>
      </c>
      <c r="AR42" s="52"/>
      <c r="AT42" s="72"/>
      <c r="AU42" s="72"/>
    </row>
    <row r="43" spans="1:47" hidden="1" x14ac:dyDescent="0.2">
      <c r="A43" s="6">
        <v>39387</v>
      </c>
      <c r="B43" s="6"/>
      <c r="C43" s="93">
        <f>Data!D36+'Economic Model'!C$65</f>
        <v>1.740454545454545</v>
      </c>
      <c r="D43" s="95">
        <f>Data!E36+'Economic Model'!C$66</f>
        <v>135.10714285714286</v>
      </c>
      <c r="E43" s="323"/>
      <c r="F43" s="93">
        <f>Data!G36+'Economic Model'!C$68</f>
        <v>3.5963095238095235</v>
      </c>
      <c r="G43" s="96">
        <f>Data!H36+'Economic Model'!C$69</f>
        <v>8.5299999999999994</v>
      </c>
      <c r="H43" s="16"/>
      <c r="I43" s="84"/>
      <c r="J43" s="93">
        <f t="shared" si="14"/>
        <v>1.740454545454545</v>
      </c>
      <c r="K43" s="93">
        <f>D43/2000*('Economic Model'!C$32+0.5)/'Economic Model'!C$30</f>
        <v>0.40058082706766918</v>
      </c>
      <c r="L43" s="319"/>
      <c r="M43" s="93">
        <f t="shared" si="15"/>
        <v>2.1410353725222144</v>
      </c>
      <c r="N43" s="108"/>
      <c r="O43" s="109"/>
      <c r="P43" s="93">
        <f>F43/'Economic Model'!C$30</f>
        <v>1.2618629908103591</v>
      </c>
      <c r="Q43" s="93">
        <f>G43/1000*'Economic Model'!C$34</f>
        <v>0.25589999999999996</v>
      </c>
      <c r="R43" s="93">
        <f>('Economic Model'!H$44+'Economic Model'!H$53)/100</f>
        <v>0.21939999999999998</v>
      </c>
      <c r="S43" s="93">
        <f t="shared" si="16"/>
        <v>1.7371629908103592</v>
      </c>
      <c r="T43" s="93">
        <f>'Economic Model'!H$60/100</f>
        <v>0.19624601212121212</v>
      </c>
      <c r="U43" s="93">
        <f t="shared" si="17"/>
        <v>1.9334090029315714</v>
      </c>
      <c r="V43" s="93">
        <f t="shared" si="13"/>
        <v>1.5328281758639022</v>
      </c>
      <c r="W43" s="110"/>
      <c r="X43" s="108"/>
      <c r="Y43" s="93">
        <f>M43-P43-Q43-('Economic Model'!H$50/100)</f>
        <v>0.5847723817118553</v>
      </c>
      <c r="Z43" s="93">
        <f t="shared" si="18"/>
        <v>0.40387238171185524</v>
      </c>
      <c r="AA43" s="93">
        <f t="shared" si="19"/>
        <v>0.20762636959064307</v>
      </c>
      <c r="AB43" s="80"/>
      <c r="AC43" s="15"/>
      <c r="AD43" s="81"/>
      <c r="AE43" s="93">
        <f>'Returns per Bu.'!AD43/'Economic Model'!C$30</f>
        <v>0.30368318456961113</v>
      </c>
      <c r="AF43" s="93">
        <f t="shared" si="20"/>
        <v>0.69510618651892875</v>
      </c>
      <c r="AG43" s="93">
        <f>'Returns per Bu.'!AF43/'Economic Model'!C$30</f>
        <v>0.99878937108853993</v>
      </c>
      <c r="AH43" s="105"/>
      <c r="AI43" s="104"/>
      <c r="AJ43" s="93">
        <f t="shared" si="21"/>
        <v>1.4740893710885399</v>
      </c>
      <c r="AK43" s="93">
        <f t="shared" si="22"/>
        <v>1.6703353832097521</v>
      </c>
      <c r="AL43" s="105"/>
      <c r="AM43" s="93"/>
      <c r="AN43" s="93">
        <f t="shared" si="23"/>
        <v>0.66694600143367455</v>
      </c>
      <c r="AO43" s="93">
        <f t="shared" si="24"/>
        <v>0.47069998931246237</v>
      </c>
      <c r="AP43" s="93">
        <f t="shared" si="25"/>
        <v>0.20762636959064318</v>
      </c>
      <c r="AQ43" s="93">
        <f t="shared" si="26"/>
        <v>0.2630736197218192</v>
      </c>
      <c r="AR43" s="52"/>
      <c r="AT43" s="72"/>
      <c r="AU43" s="72"/>
    </row>
    <row r="44" spans="1:47" hidden="1" x14ac:dyDescent="0.2">
      <c r="A44" s="68">
        <v>39417</v>
      </c>
      <c r="B44" s="70"/>
      <c r="C44" s="97">
        <f>Data!D37+'Economic Model'!C$65</f>
        <v>1.9428947368421057</v>
      </c>
      <c r="D44" s="99">
        <f>Data!E37+'Economic Model'!C$66</f>
        <v>148.18421052631578</v>
      </c>
      <c r="E44" s="324"/>
      <c r="F44" s="97">
        <f>Data!G37+'Economic Model'!C$68</f>
        <v>4.0218421052631568</v>
      </c>
      <c r="G44" s="100">
        <f>Data!H37+'Economic Model'!C$69</f>
        <v>8.86</v>
      </c>
      <c r="H44" s="71"/>
      <c r="I44" s="86"/>
      <c r="J44" s="97">
        <f t="shared" si="14"/>
        <v>1.9428947368421057</v>
      </c>
      <c r="K44" s="97">
        <f>D44/2000*('Economic Model'!C$32+0.5)/'Economic Model'!C$30</f>
        <v>0.4393531855955678</v>
      </c>
      <c r="L44" s="320"/>
      <c r="M44" s="97">
        <f t="shared" si="15"/>
        <v>2.3822479224376734</v>
      </c>
      <c r="N44" s="111"/>
      <c r="O44" s="112"/>
      <c r="P44" s="97">
        <f>F44/'Economic Model'!C$30</f>
        <v>1.4111726685133883</v>
      </c>
      <c r="Q44" s="97">
        <f>G44/1000*'Economic Model'!C$34</f>
        <v>0.26579999999999998</v>
      </c>
      <c r="R44" s="97">
        <f>('Economic Model'!H$44+'Economic Model'!H$53)/100</f>
        <v>0.21939999999999998</v>
      </c>
      <c r="S44" s="97">
        <f t="shared" si="16"/>
        <v>1.8963726685133884</v>
      </c>
      <c r="T44" s="97">
        <f>'Economic Model'!H$60/100</f>
        <v>0.19624601212121212</v>
      </c>
      <c r="U44" s="97">
        <f t="shared" si="17"/>
        <v>2.0926186806346005</v>
      </c>
      <c r="V44" s="97">
        <f t="shared" si="13"/>
        <v>1.6532654950390326</v>
      </c>
      <c r="W44" s="113"/>
      <c r="X44" s="111"/>
      <c r="Y44" s="93">
        <f>M44-P44-Q44-('Economic Model'!H$50/100)</f>
        <v>0.66677525392428505</v>
      </c>
      <c r="Z44" s="97">
        <f t="shared" si="18"/>
        <v>0.48587525392428499</v>
      </c>
      <c r="AA44" s="97">
        <f t="shared" si="19"/>
        <v>0.28962924180307281</v>
      </c>
      <c r="AB44" s="82"/>
      <c r="AC44" s="15"/>
      <c r="AD44" s="83"/>
      <c r="AE44" s="97">
        <f>'Returns per Bu.'!AD44/'Economic Model'!C$30</f>
        <v>0.30368318456961113</v>
      </c>
      <c r="AF44" s="97">
        <f t="shared" si="20"/>
        <v>0.69510618651892875</v>
      </c>
      <c r="AG44" s="97">
        <f>'Returns per Bu.'!AF44/'Economic Model'!C$30</f>
        <v>0.99878937108853993</v>
      </c>
      <c r="AH44" s="107"/>
      <c r="AI44" s="106"/>
      <c r="AJ44" s="97">
        <f t="shared" si="21"/>
        <v>1.4839893710885399</v>
      </c>
      <c r="AK44" s="97">
        <f t="shared" si="22"/>
        <v>1.6802353832097521</v>
      </c>
      <c r="AL44" s="107"/>
      <c r="AM44" s="97"/>
      <c r="AN44" s="97">
        <f t="shared" si="23"/>
        <v>0.89825855134913346</v>
      </c>
      <c r="AO44" s="97">
        <f t="shared" si="24"/>
        <v>0.70201253922792128</v>
      </c>
      <c r="AP44" s="97">
        <f t="shared" si="25"/>
        <v>0.28962924180307292</v>
      </c>
      <c r="AQ44" s="97">
        <f t="shared" si="26"/>
        <v>0.41238329742484836</v>
      </c>
      <c r="AR44" s="64"/>
      <c r="AT44" s="72"/>
      <c r="AU44" s="72"/>
    </row>
    <row r="45" spans="1:47" hidden="1" x14ac:dyDescent="0.2">
      <c r="A45" s="21">
        <v>39448</v>
      </c>
      <c r="B45" s="6"/>
      <c r="C45" s="93">
        <f>Data!D38+'Economic Model'!C$65</f>
        <v>2.19</v>
      </c>
      <c r="D45" s="95">
        <f>Data!E38+'Economic Model'!C$66</f>
        <v>175.54545454545453</v>
      </c>
      <c r="E45" s="323"/>
      <c r="F45" s="93">
        <f>Data!G38+'Economic Model'!C$68</f>
        <v>4.5595454545454537</v>
      </c>
      <c r="G45" s="96">
        <f>Data!H38+'Economic Model'!C$69</f>
        <v>8.74</v>
      </c>
      <c r="H45" s="16"/>
      <c r="I45" s="84"/>
      <c r="J45" s="93">
        <f t="shared" si="14"/>
        <v>2.19</v>
      </c>
      <c r="K45" s="93">
        <f>D45/2000*('Economic Model'!C$32+0.5)/'Economic Model'!C$30</f>
        <v>0.52047687400318965</v>
      </c>
      <c r="L45" s="319"/>
      <c r="M45" s="93">
        <f t="shared" si="15"/>
        <v>2.7104768740031897</v>
      </c>
      <c r="N45" s="108"/>
      <c r="O45" s="109"/>
      <c r="P45" s="93">
        <f>F45/'Economic Model'!C$30</f>
        <v>1.5998405103668258</v>
      </c>
      <c r="Q45" s="93">
        <f>G45/1000*'Economic Model'!C$34</f>
        <v>0.26219999999999999</v>
      </c>
      <c r="R45" s="93">
        <f>('Economic Model'!H$44+'Economic Model'!H$53)/100</f>
        <v>0.21939999999999998</v>
      </c>
      <c r="S45" s="93">
        <f t="shared" si="16"/>
        <v>2.0814405103668259</v>
      </c>
      <c r="T45" s="93">
        <f>'Economic Model'!H$60/100</f>
        <v>0.19624601212121212</v>
      </c>
      <c r="U45" s="93">
        <f t="shared" si="17"/>
        <v>2.2776865224880378</v>
      </c>
      <c r="V45" s="93">
        <f t="shared" si="13"/>
        <v>1.7572096484848481</v>
      </c>
      <c r="W45" s="105"/>
      <c r="X45" s="93"/>
      <c r="Y45" s="101">
        <f>M45-P45-Q45-('Economic Model'!H$50/100)</f>
        <v>0.8099363636363639</v>
      </c>
      <c r="Z45" s="93">
        <f t="shared" si="18"/>
        <v>0.62903636363636384</v>
      </c>
      <c r="AA45" s="93">
        <f t="shared" si="19"/>
        <v>0.43279035151515188</v>
      </c>
      <c r="AB45" s="80"/>
      <c r="AC45" s="15"/>
      <c r="AD45" s="81"/>
      <c r="AE45" s="93">
        <f>'Returns per Bu.'!AD45/'Economic Model'!C$30</f>
        <v>0.30368318456961113</v>
      </c>
      <c r="AF45" s="93">
        <f t="shared" si="20"/>
        <v>0.69510618651892875</v>
      </c>
      <c r="AG45" s="93">
        <f>'Returns per Bu.'!AF45/'Economic Model'!C$30</f>
        <v>0.99878937108853993</v>
      </c>
      <c r="AH45" s="105"/>
      <c r="AI45" s="104"/>
      <c r="AJ45" s="93">
        <f t="shared" si="21"/>
        <v>1.4803893710885399</v>
      </c>
      <c r="AK45" s="93">
        <f t="shared" si="22"/>
        <v>1.676635383209752</v>
      </c>
      <c r="AL45" s="105"/>
      <c r="AM45" s="93"/>
      <c r="AN45" s="93">
        <f t="shared" si="23"/>
        <v>1.2300875029146499</v>
      </c>
      <c r="AO45" s="93">
        <f t="shared" si="24"/>
        <v>1.0338414907934377</v>
      </c>
      <c r="AP45" s="93">
        <f t="shared" si="25"/>
        <v>0.43279035151515177</v>
      </c>
      <c r="AQ45" s="93">
        <f t="shared" si="26"/>
        <v>0.60105113927828591</v>
      </c>
      <c r="AR45" s="52"/>
      <c r="AT45" s="72"/>
      <c r="AU45" s="72"/>
    </row>
    <row r="46" spans="1:47" hidden="1" x14ac:dyDescent="0.2">
      <c r="A46" s="8">
        <v>39479</v>
      </c>
      <c r="B46" s="8"/>
      <c r="C46" s="93">
        <f>Data!D39+'Economic Model'!C$65</f>
        <v>2.1254761904761899</v>
      </c>
      <c r="D46" s="95">
        <f>Data!E39+'Economic Model'!C$66</f>
        <v>163.1904761904762</v>
      </c>
      <c r="E46" s="323"/>
      <c r="F46" s="93">
        <f>Data!G39+'Economic Model'!C$68</f>
        <v>4.906190476190476</v>
      </c>
      <c r="G46" s="96">
        <f>Data!H39+'Economic Model'!C$69</f>
        <v>9.99</v>
      </c>
      <c r="H46" s="16"/>
      <c r="I46" s="84"/>
      <c r="J46" s="93">
        <f t="shared" si="14"/>
        <v>2.1254761904761899</v>
      </c>
      <c r="K46" s="93">
        <f>D46/2000*('Economic Model'!C$32+0.5)/'Economic Model'!C$30</f>
        <v>0.48384544695071008</v>
      </c>
      <c r="L46" s="319"/>
      <c r="M46" s="93">
        <f t="shared" si="15"/>
        <v>2.6093216374269002</v>
      </c>
      <c r="N46" s="108"/>
      <c r="O46" s="109"/>
      <c r="P46" s="93">
        <f>F46/'Economic Model'!C$30</f>
        <v>1.721470342522974</v>
      </c>
      <c r="Q46" s="93">
        <f>G46/1000*'Economic Model'!C$34</f>
        <v>0.29970000000000002</v>
      </c>
      <c r="R46" s="93">
        <f>('Economic Model'!H$44+'Economic Model'!H$53)/100</f>
        <v>0.21939999999999998</v>
      </c>
      <c r="S46" s="93">
        <f t="shared" si="16"/>
        <v>2.2405703425229739</v>
      </c>
      <c r="T46" s="93">
        <f>'Economic Model'!H$60/100</f>
        <v>0.19624601212121212</v>
      </c>
      <c r="U46" s="93">
        <f t="shared" si="17"/>
        <v>2.4368163546441859</v>
      </c>
      <c r="V46" s="93">
        <f t="shared" si="13"/>
        <v>1.9529709076934758</v>
      </c>
      <c r="W46" s="105"/>
      <c r="X46" s="93"/>
      <c r="Y46" s="93">
        <f>M46-P46-Q46-('Economic Model'!H$50/100)</f>
        <v>0.54965129490392606</v>
      </c>
      <c r="Z46" s="93">
        <f t="shared" si="18"/>
        <v>0.36875129490392622</v>
      </c>
      <c r="AA46" s="93">
        <f t="shared" si="19"/>
        <v>0.17250528278271426</v>
      </c>
      <c r="AB46" s="80"/>
      <c r="AC46" s="15"/>
      <c r="AD46" s="81"/>
      <c r="AE46" s="93">
        <f>'Returns per Bu.'!AD46/'Economic Model'!C$30</f>
        <v>0.30368318456961113</v>
      </c>
      <c r="AF46" s="93">
        <f t="shared" si="20"/>
        <v>0.69510618651892875</v>
      </c>
      <c r="AG46" s="93">
        <f>'Returns per Bu.'!AF46/'Economic Model'!C$30</f>
        <v>0.99878937108853993</v>
      </c>
      <c r="AH46" s="105"/>
      <c r="AI46" s="104"/>
      <c r="AJ46" s="93">
        <f t="shared" si="21"/>
        <v>1.5178893710885399</v>
      </c>
      <c r="AK46" s="93">
        <f t="shared" si="22"/>
        <v>1.7141353832097521</v>
      </c>
      <c r="AL46" s="105"/>
      <c r="AM46" s="93"/>
      <c r="AN46" s="93">
        <f t="shared" si="23"/>
        <v>1.0914322663383602</v>
      </c>
      <c r="AO46" s="93">
        <f t="shared" si="24"/>
        <v>0.89518625421714804</v>
      </c>
      <c r="AP46" s="93">
        <f t="shared" si="25"/>
        <v>0.17250528278271393</v>
      </c>
      <c r="AQ46" s="93">
        <f t="shared" si="26"/>
        <v>0.72268097143443411</v>
      </c>
      <c r="AR46" s="52"/>
      <c r="AT46" s="72"/>
      <c r="AU46" s="72"/>
    </row>
    <row r="47" spans="1:47" hidden="1" x14ac:dyDescent="0.2">
      <c r="A47" s="8">
        <v>39508</v>
      </c>
      <c r="B47" s="6"/>
      <c r="C47" s="93">
        <f>Data!D40+'Economic Model'!C$65</f>
        <v>2.3149999999999999</v>
      </c>
      <c r="D47" s="95">
        <f>Data!E40+'Economic Model'!C$66</f>
        <v>161.36904761904762</v>
      </c>
      <c r="E47" s="323"/>
      <c r="F47" s="93">
        <f>Data!G40+'Economic Model'!C$68</f>
        <v>5.1739404761904764</v>
      </c>
      <c r="G47" s="96">
        <f>Data!H40+'Economic Model'!C$69</f>
        <v>10.06</v>
      </c>
      <c r="H47" s="16"/>
      <c r="I47" s="84"/>
      <c r="J47" s="93">
        <f t="shared" si="14"/>
        <v>2.3149999999999999</v>
      </c>
      <c r="K47" s="93">
        <f>D47/2000*('Economic Model'!C$32+0.5)/'Economic Model'!C$30</f>
        <v>0.47844507101086048</v>
      </c>
      <c r="L47" s="319"/>
      <c r="M47" s="93">
        <f t="shared" si="15"/>
        <v>2.7934450710108605</v>
      </c>
      <c r="N47" s="108"/>
      <c r="O47" s="109"/>
      <c r="P47" s="93">
        <f>F47/'Economic Model'!C$30</f>
        <v>1.8154177109440268</v>
      </c>
      <c r="Q47" s="93">
        <f>G47/1000*'Economic Model'!C$34</f>
        <v>0.30180000000000001</v>
      </c>
      <c r="R47" s="93">
        <f>('Economic Model'!H$44+'Economic Model'!H$53)/100</f>
        <v>0.21939999999999998</v>
      </c>
      <c r="S47" s="93">
        <f t="shared" si="16"/>
        <v>2.3366177109440267</v>
      </c>
      <c r="T47" s="93">
        <f>'Economic Model'!H$60/100</f>
        <v>0.19624601212121212</v>
      </c>
      <c r="U47" s="93">
        <f t="shared" si="17"/>
        <v>2.5328637230652387</v>
      </c>
      <c r="V47" s="93">
        <f t="shared" si="13"/>
        <v>2.0544186520543781</v>
      </c>
      <c r="W47" s="105"/>
      <c r="X47" s="93"/>
      <c r="Y47" s="93">
        <f>M47-P47-Q47-('Economic Model'!H$50/100)</f>
        <v>0.63772736006683362</v>
      </c>
      <c r="Z47" s="93">
        <f t="shared" si="18"/>
        <v>0.45682736006683378</v>
      </c>
      <c r="AA47" s="93">
        <f t="shared" si="19"/>
        <v>0.26058134794562182</v>
      </c>
      <c r="AB47" s="80"/>
      <c r="AC47" s="15"/>
      <c r="AD47" s="81"/>
      <c r="AE47" s="93">
        <f>'Returns per Bu.'!AD47/'Economic Model'!C$30</f>
        <v>0.30368318456961113</v>
      </c>
      <c r="AF47" s="93">
        <f t="shared" si="20"/>
        <v>0.69510618651892875</v>
      </c>
      <c r="AG47" s="93">
        <f>'Returns per Bu.'!AF47/'Economic Model'!C$30</f>
        <v>0.99878937108853993</v>
      </c>
      <c r="AH47" s="105"/>
      <c r="AI47" s="104"/>
      <c r="AJ47" s="93">
        <f t="shared" si="21"/>
        <v>1.5199893710885399</v>
      </c>
      <c r="AK47" s="93">
        <f t="shared" si="22"/>
        <v>1.7162353832097521</v>
      </c>
      <c r="AL47" s="105"/>
      <c r="AM47" s="93"/>
      <c r="AN47" s="93">
        <f t="shared" si="23"/>
        <v>1.2734556999223205</v>
      </c>
      <c r="AO47" s="93">
        <f t="shared" si="24"/>
        <v>1.0772096878011084</v>
      </c>
      <c r="AP47" s="93">
        <f t="shared" si="25"/>
        <v>0.26058134794562149</v>
      </c>
      <c r="AQ47" s="93">
        <f t="shared" si="26"/>
        <v>0.81662833985548688</v>
      </c>
      <c r="AR47" s="52"/>
      <c r="AT47" s="72"/>
      <c r="AU47" s="72"/>
    </row>
    <row r="48" spans="1:47" hidden="1" x14ac:dyDescent="0.2">
      <c r="A48" s="8">
        <v>39539</v>
      </c>
      <c r="B48" s="8"/>
      <c r="C48" s="93">
        <f>Data!D41+'Economic Model'!C$65</f>
        <v>2.455227272727273</v>
      </c>
      <c r="D48" s="95">
        <f>Data!E41+'Economic Model'!C$66</f>
        <v>169.68181818181819</v>
      </c>
      <c r="E48" s="323"/>
      <c r="F48" s="93">
        <f>Data!G41+'Economic Model'!C$68</f>
        <v>5.590227272727275</v>
      </c>
      <c r="G48" s="96">
        <f>Data!H41+'Economic Model'!C$69</f>
        <v>10.71</v>
      </c>
      <c r="H48" s="16"/>
      <c r="I48" s="84"/>
      <c r="J48" s="93">
        <f t="shared" si="14"/>
        <v>2.455227272727273</v>
      </c>
      <c r="K48" s="93">
        <f>D48/2000*('Economic Model'!C$32+0.5)/'Economic Model'!C$30</f>
        <v>0.50309170653907498</v>
      </c>
      <c r="L48" s="319"/>
      <c r="M48" s="93">
        <f t="shared" si="15"/>
        <v>2.9583189792663482</v>
      </c>
      <c r="N48" s="108"/>
      <c r="O48" s="109"/>
      <c r="P48" s="93">
        <f>F48/'Economic Model'!C$30</f>
        <v>1.9614832535885176</v>
      </c>
      <c r="Q48" s="93">
        <f>G48/1000*'Economic Model'!C$34</f>
        <v>0.32130000000000003</v>
      </c>
      <c r="R48" s="93">
        <f>('Economic Model'!H$44+'Economic Model'!H$53)/100</f>
        <v>0.21939999999999998</v>
      </c>
      <c r="S48" s="93">
        <f t="shared" si="16"/>
        <v>2.5021832535885173</v>
      </c>
      <c r="T48" s="93">
        <f>'Economic Model'!H$60/100</f>
        <v>0.19624601212121212</v>
      </c>
      <c r="U48" s="93">
        <f t="shared" si="17"/>
        <v>2.6984292657097293</v>
      </c>
      <c r="V48" s="93">
        <f t="shared" si="13"/>
        <v>2.1953375591706541</v>
      </c>
      <c r="W48" s="105"/>
      <c r="X48" s="93"/>
      <c r="Y48" s="93">
        <f>M48-P48-Q48-('Economic Model'!H$50/100)</f>
        <v>0.63703572567783062</v>
      </c>
      <c r="Z48" s="93">
        <f t="shared" si="18"/>
        <v>0.45613572567783089</v>
      </c>
      <c r="AA48" s="93">
        <f t="shared" si="19"/>
        <v>0.25988971355661894</v>
      </c>
      <c r="AB48" s="80"/>
      <c r="AC48" s="15"/>
      <c r="AD48" s="81"/>
      <c r="AE48" s="93">
        <f>'Returns per Bu.'!AD48/'Economic Model'!C$30</f>
        <v>0.30368318456961113</v>
      </c>
      <c r="AF48" s="93">
        <f t="shared" si="20"/>
        <v>0.69510618651892875</v>
      </c>
      <c r="AG48" s="93">
        <f>'Returns per Bu.'!AF48/'Economic Model'!C$30</f>
        <v>0.99878937108853993</v>
      </c>
      <c r="AH48" s="105"/>
      <c r="AI48" s="104"/>
      <c r="AJ48" s="93">
        <f t="shared" si="21"/>
        <v>1.53948937108854</v>
      </c>
      <c r="AK48" s="93">
        <f t="shared" si="22"/>
        <v>1.7357353832097522</v>
      </c>
      <c r="AL48" s="105"/>
      <c r="AM48" s="93"/>
      <c r="AN48" s="93">
        <f t="shared" si="23"/>
        <v>1.4188296081778082</v>
      </c>
      <c r="AO48" s="93">
        <f t="shared" si="24"/>
        <v>1.2225835960565961</v>
      </c>
      <c r="AP48" s="93">
        <f t="shared" si="25"/>
        <v>0.25988971355661838</v>
      </c>
      <c r="AQ48" s="93">
        <f t="shared" si="26"/>
        <v>0.96269388249997767</v>
      </c>
      <c r="AR48" s="52"/>
      <c r="AT48" s="72"/>
      <c r="AU48" s="72"/>
    </row>
    <row r="49" spans="1:47" hidden="1" x14ac:dyDescent="0.2">
      <c r="A49" s="8">
        <v>39569</v>
      </c>
      <c r="B49" s="6"/>
      <c r="C49" s="93">
        <f>Data!D42+'Economic Model'!C$65</f>
        <v>2.4852380952380968</v>
      </c>
      <c r="D49" s="95">
        <f>Data!E42+'Economic Model'!C$66</f>
        <v>173.54761904761904</v>
      </c>
      <c r="E49" s="323"/>
      <c r="F49" s="93">
        <f>Data!G42+'Economic Model'!C$68</f>
        <v>5.6180238095238098</v>
      </c>
      <c r="G49" s="96">
        <f>Data!H42+'Economic Model'!C$69</f>
        <v>10.89</v>
      </c>
      <c r="H49" s="16"/>
      <c r="I49" s="84"/>
      <c r="J49" s="93">
        <f t="shared" si="14"/>
        <v>2.4852380952380968</v>
      </c>
      <c r="K49" s="93">
        <f>D49/2000*('Economic Model'!C$32+0.5)/'Economic Model'!C$30</f>
        <v>0.51455346700083537</v>
      </c>
      <c r="L49" s="319"/>
      <c r="M49" s="93">
        <f t="shared" si="15"/>
        <v>2.999791562238932</v>
      </c>
      <c r="N49" s="108"/>
      <c r="O49" s="109"/>
      <c r="P49" s="93">
        <f>F49/'Economic Model'!C$30</f>
        <v>1.9712364243943192</v>
      </c>
      <c r="Q49" s="93">
        <f>G49/1000*'Economic Model'!C$34</f>
        <v>0.32669999999999999</v>
      </c>
      <c r="R49" s="93">
        <f>('Economic Model'!H$44+'Economic Model'!H$53)/100</f>
        <v>0.21939999999999998</v>
      </c>
      <c r="S49" s="93">
        <f t="shared" si="16"/>
        <v>2.517336424394319</v>
      </c>
      <c r="T49" s="93">
        <f>'Economic Model'!H$60/100</f>
        <v>0.19624601212121212</v>
      </c>
      <c r="U49" s="93">
        <f t="shared" si="17"/>
        <v>2.713582436515531</v>
      </c>
      <c r="V49" s="93">
        <f t="shared" si="13"/>
        <v>2.1990289695146954</v>
      </c>
      <c r="W49" s="105"/>
      <c r="X49" s="93"/>
      <c r="Y49" s="93">
        <f>M49-P49-Q49-('Economic Model'!H$50/100)</f>
        <v>0.66335513784461275</v>
      </c>
      <c r="Z49" s="93">
        <f t="shared" si="18"/>
        <v>0.48245513784461291</v>
      </c>
      <c r="AA49" s="93">
        <f t="shared" si="19"/>
        <v>0.28620912572340096</v>
      </c>
      <c r="AB49" s="80"/>
      <c r="AC49" s="15"/>
      <c r="AD49" s="81"/>
      <c r="AE49" s="93">
        <f>'Returns per Bu.'!AD49/'Economic Model'!C$30</f>
        <v>0.30368318456961113</v>
      </c>
      <c r="AF49" s="93">
        <f t="shared" si="20"/>
        <v>0.69510618651892875</v>
      </c>
      <c r="AG49" s="93">
        <f>'Returns per Bu.'!AF49/'Economic Model'!C$30</f>
        <v>0.99878937108853993</v>
      </c>
      <c r="AH49" s="105"/>
      <c r="AI49" s="104"/>
      <c r="AJ49" s="93">
        <f t="shared" si="21"/>
        <v>1.5448893710885401</v>
      </c>
      <c r="AK49" s="93">
        <f t="shared" si="22"/>
        <v>1.7411353832097523</v>
      </c>
      <c r="AL49" s="105"/>
      <c r="AM49" s="93"/>
      <c r="AN49" s="93">
        <f t="shared" si="23"/>
        <v>1.4549021911503919</v>
      </c>
      <c r="AO49" s="93">
        <f t="shared" si="24"/>
        <v>1.2586561790291797</v>
      </c>
      <c r="AP49" s="93">
        <f t="shared" si="25"/>
        <v>0.2862091257234004</v>
      </c>
      <c r="AQ49" s="93">
        <f t="shared" si="26"/>
        <v>0.9724470533057793</v>
      </c>
      <c r="AR49" s="52"/>
      <c r="AT49" s="72"/>
      <c r="AU49" s="72"/>
    </row>
    <row r="50" spans="1:47" hidden="1" x14ac:dyDescent="0.2">
      <c r="A50" s="8">
        <v>39600</v>
      </c>
      <c r="B50" s="8"/>
      <c r="C50" s="93">
        <f>Data!D43+'Economic Model'!C$65</f>
        <v>2.5354761904761918</v>
      </c>
      <c r="D50" s="95">
        <f>Data!E43+'Economic Model'!C$66</f>
        <v>182.13095238095238</v>
      </c>
      <c r="E50" s="323"/>
      <c r="F50" s="93">
        <f>Data!G43+'Economic Model'!C$68</f>
        <v>6.4493154761904758</v>
      </c>
      <c r="G50" s="96">
        <f>Data!H43+'Economic Model'!C$69</f>
        <v>11.83</v>
      </c>
      <c r="H50" s="16"/>
      <c r="I50" s="84"/>
      <c r="J50" s="93">
        <f t="shared" si="14"/>
        <v>2.5354761904761918</v>
      </c>
      <c r="K50" s="93">
        <f>D50/2000*('Economic Model'!C$32+0.5)/'Economic Model'!C$30</f>
        <v>0.54000229741019212</v>
      </c>
      <c r="L50" s="319"/>
      <c r="M50" s="93">
        <f t="shared" si="15"/>
        <v>3.0754784878863841</v>
      </c>
      <c r="N50" s="108"/>
      <c r="O50" s="109"/>
      <c r="P50" s="93">
        <f>F50/'Economic Model'!C$30</f>
        <v>2.2629177109440266</v>
      </c>
      <c r="Q50" s="93">
        <f>G50/1000*'Economic Model'!C$34</f>
        <v>0.35489999999999999</v>
      </c>
      <c r="R50" s="93">
        <f>('Economic Model'!H$44+'Economic Model'!H$53)/100</f>
        <v>0.21939999999999998</v>
      </c>
      <c r="S50" s="93">
        <f t="shared" si="16"/>
        <v>2.8372177109440266</v>
      </c>
      <c r="T50" s="93">
        <f>'Economic Model'!H$60/100</f>
        <v>0.19624601212121212</v>
      </c>
      <c r="U50" s="93">
        <f t="shared" si="17"/>
        <v>3.0334637230652386</v>
      </c>
      <c r="V50" s="93">
        <f t="shared" si="13"/>
        <v>2.4934614256550462</v>
      </c>
      <c r="W50" s="105"/>
      <c r="X50" s="93"/>
      <c r="Y50" s="93">
        <f>M50-P50-Q50-('Economic Model'!H$50/100)</f>
        <v>0.41916077694235754</v>
      </c>
      <c r="Z50" s="93">
        <f t="shared" si="18"/>
        <v>0.23826077694235748</v>
      </c>
      <c r="AA50" s="93">
        <f t="shared" si="19"/>
        <v>4.2014764821145523E-2</v>
      </c>
      <c r="AB50" s="80"/>
      <c r="AC50" s="15"/>
      <c r="AD50" s="81"/>
      <c r="AE50" s="93">
        <f>'Returns per Bu.'!AD50/'Economic Model'!C$30</f>
        <v>0.30368318456961113</v>
      </c>
      <c r="AF50" s="93">
        <f t="shared" si="20"/>
        <v>0.69510618651892875</v>
      </c>
      <c r="AG50" s="93">
        <f>'Returns per Bu.'!AF50/'Economic Model'!C$30</f>
        <v>0.99878937108853993</v>
      </c>
      <c r="AH50" s="105"/>
      <c r="AI50" s="104"/>
      <c r="AJ50" s="93">
        <f t="shared" si="21"/>
        <v>1.5730893710885401</v>
      </c>
      <c r="AK50" s="93">
        <f t="shared" si="22"/>
        <v>1.7693353832097523</v>
      </c>
      <c r="AL50" s="105"/>
      <c r="AM50" s="93"/>
      <c r="AN50" s="93">
        <f t="shared" si="23"/>
        <v>1.502389116797844</v>
      </c>
      <c r="AO50" s="93">
        <f t="shared" si="24"/>
        <v>1.3061431046766319</v>
      </c>
      <c r="AP50" s="93">
        <f t="shared" si="25"/>
        <v>4.2014764821145079E-2</v>
      </c>
      <c r="AQ50" s="93">
        <f t="shared" si="26"/>
        <v>1.2641283398554868</v>
      </c>
      <c r="AR50" s="52"/>
      <c r="AT50" s="72"/>
      <c r="AU50" s="72"/>
    </row>
    <row r="51" spans="1:47" hidden="1" x14ac:dyDescent="0.2">
      <c r="A51" s="8">
        <v>39630</v>
      </c>
      <c r="B51" s="6"/>
      <c r="C51" s="93">
        <f>Data!D44+'Economic Model'!C$65</f>
        <v>2.6422727272727262</v>
      </c>
      <c r="D51" s="95">
        <f>Data!E44+'Economic Model'!C$66</f>
        <v>185.86363636363637</v>
      </c>
      <c r="E51" s="323"/>
      <c r="F51" s="93">
        <f>Data!G44+'Economic Model'!C$68</f>
        <v>5.9243181818181823</v>
      </c>
      <c r="G51" s="96">
        <f>Data!H44+'Economic Model'!C$69</f>
        <v>12.42</v>
      </c>
      <c r="H51" s="16"/>
      <c r="I51" s="84"/>
      <c r="J51" s="93">
        <f t="shared" si="14"/>
        <v>2.6422727272727262</v>
      </c>
      <c r="K51" s="93">
        <f>D51/2000*('Economic Model'!C$32+0.5)/'Economic Model'!C$30</f>
        <v>0.55106937799043065</v>
      </c>
      <c r="L51" s="319"/>
      <c r="M51" s="93">
        <f t="shared" si="15"/>
        <v>3.1933421052631568</v>
      </c>
      <c r="N51" s="108"/>
      <c r="O51" s="109"/>
      <c r="P51" s="93">
        <f>F51/'Economic Model'!C$30</f>
        <v>2.0787081339712921</v>
      </c>
      <c r="Q51" s="93">
        <f>G51/1000*'Economic Model'!C$34</f>
        <v>0.37260000000000004</v>
      </c>
      <c r="R51" s="93">
        <f>('Economic Model'!H$44+'Economic Model'!H$53)/100</f>
        <v>0.21939999999999998</v>
      </c>
      <c r="S51" s="93">
        <f t="shared" si="16"/>
        <v>2.6707081339712917</v>
      </c>
      <c r="T51" s="93">
        <f>'Economic Model'!H$60/100</f>
        <v>0.19624601212121212</v>
      </c>
      <c r="U51" s="93">
        <f t="shared" si="17"/>
        <v>2.8669541460925037</v>
      </c>
      <c r="V51" s="93">
        <f t="shared" si="13"/>
        <v>2.3158847681020731</v>
      </c>
      <c r="W51" s="105"/>
      <c r="X51" s="93"/>
      <c r="Y51" s="93">
        <f>M51-P51-Q51-('Economic Model'!H$50/100)</f>
        <v>0.70353397129186468</v>
      </c>
      <c r="Z51" s="93">
        <f t="shared" si="18"/>
        <v>0.52263397129186506</v>
      </c>
      <c r="AA51" s="93">
        <f t="shared" si="19"/>
        <v>0.32638795917065311</v>
      </c>
      <c r="AB51" s="80"/>
      <c r="AC51" s="15"/>
      <c r="AD51" s="81"/>
      <c r="AE51" s="93">
        <f>'Returns per Bu.'!AD51/'Economic Model'!C$30</f>
        <v>0.30368318456961113</v>
      </c>
      <c r="AF51" s="93">
        <f t="shared" si="20"/>
        <v>0.69510618651892875</v>
      </c>
      <c r="AG51" s="93">
        <f>'Returns per Bu.'!AF51/'Economic Model'!C$30</f>
        <v>0.99878937108853993</v>
      </c>
      <c r="AH51" s="105"/>
      <c r="AI51" s="104"/>
      <c r="AJ51" s="93">
        <f t="shared" si="21"/>
        <v>1.5907893710885401</v>
      </c>
      <c r="AK51" s="93">
        <f t="shared" si="22"/>
        <v>1.7870353832097523</v>
      </c>
      <c r="AL51" s="105"/>
      <c r="AM51" s="93"/>
      <c r="AN51" s="93">
        <f t="shared" si="23"/>
        <v>1.6025527341746166</v>
      </c>
      <c r="AO51" s="93">
        <f t="shared" si="24"/>
        <v>1.4063067220534045</v>
      </c>
      <c r="AP51" s="93">
        <f t="shared" si="25"/>
        <v>0.32638795917065222</v>
      </c>
      <c r="AQ51" s="93">
        <f t="shared" si="26"/>
        <v>1.0799187628827522</v>
      </c>
      <c r="AR51" s="52"/>
      <c r="AT51" s="72"/>
      <c r="AU51" s="72"/>
    </row>
    <row r="52" spans="1:47" hidden="1" x14ac:dyDescent="0.2">
      <c r="A52" s="8">
        <v>39661</v>
      </c>
      <c r="B52" s="6"/>
      <c r="C52" s="93">
        <f>Data!D45+'Economic Model'!C$65</f>
        <v>2.2238095238095235</v>
      </c>
      <c r="D52" s="95">
        <f>Data!E45+'Economic Model'!C$66</f>
        <v>154.66666666666666</v>
      </c>
      <c r="E52" s="323"/>
      <c r="F52" s="93">
        <f>Data!G45+'Economic Model'!C$68</f>
        <v>5.0598809523809516</v>
      </c>
      <c r="G52" s="96">
        <f>Data!H45+'Economic Model'!C$69</f>
        <v>11.83</v>
      </c>
      <c r="H52" s="16"/>
      <c r="I52" s="84"/>
      <c r="J52" s="93">
        <f t="shared" si="14"/>
        <v>2.2238095238095235</v>
      </c>
      <c r="K52" s="93">
        <f>D52/2000*('Economic Model'!C$32+0.5)/'Economic Model'!C$30</f>
        <v>0.45857309941520458</v>
      </c>
      <c r="L52" s="319"/>
      <c r="M52" s="93">
        <f t="shared" si="15"/>
        <v>2.6823826232247279</v>
      </c>
      <c r="N52" s="108"/>
      <c r="O52" s="109"/>
      <c r="P52" s="93">
        <f>F52/'Economic Model'!C$30</f>
        <v>1.7753968253968251</v>
      </c>
      <c r="Q52" s="93">
        <f>G52/1000*'Economic Model'!C$34</f>
        <v>0.35489999999999999</v>
      </c>
      <c r="R52" s="93">
        <f>('Economic Model'!H$44+'Economic Model'!H$53)/100</f>
        <v>0.21939999999999998</v>
      </c>
      <c r="S52" s="93">
        <f t="shared" si="16"/>
        <v>2.3496968253968249</v>
      </c>
      <c r="T52" s="93">
        <f>'Economic Model'!H$60/100</f>
        <v>0.19624601212121212</v>
      </c>
      <c r="U52" s="93">
        <f t="shared" si="17"/>
        <v>2.5459428375180368</v>
      </c>
      <c r="V52" s="93">
        <f t="shared" si="13"/>
        <v>2.0873697381028324</v>
      </c>
      <c r="W52" s="105"/>
      <c r="X52" s="93"/>
      <c r="Y52" s="93">
        <f>M52-P52-Q52-('Economic Model'!H$50/100)</f>
        <v>0.51358579782790281</v>
      </c>
      <c r="Z52" s="93">
        <f t="shared" si="18"/>
        <v>0.33268579782790297</v>
      </c>
      <c r="AA52" s="93">
        <f t="shared" si="19"/>
        <v>0.13643978570669102</v>
      </c>
      <c r="AB52" s="80"/>
      <c r="AC52" s="15"/>
      <c r="AD52" s="81"/>
      <c r="AE52" s="93">
        <f>'Returns per Bu.'!AD52/'Economic Model'!C$30</f>
        <v>0.30368318456961113</v>
      </c>
      <c r="AF52" s="93">
        <f t="shared" si="20"/>
        <v>0.69510618651892875</v>
      </c>
      <c r="AG52" s="93">
        <f>'Returns per Bu.'!AF52/'Economic Model'!C$30</f>
        <v>0.99878937108853993</v>
      </c>
      <c r="AH52" s="105"/>
      <c r="AI52" s="104"/>
      <c r="AJ52" s="93">
        <f t="shared" si="21"/>
        <v>1.5730893710885401</v>
      </c>
      <c r="AK52" s="93">
        <f t="shared" si="22"/>
        <v>1.7693353832097523</v>
      </c>
      <c r="AL52" s="105"/>
      <c r="AM52" s="93"/>
      <c r="AN52" s="93">
        <f t="shared" si="23"/>
        <v>1.1092932521361878</v>
      </c>
      <c r="AO52" s="93">
        <f t="shared" si="24"/>
        <v>0.91304724001497561</v>
      </c>
      <c r="AP52" s="93">
        <f t="shared" si="25"/>
        <v>0.13643978570669046</v>
      </c>
      <c r="AQ52" s="93">
        <f t="shared" si="26"/>
        <v>0.77660745430828515</v>
      </c>
      <c r="AR52" s="52"/>
      <c r="AT52" s="72"/>
      <c r="AU52" s="72"/>
    </row>
    <row r="53" spans="1:47" hidden="1" x14ac:dyDescent="0.2">
      <c r="A53" s="8">
        <v>39692</v>
      </c>
      <c r="B53" s="6"/>
      <c r="C53" s="93">
        <f>Data!D46+'Economic Model'!C$65</f>
        <v>2.15</v>
      </c>
      <c r="D53" s="95">
        <f>Data!E46+'Economic Model'!C$66</f>
        <v>141.13095238095238</v>
      </c>
      <c r="E53" s="323"/>
      <c r="F53" s="93">
        <f>Data!G46+'Economic Model'!C$68</f>
        <v>5.1102678571428575</v>
      </c>
      <c r="G53" s="96">
        <f>Data!H46+'Economic Model'!C$69</f>
        <v>9.3000000000000007</v>
      </c>
      <c r="H53" s="16"/>
      <c r="I53" s="84"/>
      <c r="J53" s="93">
        <f t="shared" si="14"/>
        <v>2.15</v>
      </c>
      <c r="K53" s="93">
        <f>D53/2000*('Economic Model'!C$32+0.5)/'Economic Model'!C$30</f>
        <v>0.4184408939014202</v>
      </c>
      <c r="L53" s="319"/>
      <c r="M53" s="93">
        <f t="shared" si="15"/>
        <v>2.5684408939014203</v>
      </c>
      <c r="N53" s="108"/>
      <c r="O53" s="109"/>
      <c r="P53" s="93">
        <f>F53/'Economic Model'!C$30</f>
        <v>1.7930764411027569</v>
      </c>
      <c r="Q53" s="93">
        <f>G53/1000*'Economic Model'!C$34</f>
        <v>0.27900000000000003</v>
      </c>
      <c r="R53" s="93">
        <f>('Economic Model'!H$44+'Economic Model'!H$53)/100</f>
        <v>0.21939999999999998</v>
      </c>
      <c r="S53" s="93">
        <f t="shared" si="16"/>
        <v>2.2914764411027568</v>
      </c>
      <c r="T53" s="93">
        <f>'Economic Model'!H$60/100</f>
        <v>0.19624601212121212</v>
      </c>
      <c r="U53" s="93">
        <f t="shared" si="17"/>
        <v>2.4877224532239688</v>
      </c>
      <c r="V53" s="93">
        <f t="shared" si="13"/>
        <v>2.0692815593225484</v>
      </c>
      <c r="W53" s="105"/>
      <c r="X53" s="93"/>
      <c r="Y53" s="93">
        <f>M53-P53-Q53-('Economic Model'!H$50/100)</f>
        <v>0.45786445279866339</v>
      </c>
      <c r="Z53" s="93">
        <f t="shared" si="18"/>
        <v>0.27696445279866344</v>
      </c>
      <c r="AA53" s="93">
        <f t="shared" si="19"/>
        <v>8.0718440677451486E-2</v>
      </c>
      <c r="AB53" s="80"/>
      <c r="AC53" s="15"/>
      <c r="AD53" s="81"/>
      <c r="AE53" s="93">
        <f>'Returns per Bu.'!AD53/'Economic Model'!C$30</f>
        <v>0.36113676002872674</v>
      </c>
      <c r="AF53" s="93">
        <f t="shared" si="20"/>
        <v>0.82673643172258116</v>
      </c>
      <c r="AG53" s="93">
        <f>'Returns per Bu.'!AF53/'Economic Model'!C$30</f>
        <v>1.1878731917513079</v>
      </c>
      <c r="AH53" s="105"/>
      <c r="AI53" s="104"/>
      <c r="AJ53" s="93">
        <f t="shared" si="21"/>
        <v>1.6862731917513079</v>
      </c>
      <c r="AK53" s="93">
        <f t="shared" si="22"/>
        <v>1.88251920387252</v>
      </c>
      <c r="AL53" s="105"/>
      <c r="AM53" s="93"/>
      <c r="AN53" s="93">
        <f t="shared" si="23"/>
        <v>0.88216770215011242</v>
      </c>
      <c r="AO53" s="93">
        <f t="shared" si="24"/>
        <v>0.68592169002890024</v>
      </c>
      <c r="AP53" s="93">
        <f t="shared" si="25"/>
        <v>8.0718440677451264E-2</v>
      </c>
      <c r="AQ53" s="93">
        <f t="shared" si="26"/>
        <v>0.60520324935144898</v>
      </c>
      <c r="AR53" s="52"/>
      <c r="AT53" s="72"/>
      <c r="AU53" s="72"/>
    </row>
    <row r="54" spans="1:47" hidden="1" x14ac:dyDescent="0.2">
      <c r="A54" s="8">
        <v>39722</v>
      </c>
      <c r="B54" s="6"/>
      <c r="C54" s="93">
        <f>Data!D47+'Economic Model'!C$65</f>
        <v>1.85</v>
      </c>
      <c r="D54" s="95">
        <f>Data!E47+'Economic Model'!C$66</f>
        <v>129.5</v>
      </c>
      <c r="E54" s="323"/>
      <c r="F54" s="93">
        <f>Data!G47+'Economic Model'!C$68</f>
        <v>3.9515652173913023</v>
      </c>
      <c r="G54" s="96">
        <f>Data!H47+'Economic Model'!C$69</f>
        <v>7.3</v>
      </c>
      <c r="H54" s="16"/>
      <c r="I54" s="84"/>
      <c r="J54" s="93">
        <f t="shared" si="14"/>
        <v>1.85</v>
      </c>
      <c r="K54" s="93">
        <f>D54/2000*('Economic Model'!C$32+0.5)/'Economic Model'!C$30</f>
        <v>0.38395614035087716</v>
      </c>
      <c r="L54" s="319"/>
      <c r="M54" s="93">
        <f t="shared" si="15"/>
        <v>2.2339561403508772</v>
      </c>
      <c r="N54" s="108"/>
      <c r="O54" s="109"/>
      <c r="P54" s="93">
        <f>F54/'Economic Model'!C$30</f>
        <v>1.3865141113653692</v>
      </c>
      <c r="Q54" s="93">
        <f>G54/1000*'Economic Model'!C$34</f>
        <v>0.219</v>
      </c>
      <c r="R54" s="93">
        <f>('Economic Model'!H$44+'Economic Model'!H$53)/100</f>
        <v>0.21939999999999998</v>
      </c>
      <c r="S54" s="93">
        <f t="shared" si="16"/>
        <v>1.8249141113653693</v>
      </c>
      <c r="T54" s="93">
        <f>'Economic Model'!H$60/100</f>
        <v>0.19624601212121212</v>
      </c>
      <c r="U54" s="93">
        <f t="shared" si="17"/>
        <v>2.0211601234865815</v>
      </c>
      <c r="V54" s="93">
        <f t="shared" si="13"/>
        <v>1.6372039831357044</v>
      </c>
      <c r="W54" s="105"/>
      <c r="X54" s="93"/>
      <c r="Y54" s="93">
        <f>M54-P54-Q54-('Economic Model'!H$50/100)</f>
        <v>0.58994202898550807</v>
      </c>
      <c r="Z54" s="93">
        <f t="shared" si="18"/>
        <v>0.4090420289855079</v>
      </c>
      <c r="AA54" s="93">
        <f t="shared" si="19"/>
        <v>0.21279601686429572</v>
      </c>
      <c r="AB54" s="80"/>
      <c r="AC54" s="15"/>
      <c r="AD54" s="81"/>
      <c r="AE54" s="93">
        <f>'Returns per Bu.'!AD54/'Economic Model'!C$30</f>
        <v>0.36113676002872674</v>
      </c>
      <c r="AF54" s="93">
        <f t="shared" si="20"/>
        <v>0.82673643172258116</v>
      </c>
      <c r="AG54" s="93">
        <f>'Returns per Bu.'!AF54/'Economic Model'!C$30</f>
        <v>1.1878731917513079</v>
      </c>
      <c r="AH54" s="105"/>
      <c r="AI54" s="104"/>
      <c r="AJ54" s="93">
        <f t="shared" si="21"/>
        <v>1.626273191751308</v>
      </c>
      <c r="AK54" s="93">
        <f t="shared" si="22"/>
        <v>1.8225192038725202</v>
      </c>
      <c r="AL54" s="105"/>
      <c r="AM54" s="93"/>
      <c r="AN54" s="93">
        <f t="shared" si="23"/>
        <v>0.60768294859956917</v>
      </c>
      <c r="AO54" s="93">
        <f t="shared" si="24"/>
        <v>0.411436936478357</v>
      </c>
      <c r="AP54" s="93">
        <f t="shared" si="25"/>
        <v>0.21279601686429572</v>
      </c>
      <c r="AQ54" s="93">
        <f t="shared" si="26"/>
        <v>0.19864091961406127</v>
      </c>
      <c r="AR54" s="52"/>
      <c r="AT54" s="72"/>
      <c r="AU54" s="72"/>
    </row>
    <row r="55" spans="1:47" hidden="1" x14ac:dyDescent="0.2">
      <c r="A55" s="8">
        <v>39753</v>
      </c>
      <c r="B55" s="6"/>
      <c r="C55" s="93">
        <f>Data!D48+'Economic Model'!C$65</f>
        <v>1.6465000000000001</v>
      </c>
      <c r="D55" s="95">
        <f>Data!E48+'Economic Model'!C$66</f>
        <v>120.30263157894737</v>
      </c>
      <c r="E55" s="323"/>
      <c r="F55" s="93">
        <f>Data!G48+'Economic Model'!C$68</f>
        <v>3.5661842105263171</v>
      </c>
      <c r="G55" s="96">
        <f>Data!H48+'Economic Model'!C$69</f>
        <v>7.11</v>
      </c>
      <c r="H55" s="16"/>
      <c r="I55" s="84"/>
      <c r="J55" s="93">
        <f t="shared" si="14"/>
        <v>1.6465000000000001</v>
      </c>
      <c r="K55" s="93">
        <f>D55/2000*('Economic Model'!C$32+0.5)/'Economic Model'!C$30</f>
        <v>0.35668674976915971</v>
      </c>
      <c r="L55" s="319"/>
      <c r="M55" s="93">
        <f t="shared" si="15"/>
        <v>2.00318674976916</v>
      </c>
      <c r="N55" s="108"/>
      <c r="O55" s="109"/>
      <c r="P55" s="93">
        <f>F55/'Economic Model'!C$30</f>
        <v>1.2512927054478304</v>
      </c>
      <c r="Q55" s="93">
        <f>G55/1000*'Economic Model'!C$34</f>
        <v>0.21329999999999999</v>
      </c>
      <c r="R55" s="93">
        <f>('Economic Model'!H$44+'Economic Model'!H$53)/100</f>
        <v>0.21939999999999998</v>
      </c>
      <c r="S55" s="93">
        <f t="shared" si="16"/>
        <v>1.6839927054478305</v>
      </c>
      <c r="T55" s="93">
        <f>'Economic Model'!H$60/100</f>
        <v>0.19624601212121212</v>
      </c>
      <c r="U55" s="93">
        <f t="shared" si="17"/>
        <v>1.8802387175690427</v>
      </c>
      <c r="V55" s="93">
        <f t="shared" si="13"/>
        <v>1.523551967799883</v>
      </c>
      <c r="W55" s="105"/>
      <c r="X55" s="93"/>
      <c r="Y55" s="93">
        <f>M55-P55-Q55-('Economic Model'!H$50/100)</f>
        <v>0.50009404432132953</v>
      </c>
      <c r="Z55" s="93">
        <f t="shared" si="18"/>
        <v>0.31919404432132947</v>
      </c>
      <c r="AA55" s="93">
        <f t="shared" si="19"/>
        <v>0.1229480322001173</v>
      </c>
      <c r="AB55" s="80"/>
      <c r="AC55" s="15"/>
      <c r="AD55" s="81"/>
      <c r="AE55" s="93">
        <f>'Returns per Bu.'!AD55/'Economic Model'!C$30</f>
        <v>0.36113676002872674</v>
      </c>
      <c r="AF55" s="93">
        <f t="shared" si="20"/>
        <v>0.82673643172258116</v>
      </c>
      <c r="AG55" s="93">
        <f>'Returns per Bu.'!AF55/'Economic Model'!C$30</f>
        <v>1.1878731917513079</v>
      </c>
      <c r="AH55" s="105"/>
      <c r="AI55" s="104"/>
      <c r="AJ55" s="93">
        <f t="shared" si="21"/>
        <v>1.620573191751308</v>
      </c>
      <c r="AK55" s="93">
        <f t="shared" si="22"/>
        <v>1.8168192038725202</v>
      </c>
      <c r="AL55" s="105"/>
      <c r="AM55" s="93"/>
      <c r="AN55" s="93">
        <f t="shared" si="23"/>
        <v>0.38261355801785202</v>
      </c>
      <c r="AO55" s="93">
        <f t="shared" si="24"/>
        <v>0.18636754589663984</v>
      </c>
      <c r="AP55" s="93">
        <f t="shared" si="25"/>
        <v>0.1229480322001173</v>
      </c>
      <c r="AQ55" s="93">
        <f t="shared" si="26"/>
        <v>6.3419513696522545E-2</v>
      </c>
      <c r="AR55" s="52"/>
      <c r="AT55" s="72"/>
      <c r="AU55" s="72"/>
    </row>
    <row r="56" spans="1:47" hidden="1" x14ac:dyDescent="0.2">
      <c r="A56" s="68">
        <v>39783</v>
      </c>
      <c r="B56" s="70"/>
      <c r="C56" s="97">
        <f>Data!D49+'Economic Model'!C$65</f>
        <v>1.4927272727272725</v>
      </c>
      <c r="D56" s="99">
        <f>Data!E49+'Economic Model'!C$66</f>
        <v>116.3452380952381</v>
      </c>
      <c r="E56" s="324"/>
      <c r="F56" s="97">
        <f>Data!G49+'Economic Model'!C$68</f>
        <v>3.3650595238095233</v>
      </c>
      <c r="G56" s="100">
        <f>Data!H49+'Economic Model'!C$69</f>
        <v>7.92</v>
      </c>
      <c r="H56" s="71"/>
      <c r="I56" s="86"/>
      <c r="J56" s="97">
        <f t="shared" si="14"/>
        <v>1.4927272727272725</v>
      </c>
      <c r="K56" s="97">
        <f>D56/2000*('Economic Model'!C$32+0.5)/'Economic Model'!C$30</f>
        <v>0.34495342522974098</v>
      </c>
      <c r="L56" s="320"/>
      <c r="M56" s="97">
        <f t="shared" si="15"/>
        <v>1.8376806979570135</v>
      </c>
      <c r="N56" s="111"/>
      <c r="O56" s="112"/>
      <c r="P56" s="97">
        <f>F56/'Economic Model'!C$30</f>
        <v>1.1807226399331661</v>
      </c>
      <c r="Q56" s="97">
        <f>G56/1000*'Economic Model'!C$34</f>
        <v>0.23760000000000001</v>
      </c>
      <c r="R56" s="97">
        <f>('Economic Model'!H$44+'Economic Model'!H$53)/100</f>
        <v>0.21939999999999998</v>
      </c>
      <c r="S56" s="97">
        <f t="shared" si="16"/>
        <v>1.6377226399331661</v>
      </c>
      <c r="T56" s="97">
        <f>'Economic Model'!H$60/100</f>
        <v>0.19624601212121212</v>
      </c>
      <c r="U56" s="97">
        <f t="shared" si="17"/>
        <v>1.8339686520543783</v>
      </c>
      <c r="V56" s="97">
        <f t="shared" si="13"/>
        <v>1.4890152268246373</v>
      </c>
      <c r="W56" s="107"/>
      <c r="X56" s="97"/>
      <c r="Y56" s="93">
        <f>M56-P56-Q56-('Economic Model'!H$50/100)</f>
        <v>0.38085805802384742</v>
      </c>
      <c r="Z56" s="97">
        <f t="shared" si="18"/>
        <v>0.19995805802384736</v>
      </c>
      <c r="AA56" s="97">
        <f t="shared" si="19"/>
        <v>3.712045902635186E-3</v>
      </c>
      <c r="AB56" s="82"/>
      <c r="AC56" s="15"/>
      <c r="AD56" s="83"/>
      <c r="AE56" s="97">
        <f>'Returns per Bu.'!AD56/'Economic Model'!C$30</f>
        <v>0.36113676002872674</v>
      </c>
      <c r="AF56" s="97">
        <f t="shared" si="20"/>
        <v>0.82673643172258116</v>
      </c>
      <c r="AG56" s="97">
        <f>'Returns per Bu.'!AF56/'Economic Model'!C$30</f>
        <v>1.1878731917513079</v>
      </c>
      <c r="AH56" s="107"/>
      <c r="AI56" s="106"/>
      <c r="AJ56" s="97">
        <f t="shared" si="21"/>
        <v>1.644873191751308</v>
      </c>
      <c r="AK56" s="97">
        <f t="shared" si="22"/>
        <v>1.8411192038725201</v>
      </c>
      <c r="AL56" s="107"/>
      <c r="AM56" s="97"/>
      <c r="AN56" s="97">
        <f t="shared" si="23"/>
        <v>0.19280750620570553</v>
      </c>
      <c r="AO56" s="97">
        <f t="shared" si="24"/>
        <v>-3.4385059155066511E-3</v>
      </c>
      <c r="AP56" s="97">
        <f t="shared" si="25"/>
        <v>3.712045902635186E-3</v>
      </c>
      <c r="AQ56" s="97">
        <f t="shared" si="26"/>
        <v>-7.150551818141837E-3</v>
      </c>
      <c r="AR56" s="64"/>
      <c r="AT56" s="72"/>
      <c r="AU56" s="72"/>
    </row>
    <row r="57" spans="1:47" hidden="1" x14ac:dyDescent="0.2">
      <c r="A57" s="21">
        <v>39814</v>
      </c>
      <c r="C57" s="101">
        <f>Data!D50+'Economic Model'!C$65</f>
        <v>1.5161363636363638</v>
      </c>
      <c r="D57" s="103">
        <f>Data!E50+'Economic Model'!C$66</f>
        <v>125.22619047619048</v>
      </c>
      <c r="E57" s="325"/>
      <c r="F57" s="101">
        <f>Data!G50+'Economic Model'!C$68</f>
        <v>3.6678988095238108</v>
      </c>
      <c r="G57" s="90">
        <f>Data!H50+'Economic Model'!C$69</f>
        <v>8.2200000000000006</v>
      </c>
      <c r="H57" s="88"/>
      <c r="I57" s="73"/>
      <c r="J57" s="101">
        <f t="shared" si="14"/>
        <v>1.5161363636363638</v>
      </c>
      <c r="K57" s="101">
        <f>D57/2000*('Economic Model'!C$32+0.5)/'Economic Model'!C$30</f>
        <v>0.37128467000835425</v>
      </c>
      <c r="L57" s="321"/>
      <c r="M57" s="101">
        <f t="shared" si="15"/>
        <v>1.8874210336447181</v>
      </c>
      <c r="N57" s="115"/>
      <c r="O57" s="114"/>
      <c r="P57" s="101">
        <f>F57/'Economic Model'!C$30</f>
        <v>1.2869820384294073</v>
      </c>
      <c r="Q57" s="101">
        <f>G57/1000*'Economic Model'!C$34</f>
        <v>0.24659999999999999</v>
      </c>
      <c r="R57" s="101">
        <f>('Economic Model'!H$44+'Economic Model'!H$53)/100</f>
        <v>0.21939999999999998</v>
      </c>
      <c r="S57" s="101">
        <f t="shared" si="16"/>
        <v>1.7529820384294073</v>
      </c>
      <c r="T57" s="101">
        <f>'Economic Model'!H$60/100</f>
        <v>0.19624601212121212</v>
      </c>
      <c r="U57" s="101">
        <f t="shared" si="17"/>
        <v>1.9492280505506194</v>
      </c>
      <c r="V57" s="101">
        <f t="shared" si="13"/>
        <v>1.5779433805422651</v>
      </c>
      <c r="W57" s="116"/>
      <c r="X57" s="101"/>
      <c r="Y57" s="101">
        <f>M57-P57-Q57-('Economic Model'!H$50/100)</f>
        <v>0.31533899521531089</v>
      </c>
      <c r="Z57" s="101">
        <f t="shared" si="18"/>
        <v>0.13443899521531089</v>
      </c>
      <c r="AA57" s="101">
        <f t="shared" si="19"/>
        <v>-6.1807016905901291E-2</v>
      </c>
      <c r="AB57" s="80"/>
      <c r="AC57" s="15"/>
      <c r="AD57" s="81"/>
      <c r="AE57" s="93">
        <f>'Returns per Bu.'!AD57/'Economic Model'!C$30</f>
        <v>0.36113676002872674</v>
      </c>
      <c r="AF57" s="93">
        <f t="shared" si="20"/>
        <v>0.82673643172258116</v>
      </c>
      <c r="AG57" s="93">
        <f>'Returns per Bu.'!AF57/'Economic Model'!C$30</f>
        <v>1.1878731917513079</v>
      </c>
      <c r="AH57" s="105"/>
      <c r="AI57" s="104"/>
      <c r="AJ57" s="101">
        <f t="shared" si="21"/>
        <v>1.6538731917513079</v>
      </c>
      <c r="AK57" s="101">
        <f t="shared" si="22"/>
        <v>1.85011920387252</v>
      </c>
      <c r="AL57" s="116"/>
      <c r="AM57" s="101"/>
      <c r="AN57" s="101">
        <f t="shared" si="23"/>
        <v>0.23354784189341027</v>
      </c>
      <c r="AO57" s="101">
        <f t="shared" si="24"/>
        <v>3.7301829772198092E-2</v>
      </c>
      <c r="AP57" s="101">
        <f t="shared" si="25"/>
        <v>-6.1807016905901291E-2</v>
      </c>
      <c r="AQ57" s="101">
        <f t="shared" si="26"/>
        <v>9.9108846678099383E-2</v>
      </c>
      <c r="AR57" s="52"/>
    </row>
    <row r="58" spans="1:47" hidden="1" x14ac:dyDescent="0.2">
      <c r="A58" s="8">
        <v>39845</v>
      </c>
      <c r="C58" s="93">
        <f>Data!D51+'Economic Model'!C$65</f>
        <v>1.4890000000000005</v>
      </c>
      <c r="D58" s="95">
        <f>Data!E51+'Economic Model'!C$66</f>
        <v>124.5125</v>
      </c>
      <c r="E58" s="323"/>
      <c r="F58" s="93">
        <f>Data!G51+'Economic Model'!C$68</f>
        <v>3.4548749999999986</v>
      </c>
      <c r="G58" s="96">
        <f>Data!H51+'Economic Model'!C$69</f>
        <v>7.84</v>
      </c>
      <c r="H58" s="85"/>
      <c r="I58" s="16"/>
      <c r="J58" s="93">
        <f t="shared" si="14"/>
        <v>1.4890000000000005</v>
      </c>
      <c r="K58" s="93">
        <f>D58/2000*('Economic Model'!C$32+0.5)/'Economic Model'!C$30</f>
        <v>0.36916864035087715</v>
      </c>
      <c r="L58" s="319"/>
      <c r="M58" s="93">
        <f t="shared" si="15"/>
        <v>1.8581686403508777</v>
      </c>
      <c r="N58" s="110"/>
      <c r="O58" s="108"/>
      <c r="P58" s="93">
        <f>F58/'Economic Model'!C$30</f>
        <v>1.2122368421052627</v>
      </c>
      <c r="Q58" s="93">
        <f>G58/1000*'Economic Model'!C$34</f>
        <v>0.23519999999999999</v>
      </c>
      <c r="R58" s="93">
        <f>('Economic Model'!H$44+'Economic Model'!H$53)/100</f>
        <v>0.21939999999999998</v>
      </c>
      <c r="S58" s="93">
        <f t="shared" si="16"/>
        <v>1.6668368421052628</v>
      </c>
      <c r="T58" s="93">
        <f>'Economic Model'!H$60/100</f>
        <v>0.19624601212121212</v>
      </c>
      <c r="U58" s="93">
        <f t="shared" si="17"/>
        <v>1.863082854226475</v>
      </c>
      <c r="V58" s="93">
        <f t="shared" si="13"/>
        <v>1.4939142138755979</v>
      </c>
      <c r="W58" s="105"/>
      <c r="X58" s="93"/>
      <c r="Y58" s="93">
        <f>M58-P58-Q58-('Economic Model'!H$50/100)</f>
        <v>0.37223179824561503</v>
      </c>
      <c r="Z58" s="93">
        <f t="shared" si="18"/>
        <v>0.19133179824561486</v>
      </c>
      <c r="AA58" s="93">
        <f t="shared" si="19"/>
        <v>-4.9142138755973175E-3</v>
      </c>
      <c r="AB58" s="80"/>
      <c r="AC58" s="15"/>
      <c r="AD58" s="81"/>
      <c r="AE58" s="93">
        <f>'Returns per Bu.'!AD58/'Economic Model'!C$30</f>
        <v>0.36113676002872674</v>
      </c>
      <c r="AF58" s="93">
        <f t="shared" si="20"/>
        <v>0.82673643172258116</v>
      </c>
      <c r="AG58" s="93">
        <f>'Returns per Bu.'!AF58/'Economic Model'!C$30</f>
        <v>1.1878731917513079</v>
      </c>
      <c r="AH58" s="105"/>
      <c r="AI58" s="104"/>
      <c r="AJ58" s="93">
        <f t="shared" si="21"/>
        <v>1.642473191751308</v>
      </c>
      <c r="AK58" s="93">
        <f t="shared" si="22"/>
        <v>1.8387192038725202</v>
      </c>
      <c r="AL58" s="105"/>
      <c r="AM58" s="93"/>
      <c r="AN58" s="93">
        <f t="shared" si="23"/>
        <v>0.21569544859956968</v>
      </c>
      <c r="AO58" s="93">
        <f t="shared" si="24"/>
        <v>1.9449436478357507E-2</v>
      </c>
      <c r="AP58" s="93">
        <f t="shared" si="25"/>
        <v>-4.9142138755973175E-3</v>
      </c>
      <c r="AQ58" s="93">
        <f t="shared" si="26"/>
        <v>2.4363650353954824E-2</v>
      </c>
      <c r="AR58" s="52"/>
    </row>
    <row r="59" spans="1:47" hidden="1" x14ac:dyDescent="0.2">
      <c r="A59" s="8">
        <v>39873</v>
      </c>
      <c r="C59" s="93">
        <f>Data!D52+'Economic Model'!C$65</f>
        <v>1.4606818181818175</v>
      </c>
      <c r="D59" s="95">
        <f>Data!E52+'Economic Model'!C$66</f>
        <v>121.06818181818181</v>
      </c>
      <c r="E59" s="323"/>
      <c r="F59" s="93">
        <f>Data!G52+'Economic Model'!C$68</f>
        <v>3.6221590909090908</v>
      </c>
      <c r="G59" s="96">
        <f>Data!H52+'Economic Model'!C$69</f>
        <v>7.28</v>
      </c>
      <c r="H59" s="85"/>
      <c r="I59" s="16"/>
      <c r="J59" s="93">
        <f t="shared" si="14"/>
        <v>1.4606818181818175</v>
      </c>
      <c r="K59" s="93">
        <f>D59/2000*('Economic Model'!C$32+0.5)/'Economic Model'!C$30</f>
        <v>0.35895653907496006</v>
      </c>
      <c r="L59" s="319"/>
      <c r="M59" s="93">
        <f t="shared" si="15"/>
        <v>1.8196383572567776</v>
      </c>
      <c r="N59" s="110"/>
      <c r="O59" s="108"/>
      <c r="P59" s="93">
        <f>F59/'Economic Model'!C$30</f>
        <v>1.2709330143540669</v>
      </c>
      <c r="Q59" s="93">
        <f>G59/1000*'Economic Model'!C$34</f>
        <v>0.21840000000000001</v>
      </c>
      <c r="R59" s="93">
        <f>('Economic Model'!H$44+'Economic Model'!H$53)/100</f>
        <v>0.21939999999999998</v>
      </c>
      <c r="S59" s="93">
        <f t="shared" si="16"/>
        <v>1.7087330143540669</v>
      </c>
      <c r="T59" s="93">
        <f>'Economic Model'!H$60/100</f>
        <v>0.19624601212121212</v>
      </c>
      <c r="U59" s="93">
        <f t="shared" si="17"/>
        <v>1.9049790264752791</v>
      </c>
      <c r="V59" s="93">
        <f t="shared" si="13"/>
        <v>1.546022487400319</v>
      </c>
      <c r="W59" s="105"/>
      <c r="X59" s="93"/>
      <c r="Y59" s="93">
        <f>M59-P59-Q59-('Economic Model'!H$50/100)</f>
        <v>0.29180534290271065</v>
      </c>
      <c r="Z59" s="93">
        <f t="shared" si="18"/>
        <v>0.1109053429027107</v>
      </c>
      <c r="AA59" s="93">
        <f t="shared" si="19"/>
        <v>-8.5340669218501475E-2</v>
      </c>
      <c r="AB59" s="80"/>
      <c r="AC59" s="15"/>
      <c r="AD59" s="81"/>
      <c r="AE59" s="93">
        <f>'Returns per Bu.'!AD59/'Economic Model'!C$30</f>
        <v>0.36113676002872674</v>
      </c>
      <c r="AF59" s="93">
        <f t="shared" si="20"/>
        <v>0.82673643172258116</v>
      </c>
      <c r="AG59" s="93">
        <f>'Returns per Bu.'!AF59/'Economic Model'!C$30</f>
        <v>1.1878731917513079</v>
      </c>
      <c r="AH59" s="105"/>
      <c r="AI59" s="104"/>
      <c r="AJ59" s="93">
        <f t="shared" si="21"/>
        <v>1.6256731917513079</v>
      </c>
      <c r="AK59" s="93">
        <f t="shared" si="22"/>
        <v>1.82191920387252</v>
      </c>
      <c r="AL59" s="105"/>
      <c r="AM59" s="93"/>
      <c r="AN59" s="93">
        <f t="shared" si="23"/>
        <v>0.19396516550546972</v>
      </c>
      <c r="AO59" s="93">
        <f t="shared" si="24"/>
        <v>-2.2808466157424601E-3</v>
      </c>
      <c r="AP59" s="93">
        <f t="shared" si="25"/>
        <v>-8.5340669218501475E-2</v>
      </c>
      <c r="AQ59" s="93">
        <f t="shared" si="26"/>
        <v>8.3059822602759015E-2</v>
      </c>
      <c r="AR59" s="52"/>
    </row>
    <row r="60" spans="1:47" hidden="1" x14ac:dyDescent="0.2">
      <c r="A60" s="8">
        <v>39904</v>
      </c>
      <c r="C60" s="93">
        <f>Data!D53+'Economic Model'!C$65</f>
        <v>1.4981818181818185</v>
      </c>
      <c r="D60" s="95">
        <f>Data!E53+'Economic Model'!C$66</f>
        <v>119.94318181818181</v>
      </c>
      <c r="E60" s="323"/>
      <c r="F60" s="93">
        <f>Data!G53+'Economic Model'!C$68</f>
        <v>3.7570454545454526</v>
      </c>
      <c r="G60" s="96">
        <f>Data!H53+'Economic Model'!C$69</f>
        <v>5.6</v>
      </c>
      <c r="H60" s="85"/>
      <c r="I60" s="16"/>
      <c r="J60" s="93">
        <f t="shared" si="14"/>
        <v>1.4981818181818185</v>
      </c>
      <c r="K60" s="93">
        <f>D60/2000*('Economic Model'!C$32+0.5)/'Economic Model'!C$30</f>
        <v>0.35562101275917057</v>
      </c>
      <c r="L60" s="319"/>
      <c r="M60" s="93">
        <f t="shared" si="15"/>
        <v>1.8538028309409891</v>
      </c>
      <c r="N60" s="85"/>
      <c r="O60" s="16"/>
      <c r="P60" s="93">
        <f>F60/'Economic Model'!C$30</f>
        <v>1.3182615629984045</v>
      </c>
      <c r="Q60" s="93">
        <f>G60/1000*'Economic Model'!C$34</f>
        <v>0.16800000000000001</v>
      </c>
      <c r="R60" s="93">
        <f>('Economic Model'!H$44+'Economic Model'!H$53)/100</f>
        <v>0.21939999999999998</v>
      </c>
      <c r="S60" s="93">
        <f t="shared" si="16"/>
        <v>1.7056615629984044</v>
      </c>
      <c r="T60" s="93">
        <f>'Economic Model'!H$60/100</f>
        <v>0.19624601212121212</v>
      </c>
      <c r="U60" s="93">
        <f t="shared" si="17"/>
        <v>1.9019075751196166</v>
      </c>
      <c r="V60" s="93">
        <f t="shared" si="13"/>
        <v>1.546286562360446</v>
      </c>
      <c r="W60" s="105"/>
      <c r="X60" s="93"/>
      <c r="Y60" s="93">
        <f>M60-P60-Q60-('Economic Model'!H$50/100)</f>
        <v>0.32904126794258459</v>
      </c>
      <c r="Z60" s="93">
        <f t="shared" si="18"/>
        <v>0.14814126794258464</v>
      </c>
      <c r="AA60" s="93">
        <f t="shared" si="19"/>
        <v>-4.8104744178627534E-2</v>
      </c>
      <c r="AB60" s="80"/>
      <c r="AC60" s="15"/>
      <c r="AD60" s="81"/>
      <c r="AE60" s="93">
        <f>'Returns per Bu.'!AD60/'Economic Model'!C$30</f>
        <v>0.36113676002872674</v>
      </c>
      <c r="AF60" s="93">
        <f t="shared" si="20"/>
        <v>0.82673643172258116</v>
      </c>
      <c r="AG60" s="93">
        <f>'Returns per Bu.'!AF60/'Economic Model'!C$30</f>
        <v>1.1878731917513079</v>
      </c>
      <c r="AH60" s="105"/>
      <c r="AI60" s="104"/>
      <c r="AJ60" s="93">
        <f t="shared" si="21"/>
        <v>1.5752731917513079</v>
      </c>
      <c r="AK60" s="93">
        <f t="shared" si="22"/>
        <v>1.77151920387252</v>
      </c>
      <c r="AL60" s="105"/>
      <c r="AM60" s="93"/>
      <c r="AN60" s="93">
        <f t="shared" si="23"/>
        <v>0.27852963918968121</v>
      </c>
      <c r="AO60" s="93">
        <f t="shared" si="24"/>
        <v>8.2283627068469034E-2</v>
      </c>
      <c r="AP60" s="93">
        <f t="shared" si="25"/>
        <v>-4.8104744178627534E-2</v>
      </c>
      <c r="AQ60" s="93">
        <f t="shared" si="26"/>
        <v>0.13038837124709657</v>
      </c>
      <c r="AR60" s="52"/>
    </row>
    <row r="61" spans="1:47" hidden="1" x14ac:dyDescent="0.2">
      <c r="A61" s="8">
        <v>39934</v>
      </c>
      <c r="C61" s="93">
        <f>Data!D54+'Economic Model'!C$65</f>
        <v>1.56</v>
      </c>
      <c r="D61" s="95">
        <f>Data!E54+'Economic Model'!C$66</f>
        <v>128.71250000000001</v>
      </c>
      <c r="E61" s="323"/>
      <c r="F61" s="93">
        <f>Data!G54+'Economic Model'!C$68</f>
        <v>3.9796249999999995</v>
      </c>
      <c r="G61" s="96">
        <f>Data!H54+'Economic Model'!C$69</f>
        <v>4.84</v>
      </c>
      <c r="H61" s="85"/>
      <c r="I61" s="16"/>
      <c r="J61" s="93">
        <f t="shared" si="14"/>
        <v>1.56</v>
      </c>
      <c r="K61" s="93">
        <f>D61/2000*('Economic Model'!C$32+0.5)/'Economic Model'!C$30</f>
        <v>0.38162127192982453</v>
      </c>
      <c r="L61" s="319"/>
      <c r="M61" s="93">
        <f t="shared" si="15"/>
        <v>1.9416212719298245</v>
      </c>
      <c r="N61" s="85"/>
      <c r="O61" s="16"/>
      <c r="P61" s="93">
        <f>F61/'Economic Model'!C$30</f>
        <v>1.3963596491228067</v>
      </c>
      <c r="Q61" s="93">
        <f>G61/1000*'Economic Model'!C$34</f>
        <v>0.1452</v>
      </c>
      <c r="R61" s="93">
        <f>('Economic Model'!H$44+'Economic Model'!H$53)/100</f>
        <v>0.21939999999999998</v>
      </c>
      <c r="S61" s="93">
        <f t="shared" si="16"/>
        <v>1.7609596491228068</v>
      </c>
      <c r="T61" s="93">
        <f>'Economic Model'!H$60/100</f>
        <v>0.19624601212121212</v>
      </c>
      <c r="U61" s="93">
        <f t="shared" si="17"/>
        <v>1.957205661244019</v>
      </c>
      <c r="V61" s="93">
        <f t="shared" si="13"/>
        <v>1.5755843893141943</v>
      </c>
      <c r="W61" s="105"/>
      <c r="X61" s="93"/>
      <c r="Y61" s="93">
        <f>M61-P61-Q61-('Economic Model'!H$50/100)</f>
        <v>0.36156162280701776</v>
      </c>
      <c r="Z61" s="93">
        <f t="shared" si="18"/>
        <v>0.1806616228070177</v>
      </c>
      <c r="AA61" s="93">
        <f t="shared" si="19"/>
        <v>-1.558438931419448E-2</v>
      </c>
      <c r="AB61" s="80"/>
      <c r="AC61" s="15"/>
      <c r="AD61" s="81"/>
      <c r="AE61" s="93">
        <f>'Returns per Bu.'!AD61/'Economic Model'!C$30</f>
        <v>0.36113676002872674</v>
      </c>
      <c r="AF61" s="93">
        <f t="shared" si="20"/>
        <v>0.82673643172258116</v>
      </c>
      <c r="AG61" s="93">
        <f>'Returns per Bu.'!AF61/'Economic Model'!C$30</f>
        <v>1.1878731917513079</v>
      </c>
      <c r="AH61" s="105"/>
      <c r="AI61" s="104"/>
      <c r="AJ61" s="93">
        <f t="shared" si="21"/>
        <v>1.5524731917513079</v>
      </c>
      <c r="AK61" s="93">
        <f t="shared" si="22"/>
        <v>1.7487192038725201</v>
      </c>
      <c r="AL61" s="105"/>
      <c r="AM61" s="93"/>
      <c r="AN61" s="93">
        <f t="shared" si="23"/>
        <v>0.38914808017851654</v>
      </c>
      <c r="AO61" s="93">
        <f t="shared" si="24"/>
        <v>0.19290206805730437</v>
      </c>
      <c r="AP61" s="93">
        <f t="shared" si="25"/>
        <v>-1.558438931419448E-2</v>
      </c>
      <c r="AQ61" s="93">
        <f t="shared" si="26"/>
        <v>0.20848645737149885</v>
      </c>
      <c r="AR61" s="52"/>
    </row>
    <row r="62" spans="1:47" hidden="1" x14ac:dyDescent="0.2">
      <c r="A62" s="8">
        <v>39965</v>
      </c>
      <c r="C62" s="93">
        <f>Data!D55+'Economic Model'!C$65</f>
        <v>1.6725000000000001</v>
      </c>
      <c r="D62" s="95">
        <f>Data!E55+'Economic Model'!C$66</f>
        <v>137.32954545454547</v>
      </c>
      <c r="E62" s="323"/>
      <c r="F62" s="93">
        <f>Data!G55+'Economic Model'!C$68</f>
        <v>3.9137499999999998</v>
      </c>
      <c r="G62" s="96">
        <f>Data!H55+'Economic Model'!C$69</f>
        <v>4.57</v>
      </c>
      <c r="H62" s="85"/>
      <c r="I62" s="16"/>
      <c r="J62" s="93">
        <f t="shared" si="14"/>
        <v>1.6725000000000001</v>
      </c>
      <c r="K62" s="93">
        <f>D62/2000*('Economic Model'!C$32+0.5)/'Economic Model'!C$30</f>
        <v>0.40717005582137156</v>
      </c>
      <c r="L62" s="319"/>
      <c r="M62" s="93">
        <f t="shared" si="15"/>
        <v>2.0796700558213717</v>
      </c>
      <c r="N62" s="85"/>
      <c r="O62" s="16"/>
      <c r="P62" s="93">
        <f>F62/'Economic Model'!C$30</f>
        <v>1.3732456140350877</v>
      </c>
      <c r="Q62" s="93">
        <f>G62/1000*'Economic Model'!C$34</f>
        <v>0.1371</v>
      </c>
      <c r="R62" s="93">
        <f>('Economic Model'!H$44+'Economic Model'!H$53)/100</f>
        <v>0.21939999999999998</v>
      </c>
      <c r="S62" s="93">
        <f t="shared" si="16"/>
        <v>1.7297456140350878</v>
      </c>
      <c r="T62" s="93">
        <f>'Economic Model'!H$60/100</f>
        <v>0.19624601212121212</v>
      </c>
      <c r="U62" s="93">
        <f t="shared" si="17"/>
        <v>1.9259916261562999</v>
      </c>
      <c r="V62" s="93">
        <f t="shared" si="13"/>
        <v>1.5188215703349284</v>
      </c>
      <c r="W62" s="105"/>
      <c r="X62" s="93"/>
      <c r="Y62" s="93">
        <f>M62-P62-Q62-('Economic Model'!H$50/100)</f>
        <v>0.53082444178628396</v>
      </c>
      <c r="Z62" s="93">
        <f t="shared" si="18"/>
        <v>0.3499244417862839</v>
      </c>
      <c r="AA62" s="93">
        <f t="shared" si="19"/>
        <v>0.15367842966507173</v>
      </c>
      <c r="AB62" s="80"/>
      <c r="AC62" s="15"/>
      <c r="AD62" s="81"/>
      <c r="AE62" s="93">
        <f>'Returns per Bu.'!AD62/'Economic Model'!C$30</f>
        <v>0.36113676002872674</v>
      </c>
      <c r="AF62" s="93">
        <f t="shared" si="20"/>
        <v>0.82673643172258116</v>
      </c>
      <c r="AG62" s="93">
        <f>'Returns per Bu.'!AF62/'Economic Model'!C$30</f>
        <v>1.1878731917513079</v>
      </c>
      <c r="AH62" s="105"/>
      <c r="AI62" s="104"/>
      <c r="AJ62" s="93">
        <f t="shared" si="21"/>
        <v>1.5443731917513079</v>
      </c>
      <c r="AK62" s="93">
        <f t="shared" si="22"/>
        <v>1.7406192038725201</v>
      </c>
      <c r="AL62" s="105"/>
      <c r="AM62" s="93"/>
      <c r="AN62" s="93">
        <f t="shared" si="23"/>
        <v>0.53529686407006372</v>
      </c>
      <c r="AO62" s="93">
        <f t="shared" si="24"/>
        <v>0.33905085194885154</v>
      </c>
      <c r="AP62" s="93">
        <f t="shared" si="25"/>
        <v>0.15367842966507173</v>
      </c>
      <c r="AQ62" s="93">
        <f t="shared" si="26"/>
        <v>0.18537242228377981</v>
      </c>
      <c r="AR62" s="52"/>
    </row>
    <row r="63" spans="1:47" hidden="1" x14ac:dyDescent="0.2">
      <c r="A63" s="8">
        <v>39995</v>
      </c>
      <c r="C63" s="93">
        <f>Data!D56+'Economic Model'!C$65</f>
        <v>1.5884782608695653</v>
      </c>
      <c r="D63" s="95">
        <f>Data!E56+'Economic Model'!C$66</f>
        <v>90.806818181818187</v>
      </c>
      <c r="E63" s="323"/>
      <c r="F63" s="93">
        <f>Data!G56+'Economic Model'!C$68</f>
        <v>3.0752272727272749</v>
      </c>
      <c r="G63" s="96">
        <f>Data!H56+'Economic Model'!C$69</f>
        <v>4.55</v>
      </c>
      <c r="H63" s="85"/>
      <c r="I63" s="16"/>
      <c r="J63" s="93">
        <f t="shared" si="14"/>
        <v>1.5884782608695653</v>
      </c>
      <c r="K63" s="93">
        <f>D63/2000*('Economic Model'!C$32+0.5)/'Economic Model'!C$30</f>
        <v>0.26923425039872406</v>
      </c>
      <c r="L63" s="319"/>
      <c r="M63" s="93">
        <f t="shared" si="15"/>
        <v>1.8577125112682893</v>
      </c>
      <c r="N63" s="85"/>
      <c r="O63" s="16"/>
      <c r="P63" s="93">
        <f>F63/'Economic Model'!C$30</f>
        <v>1.0790271132376403</v>
      </c>
      <c r="Q63" s="93">
        <f>G63/1000*'Economic Model'!C$34</f>
        <v>0.13650000000000001</v>
      </c>
      <c r="R63" s="93">
        <f>('Economic Model'!H$44+'Economic Model'!H$53)/100</f>
        <v>0.21939999999999998</v>
      </c>
      <c r="S63" s="93">
        <f t="shared" si="16"/>
        <v>1.4349271132376404</v>
      </c>
      <c r="T63" s="93">
        <f>'Economic Model'!H$60/100</f>
        <v>0.19624601212121212</v>
      </c>
      <c r="U63" s="93">
        <f t="shared" si="17"/>
        <v>1.6311731253588526</v>
      </c>
      <c r="V63" s="93">
        <f t="shared" si="13"/>
        <v>1.3619388749601287</v>
      </c>
      <c r="W63" s="105"/>
      <c r="X63" s="93"/>
      <c r="Y63" s="93">
        <f>M63-P63-Q63-('Economic Model'!H$50/100)</f>
        <v>0.60368539803064891</v>
      </c>
      <c r="Z63" s="93">
        <f t="shared" si="18"/>
        <v>0.42278539803064885</v>
      </c>
      <c r="AA63" s="93">
        <f t="shared" si="19"/>
        <v>0.22653938590943667</v>
      </c>
      <c r="AB63" s="80"/>
      <c r="AC63" s="15"/>
      <c r="AD63" s="81"/>
      <c r="AE63" s="93">
        <f>'Returns per Bu.'!AD63/'Economic Model'!C$30</f>
        <v>0.36113676002872674</v>
      </c>
      <c r="AF63" s="93">
        <f t="shared" si="20"/>
        <v>0.82673643172258116</v>
      </c>
      <c r="AG63" s="93">
        <f>'Returns per Bu.'!AF63/'Economic Model'!C$30</f>
        <v>1.1878731917513079</v>
      </c>
      <c r="AH63" s="105"/>
      <c r="AI63" s="104"/>
      <c r="AJ63" s="93">
        <f t="shared" si="21"/>
        <v>1.543773191751308</v>
      </c>
      <c r="AK63" s="93">
        <f t="shared" si="22"/>
        <v>1.7400192038725202</v>
      </c>
      <c r="AL63" s="105"/>
      <c r="AM63" s="93"/>
      <c r="AN63" s="93">
        <f t="shared" si="23"/>
        <v>0.31393931951698129</v>
      </c>
      <c r="AO63" s="93">
        <f t="shared" si="24"/>
        <v>0.11769330739576911</v>
      </c>
      <c r="AP63" s="93">
        <f t="shared" si="25"/>
        <v>0.22653938590943667</v>
      </c>
      <c r="AQ63" s="93">
        <f t="shared" si="26"/>
        <v>-0.10884607851366757</v>
      </c>
      <c r="AR63" s="52"/>
    </row>
    <row r="64" spans="1:47" hidden="1" x14ac:dyDescent="0.2">
      <c r="A64" s="8">
        <v>40026</v>
      </c>
      <c r="C64" s="93">
        <f>Data!D57+'Economic Model'!C$65</f>
        <v>1.5345238095238098</v>
      </c>
      <c r="D64" s="95">
        <f>Data!E57+'Economic Model'!C$66</f>
        <v>78.75</v>
      </c>
      <c r="E64" s="323"/>
      <c r="F64" s="93">
        <f>Data!G57+'Economic Model'!C$68</f>
        <v>3.1445238095238102</v>
      </c>
      <c r="G64" s="96">
        <f>Data!H57+'Economic Model'!C$69</f>
        <v>4.7300000000000004</v>
      </c>
      <c r="H64" s="85"/>
      <c r="I64" s="16"/>
      <c r="J64" s="93">
        <f t="shared" si="14"/>
        <v>1.5345238095238098</v>
      </c>
      <c r="K64" s="93">
        <f>D64/2000*('Economic Model'!C$32+0.5)/'Economic Model'!C$30</f>
        <v>0.2334868421052631</v>
      </c>
      <c r="L64" s="319"/>
      <c r="M64" s="93">
        <f t="shared" si="15"/>
        <v>1.768010651629073</v>
      </c>
      <c r="N64" s="85"/>
      <c r="O64" s="16"/>
      <c r="P64" s="93">
        <f>F64/'Economic Model'!C$30</f>
        <v>1.103341687552214</v>
      </c>
      <c r="Q64" s="93">
        <f>G64/1000*'Economic Model'!C$34</f>
        <v>0.14190000000000003</v>
      </c>
      <c r="R64" s="93">
        <f>('Economic Model'!H$44+'Economic Model'!H$53)/100</f>
        <v>0.21939999999999998</v>
      </c>
      <c r="S64" s="93">
        <f t="shared" si="16"/>
        <v>1.4646416875522139</v>
      </c>
      <c r="T64" s="93">
        <f>'Economic Model'!H$60/100</f>
        <v>0.19624601212121212</v>
      </c>
      <c r="U64" s="93">
        <f t="shared" si="17"/>
        <v>1.6608876996734261</v>
      </c>
      <c r="V64" s="93">
        <f t="shared" si="13"/>
        <v>1.4274008575681629</v>
      </c>
      <c r="W64" s="105"/>
      <c r="X64" s="93"/>
      <c r="Y64" s="93">
        <f>M64-P64-Q64-('Economic Model'!H$50/100)</f>
        <v>0.48426896407685904</v>
      </c>
      <c r="Z64" s="93">
        <f t="shared" si="18"/>
        <v>0.30336896407685909</v>
      </c>
      <c r="AA64" s="93">
        <f t="shared" si="19"/>
        <v>0.10712295195564692</v>
      </c>
      <c r="AB64" s="80"/>
      <c r="AC64" s="15"/>
      <c r="AD64" s="81"/>
      <c r="AE64" s="93">
        <f>'Returns per Bu.'!AD64/'Economic Model'!C$30</f>
        <v>0.36113676002872674</v>
      </c>
      <c r="AF64" s="93">
        <f t="shared" si="20"/>
        <v>0.82673643172258116</v>
      </c>
      <c r="AG64" s="93">
        <f>'Returns per Bu.'!AF64/'Economic Model'!C$30</f>
        <v>1.1878731917513079</v>
      </c>
      <c r="AH64" s="105"/>
      <c r="AI64" s="104"/>
      <c r="AJ64" s="93">
        <f t="shared" si="21"/>
        <v>1.5491731917513081</v>
      </c>
      <c r="AK64" s="93">
        <f t="shared" si="22"/>
        <v>1.7454192038725203</v>
      </c>
      <c r="AL64" s="105"/>
      <c r="AM64" s="93"/>
      <c r="AN64" s="93">
        <f t="shared" si="23"/>
        <v>0.21883745987776493</v>
      </c>
      <c r="AO64" s="93">
        <f t="shared" si="24"/>
        <v>2.2591447756552752E-2</v>
      </c>
      <c r="AP64" s="93">
        <f t="shared" si="25"/>
        <v>0.10712295195564669</v>
      </c>
      <c r="AQ64" s="93">
        <f t="shared" si="26"/>
        <v>-8.4531504199093943E-2</v>
      </c>
      <c r="AR64" s="52"/>
    </row>
    <row r="65" spans="1:44" hidden="1" x14ac:dyDescent="0.2">
      <c r="A65" s="8">
        <v>40057</v>
      </c>
      <c r="C65" s="93">
        <f>Data!D58+'Economic Model'!C$65</f>
        <v>1.5390909090909093</v>
      </c>
      <c r="D65" s="95">
        <f>Data!E58+'Economic Model'!C$66</f>
        <v>80.892857142857139</v>
      </c>
      <c r="E65" s="323"/>
      <c r="F65" s="93">
        <f>Data!G58+'Economic Model'!C$68</f>
        <v>3.1452380952380952</v>
      </c>
      <c r="G65" s="96">
        <f>Data!H58+'Economic Model'!C$69</f>
        <v>4.68</v>
      </c>
      <c r="H65" s="85"/>
      <c r="I65" s="16"/>
      <c r="J65" s="93">
        <f t="shared" si="14"/>
        <v>1.5390909090909093</v>
      </c>
      <c r="K65" s="93">
        <f>D65/2000*('Economic Model'!C$32+0.5)/'Economic Model'!C$30</f>
        <v>0.23984022556390974</v>
      </c>
      <c r="L65" s="319"/>
      <c r="M65" s="93">
        <f t="shared" si="15"/>
        <v>1.7789311346548191</v>
      </c>
      <c r="N65" s="85"/>
      <c r="O65" s="16"/>
      <c r="P65" s="93">
        <f>F65/'Economic Model'!C$30</f>
        <v>1.1035923141186299</v>
      </c>
      <c r="Q65" s="93">
        <f>G65/1000*'Economic Model'!C$34</f>
        <v>0.1404</v>
      </c>
      <c r="R65" s="93">
        <f>('Economic Model'!H$44+'Economic Model'!H$53)/100</f>
        <v>0.21939999999999998</v>
      </c>
      <c r="S65" s="93">
        <f t="shared" si="16"/>
        <v>1.46339231411863</v>
      </c>
      <c r="T65" s="93">
        <f>'Economic Model'!H$60/100</f>
        <v>0.19624601212121212</v>
      </c>
      <c r="U65" s="93">
        <f t="shared" si="17"/>
        <v>1.6596383262398422</v>
      </c>
      <c r="V65" s="93">
        <f t="shared" si="13"/>
        <v>1.4197981006759324</v>
      </c>
      <c r="W65" s="105"/>
      <c r="X65" s="93"/>
      <c r="Y65" s="93">
        <f>M65-P65-Q65-('Economic Model'!H$50/100)</f>
        <v>0.49643882053618926</v>
      </c>
      <c r="Z65" s="93">
        <f t="shared" si="18"/>
        <v>0.31553882053618909</v>
      </c>
      <c r="AA65" s="93">
        <f t="shared" si="19"/>
        <v>0.11929280841497691</v>
      </c>
      <c r="AB65" s="80"/>
      <c r="AC65" s="15"/>
      <c r="AD65" s="81"/>
      <c r="AE65" s="93">
        <f>'Returns per Bu.'!AD65/'Economic Model'!C$30</f>
        <v>0.35280508964719487</v>
      </c>
      <c r="AF65" s="93">
        <f t="shared" si="20"/>
        <v>1.04112685560054</v>
      </c>
      <c r="AG65" s="93">
        <f>'Returns per Bu.'!AF65/'Economic Model'!C$30</f>
        <v>1.3939319452477348</v>
      </c>
      <c r="AH65" s="105"/>
      <c r="AI65" s="104"/>
      <c r="AJ65" s="93">
        <f t="shared" si="21"/>
        <v>1.7537319452477349</v>
      </c>
      <c r="AK65" s="93">
        <f t="shared" si="22"/>
        <v>1.9499779573689471</v>
      </c>
      <c r="AL65" s="105"/>
      <c r="AM65" s="93"/>
      <c r="AN65" s="93">
        <f t="shared" si="23"/>
        <v>2.519918940708421E-2</v>
      </c>
      <c r="AO65" s="93">
        <f t="shared" si="24"/>
        <v>-0.17104682271412797</v>
      </c>
      <c r="AP65" s="93">
        <f t="shared" si="25"/>
        <v>0.11929280841497691</v>
      </c>
      <c r="AQ65" s="93">
        <f t="shared" si="26"/>
        <v>-0.29033963112910488</v>
      </c>
      <c r="AR65" s="52"/>
    </row>
    <row r="66" spans="1:44" hidden="1" x14ac:dyDescent="0.2">
      <c r="A66" s="8">
        <v>40087</v>
      </c>
      <c r="C66" s="93">
        <f>Data!D59+'Economic Model'!C$65</f>
        <v>1.7979545454545454</v>
      </c>
      <c r="D66" s="95">
        <f>Data!E59+'Economic Model'!C$66</f>
        <v>104.98863636363636</v>
      </c>
      <c r="E66" s="323"/>
      <c r="F66" s="93">
        <f>Data!G59+'Economic Model'!C$68</f>
        <v>3.6098863636363645</v>
      </c>
      <c r="G66" s="96">
        <f>Data!H59+'Economic Model'!C$69</f>
        <v>4.84</v>
      </c>
      <c r="H66" s="85"/>
      <c r="I66" s="16"/>
      <c r="J66" s="93">
        <f t="shared" si="14"/>
        <v>1.7979545454545454</v>
      </c>
      <c r="K66" s="93">
        <f>D66/2000*('Economic Model'!C$32+0.5)/'Economic Model'!C$30</f>
        <v>0.31128209728867617</v>
      </c>
      <c r="L66" s="319"/>
      <c r="M66" s="93">
        <f t="shared" si="15"/>
        <v>2.1092366427432214</v>
      </c>
      <c r="N66" s="85"/>
      <c r="O66" s="16"/>
      <c r="P66" s="93">
        <f>F66/'Economic Model'!C$30</f>
        <v>1.2666267942583735</v>
      </c>
      <c r="Q66" s="93">
        <f>G66/1000*'Economic Model'!C$34</f>
        <v>0.1452</v>
      </c>
      <c r="R66" s="93">
        <f>('Economic Model'!H$44+'Economic Model'!H$53)/100</f>
        <v>0.21939999999999998</v>
      </c>
      <c r="S66" s="93">
        <f t="shared" si="16"/>
        <v>1.6312267942583736</v>
      </c>
      <c r="T66" s="93">
        <f>'Economic Model'!H$60/100</f>
        <v>0.19624601212121212</v>
      </c>
      <c r="U66" s="93">
        <f t="shared" si="17"/>
        <v>1.8274728063795858</v>
      </c>
      <c r="V66" s="93">
        <f t="shared" si="13"/>
        <v>1.5161907090909095</v>
      </c>
      <c r="W66" s="105"/>
      <c r="X66" s="93"/>
      <c r="Y66" s="93">
        <f>M66-P66-Q66-('Economic Model'!H$50/100)</f>
        <v>0.6589098484848479</v>
      </c>
      <c r="Z66" s="93">
        <f t="shared" si="18"/>
        <v>0.47800984848484784</v>
      </c>
      <c r="AA66" s="93">
        <f t="shared" si="19"/>
        <v>0.28176383636363567</v>
      </c>
      <c r="AB66" s="80"/>
      <c r="AC66" s="15"/>
      <c r="AD66" s="81"/>
      <c r="AE66" s="93">
        <f>'Returns per Bu.'!AD66/'Economic Model'!C$30</f>
        <v>0.35280508964719487</v>
      </c>
      <c r="AF66" s="93">
        <f t="shared" si="20"/>
        <v>1.04112685560054</v>
      </c>
      <c r="AG66" s="93">
        <f>'Returns per Bu.'!AF66/'Economic Model'!C$30</f>
        <v>1.3939319452477348</v>
      </c>
      <c r="AH66" s="105"/>
      <c r="AI66" s="104"/>
      <c r="AJ66" s="93">
        <f t="shared" si="21"/>
        <v>1.7585319452477348</v>
      </c>
      <c r="AK66" s="93">
        <f t="shared" si="22"/>
        <v>1.954777957368947</v>
      </c>
      <c r="AL66" s="105"/>
      <c r="AM66" s="93"/>
      <c r="AN66" s="93">
        <f t="shared" si="23"/>
        <v>0.35070469749548661</v>
      </c>
      <c r="AO66" s="93">
        <f t="shared" si="24"/>
        <v>0.15445868537427443</v>
      </c>
      <c r="AP66" s="93">
        <f t="shared" si="25"/>
        <v>0.28176383636363567</v>
      </c>
      <c r="AQ66" s="93">
        <f t="shared" si="26"/>
        <v>-0.12730515098936124</v>
      </c>
      <c r="AR66" s="52"/>
    </row>
    <row r="67" spans="1:44" hidden="1" x14ac:dyDescent="0.2">
      <c r="A67" s="8">
        <v>40118</v>
      </c>
      <c r="C67" s="93">
        <f>Data!D60+'Economic Model'!C$65</f>
        <v>1.9832500000000011</v>
      </c>
      <c r="D67" s="95">
        <f>Data!E60+'Economic Model'!C$66</f>
        <v>117.15</v>
      </c>
      <c r="E67" s="323"/>
      <c r="F67" s="93">
        <f>Data!G60+'Economic Model'!C$68</f>
        <v>3.6488749999999994</v>
      </c>
      <c r="G67" s="96">
        <f>Data!H60+'Economic Model'!C$69</f>
        <v>6.16</v>
      </c>
      <c r="H67" s="85"/>
      <c r="I67" s="16"/>
      <c r="J67" s="93">
        <f t="shared" si="14"/>
        <v>1.9832500000000011</v>
      </c>
      <c r="K67" s="93">
        <f>D67/2000*('Economic Model'!C$32+0.5)/'Economic Model'!C$30</f>
        <v>0.34733947368421053</v>
      </c>
      <c r="L67" s="319"/>
      <c r="M67" s="93">
        <f t="shared" si="15"/>
        <v>2.3305894736842117</v>
      </c>
      <c r="N67" s="85"/>
      <c r="O67" s="16"/>
      <c r="P67" s="93">
        <f>F67/'Economic Model'!C$30</f>
        <v>1.2803070175438593</v>
      </c>
      <c r="Q67" s="93">
        <f>G67/1000*'Economic Model'!C$34</f>
        <v>0.18480000000000002</v>
      </c>
      <c r="R67" s="93">
        <f>('Economic Model'!H$44+'Economic Model'!H$53)/100</f>
        <v>0.21939999999999998</v>
      </c>
      <c r="S67" s="93">
        <f t="shared" si="16"/>
        <v>1.6845070175438595</v>
      </c>
      <c r="T67" s="93">
        <f>'Economic Model'!H$60/100</f>
        <v>0.19624601212121212</v>
      </c>
      <c r="U67" s="93">
        <f t="shared" si="17"/>
        <v>1.8807530296650716</v>
      </c>
      <c r="V67" s="93">
        <f t="shared" si="13"/>
        <v>1.533413555980861</v>
      </c>
      <c r="W67" s="105"/>
      <c r="X67" s="93"/>
      <c r="Y67" s="93">
        <f>M67-P67-Q67-('Economic Model'!H$50/100)</f>
        <v>0.82698245614035226</v>
      </c>
      <c r="Z67" s="93">
        <f t="shared" si="18"/>
        <v>0.6460824561403522</v>
      </c>
      <c r="AA67" s="93">
        <f t="shared" si="19"/>
        <v>0.44983644401914002</v>
      </c>
      <c r="AB67" s="80"/>
      <c r="AC67" s="15"/>
      <c r="AD67" s="81"/>
      <c r="AE67" s="93">
        <f>'Returns per Bu.'!AD67/'Economic Model'!C$30</f>
        <v>0.35280508964719487</v>
      </c>
      <c r="AF67" s="93">
        <f t="shared" si="20"/>
        <v>1.04112685560054</v>
      </c>
      <c r="AG67" s="93">
        <f>'Returns per Bu.'!AF67/'Economic Model'!C$30</f>
        <v>1.3939319452477348</v>
      </c>
      <c r="AH67" s="105"/>
      <c r="AI67" s="104"/>
      <c r="AJ67" s="93">
        <f t="shared" si="21"/>
        <v>1.7981319452477349</v>
      </c>
      <c r="AK67" s="93">
        <f t="shared" si="22"/>
        <v>1.9943779573689471</v>
      </c>
      <c r="AL67" s="105"/>
      <c r="AM67" s="93"/>
      <c r="AN67" s="93">
        <f t="shared" si="23"/>
        <v>0.53245752843647676</v>
      </c>
      <c r="AO67" s="93">
        <f t="shared" si="24"/>
        <v>0.33621151631526458</v>
      </c>
      <c r="AP67" s="93">
        <f t="shared" si="25"/>
        <v>0.44983644401914002</v>
      </c>
      <c r="AQ67" s="93">
        <f t="shared" si="26"/>
        <v>-0.11362492770387544</v>
      </c>
      <c r="AR67" s="52"/>
    </row>
    <row r="68" spans="1:44" hidden="1" x14ac:dyDescent="0.2">
      <c r="A68" s="68">
        <v>40148</v>
      </c>
      <c r="B68" s="29"/>
      <c r="C68" s="97">
        <f>Data!D61+'Economic Model'!C$65</f>
        <v>1.9576086956521745</v>
      </c>
      <c r="D68" s="99">
        <f>Data!E61+'Economic Model'!C$66</f>
        <v>111.77272727272727</v>
      </c>
      <c r="E68" s="324"/>
      <c r="F68" s="97">
        <f>Data!G61+'Economic Model'!C$68</f>
        <v>3.6548863636363644</v>
      </c>
      <c r="G68" s="100">
        <f>Data!H61+'Economic Model'!C$69</f>
        <v>6.79</v>
      </c>
      <c r="H68" s="87"/>
      <c r="I68" s="71"/>
      <c r="J68" s="97">
        <f t="shared" si="14"/>
        <v>1.9576086956521745</v>
      </c>
      <c r="K68" s="97">
        <f>D68/2000*('Economic Model'!C$32+0.5)/'Economic Model'!C$30</f>
        <v>0.33139633173843691</v>
      </c>
      <c r="L68" s="320"/>
      <c r="M68" s="97">
        <f t="shared" si="15"/>
        <v>2.2890050273906115</v>
      </c>
      <c r="N68" s="87"/>
      <c r="O68" s="71"/>
      <c r="P68" s="97">
        <f>F68/'Economic Model'!C$30</f>
        <v>1.2824162679425839</v>
      </c>
      <c r="Q68" s="97">
        <f>G68/1000*'Economic Model'!C$34</f>
        <v>0.20369999999999999</v>
      </c>
      <c r="R68" s="97">
        <f>('Economic Model'!H$44+'Economic Model'!H$53)/100</f>
        <v>0.21939999999999998</v>
      </c>
      <c r="S68" s="97">
        <f t="shared" si="16"/>
        <v>1.7055162679425839</v>
      </c>
      <c r="T68" s="97">
        <f>'Economic Model'!H$60/100</f>
        <v>0.19624601212121212</v>
      </c>
      <c r="U68" s="97">
        <f t="shared" si="17"/>
        <v>1.9017622800637961</v>
      </c>
      <c r="V68" s="97">
        <f t="shared" si="13"/>
        <v>1.5703659483253591</v>
      </c>
      <c r="W68" s="107"/>
      <c r="X68" s="97"/>
      <c r="Y68" s="93">
        <f>M68-P68-Q68-('Economic Model'!H$50/100)</f>
        <v>0.76438875944802764</v>
      </c>
      <c r="Z68" s="97">
        <f t="shared" si="18"/>
        <v>0.58348875944802758</v>
      </c>
      <c r="AA68" s="97">
        <f t="shared" si="19"/>
        <v>0.38724274732681541</v>
      </c>
      <c r="AB68" s="82"/>
      <c r="AC68" s="15"/>
      <c r="AD68" s="83"/>
      <c r="AE68" s="97">
        <f>'Returns per Bu.'!AD68/'Economic Model'!C$30</f>
        <v>0.35280508964719487</v>
      </c>
      <c r="AF68" s="97">
        <f t="shared" si="20"/>
        <v>1.04112685560054</v>
      </c>
      <c r="AG68" s="97">
        <f>'Returns per Bu.'!AF68/'Economic Model'!C$30</f>
        <v>1.3939319452477348</v>
      </c>
      <c r="AH68" s="107"/>
      <c r="AI68" s="106"/>
      <c r="AJ68" s="97">
        <f t="shared" si="21"/>
        <v>1.8170319452477348</v>
      </c>
      <c r="AK68" s="97">
        <f t="shared" si="22"/>
        <v>2.0132779573689468</v>
      </c>
      <c r="AL68" s="107"/>
      <c r="AM68" s="97"/>
      <c r="AN68" s="97">
        <f t="shared" si="23"/>
        <v>0.4719730821428767</v>
      </c>
      <c r="AO68" s="97">
        <f t="shared" si="24"/>
        <v>0.27572707002166474</v>
      </c>
      <c r="AP68" s="97">
        <f t="shared" si="25"/>
        <v>0.38724274732681563</v>
      </c>
      <c r="AQ68" s="97">
        <f t="shared" si="26"/>
        <v>-0.11151567730515088</v>
      </c>
      <c r="AR68" s="64"/>
    </row>
    <row r="69" spans="1:44" hidden="1" x14ac:dyDescent="0.2">
      <c r="A69" s="21">
        <v>40179</v>
      </c>
      <c r="C69" s="101">
        <f>Data!D62+'Economic Model'!C$65</f>
        <v>1.8157500000000006</v>
      </c>
      <c r="D69" s="103">
        <f>Data!E62+'Economic Model'!C$66</f>
        <v>101.8125</v>
      </c>
      <c r="E69" s="325"/>
      <c r="F69" s="101">
        <f>Data!G62+'Economic Model'!C$68</f>
        <v>3.6025</v>
      </c>
      <c r="G69" s="90">
        <f>Data!H62+'Economic Model'!C$69</f>
        <v>6.61</v>
      </c>
      <c r="H69" s="88"/>
      <c r="I69" s="73"/>
      <c r="J69" s="101">
        <f t="shared" si="14"/>
        <v>1.8157500000000006</v>
      </c>
      <c r="K69" s="101">
        <f>D69/2000*('Economic Model'!C$32+0.5)/'Economic Model'!C$30</f>
        <v>0.30186513157894734</v>
      </c>
      <c r="L69" s="321"/>
      <c r="M69" s="101">
        <f t="shared" si="15"/>
        <v>2.117615131578948</v>
      </c>
      <c r="N69" s="115"/>
      <c r="O69" s="114"/>
      <c r="P69" s="101">
        <f>F69/'Economic Model'!C$30</f>
        <v>1.2640350877192983</v>
      </c>
      <c r="Q69" s="101">
        <f>G69/1000*'Economic Model'!C$34</f>
        <v>0.1983</v>
      </c>
      <c r="R69" s="101">
        <f>('Economic Model'!H$44+'Economic Model'!H$53)/100</f>
        <v>0.21939999999999998</v>
      </c>
      <c r="S69" s="101">
        <f t="shared" si="16"/>
        <v>1.6817350877192982</v>
      </c>
      <c r="T69" s="101">
        <f>'Economic Model'!H$60/100</f>
        <v>0.19624601212121212</v>
      </c>
      <c r="U69" s="101">
        <f t="shared" si="17"/>
        <v>1.8779810998405104</v>
      </c>
      <c r="V69" s="101">
        <f t="shared" si="13"/>
        <v>1.5761159682615631</v>
      </c>
      <c r="W69" s="116"/>
      <c r="X69" s="101"/>
      <c r="Y69" s="101">
        <f>M69-P69-Q69-('Economic Model'!H$50/100)</f>
        <v>0.61678004385964968</v>
      </c>
      <c r="Z69" s="101">
        <f t="shared" si="18"/>
        <v>0.43588004385964974</v>
      </c>
      <c r="AA69" s="101">
        <f t="shared" si="19"/>
        <v>0.23963403173843756</v>
      </c>
      <c r="AB69" s="80"/>
      <c r="AC69" s="15"/>
      <c r="AD69" s="81"/>
      <c r="AE69" s="93">
        <f>'Returns per Bu.'!AD69/'Economic Model'!C$30</f>
        <v>0.35280508964719487</v>
      </c>
      <c r="AF69" s="93">
        <f t="shared" si="20"/>
        <v>1.04112685560054</v>
      </c>
      <c r="AG69" s="93">
        <f>'Returns per Bu.'!AF69/'Economic Model'!C$30</f>
        <v>1.3939319452477348</v>
      </c>
      <c r="AH69" s="105"/>
      <c r="AI69" s="104"/>
      <c r="AJ69" s="101">
        <f t="shared" si="21"/>
        <v>1.8116319452477347</v>
      </c>
      <c r="AK69" s="101">
        <f t="shared" si="22"/>
        <v>2.0078779573689469</v>
      </c>
      <c r="AL69" s="116"/>
      <c r="AM69" s="101"/>
      <c r="AN69" s="101">
        <f t="shared" si="23"/>
        <v>0.30598318633121324</v>
      </c>
      <c r="AO69" s="101">
        <f t="shared" si="24"/>
        <v>0.10973717421000106</v>
      </c>
      <c r="AP69" s="101">
        <f t="shared" si="25"/>
        <v>0.23963403173843756</v>
      </c>
      <c r="AQ69" s="101">
        <f t="shared" si="26"/>
        <v>-0.12989685752843649</v>
      </c>
      <c r="AR69" s="52"/>
    </row>
    <row r="70" spans="1:44" hidden="1" x14ac:dyDescent="0.2">
      <c r="A70" s="8">
        <v>40210</v>
      </c>
      <c r="C70" s="93">
        <f>Data!D63+'Economic Model'!C$65</f>
        <v>1.68625</v>
      </c>
      <c r="D70" s="95">
        <f>Data!E63+'Economic Model'!C$66</f>
        <v>102.7</v>
      </c>
      <c r="E70" s="323"/>
      <c r="F70" s="93">
        <f>Data!G63+'Economic Model'!C$68</f>
        <v>3.4537499999999999</v>
      </c>
      <c r="G70" s="96">
        <f>Data!H63+'Economic Model'!C$69</f>
        <v>7.08</v>
      </c>
      <c r="H70" s="85"/>
      <c r="I70" s="16"/>
      <c r="J70" s="93">
        <f t="shared" si="14"/>
        <v>1.68625</v>
      </c>
      <c r="K70" s="93">
        <f>D70/2000*('Economic Model'!C$32+0.5)/'Economic Model'!C$30</f>
        <v>0.30449649122807015</v>
      </c>
      <c r="L70" s="319"/>
      <c r="M70" s="93">
        <f t="shared" si="15"/>
        <v>1.9907464912280701</v>
      </c>
      <c r="N70" s="110"/>
      <c r="O70" s="108"/>
      <c r="P70" s="93">
        <f>F70/'Economic Model'!C$30</f>
        <v>1.2118421052631578</v>
      </c>
      <c r="Q70" s="93">
        <f>G70/1000*'Economic Model'!C$34</f>
        <v>0.21240000000000001</v>
      </c>
      <c r="R70" s="93">
        <f>('Economic Model'!H$44+'Economic Model'!H$53)/100</f>
        <v>0.21939999999999998</v>
      </c>
      <c r="S70" s="93">
        <f t="shared" si="16"/>
        <v>1.6436421052631578</v>
      </c>
      <c r="T70" s="93">
        <f>'Economic Model'!H$60/100</f>
        <v>0.19624601212121212</v>
      </c>
      <c r="U70" s="93">
        <f t="shared" si="17"/>
        <v>1.83988811738437</v>
      </c>
      <c r="V70" s="93">
        <f t="shared" si="13"/>
        <v>1.5353916261562999</v>
      </c>
      <c r="W70" s="105"/>
      <c r="X70" s="93"/>
      <c r="Y70" s="93">
        <f>M70-P70-Q70-('Economic Model'!H$50/100)</f>
        <v>0.52800438596491228</v>
      </c>
      <c r="Z70" s="93">
        <f t="shared" si="18"/>
        <v>0.34710438596491233</v>
      </c>
      <c r="AA70" s="93">
        <f t="shared" si="19"/>
        <v>0.15085837384370016</v>
      </c>
      <c r="AB70" s="80"/>
      <c r="AC70" s="15"/>
      <c r="AD70" s="81"/>
      <c r="AE70" s="93">
        <f>'Returns per Bu.'!AD70/'Economic Model'!C$30</f>
        <v>0.35280508964719487</v>
      </c>
      <c r="AF70" s="93">
        <f t="shared" si="20"/>
        <v>1.04112685560054</v>
      </c>
      <c r="AG70" s="93">
        <f>'Returns per Bu.'!AF70/'Economic Model'!C$30</f>
        <v>1.3939319452477348</v>
      </c>
      <c r="AH70" s="105"/>
      <c r="AI70" s="104"/>
      <c r="AJ70" s="93">
        <f t="shared" si="21"/>
        <v>1.8257319452477347</v>
      </c>
      <c r="AK70" s="93">
        <f t="shared" si="22"/>
        <v>2.0219779573689469</v>
      </c>
      <c r="AL70" s="105"/>
      <c r="AM70" s="93"/>
      <c r="AN70" s="93">
        <f t="shared" si="23"/>
        <v>0.16501454598033538</v>
      </c>
      <c r="AO70" s="93">
        <f t="shared" si="24"/>
        <v>-3.1231466140876796E-2</v>
      </c>
      <c r="AP70" s="93">
        <f t="shared" si="25"/>
        <v>0.15085837384370016</v>
      </c>
      <c r="AQ70" s="93">
        <f t="shared" si="26"/>
        <v>-0.18208983998457695</v>
      </c>
      <c r="AR70" s="52"/>
    </row>
    <row r="71" spans="1:44" hidden="1" x14ac:dyDescent="0.2">
      <c r="A71" s="8">
        <v>40238</v>
      </c>
      <c r="C71" s="93">
        <f>Data!D64+'Economic Model'!C$65</f>
        <v>1.5149999999999999</v>
      </c>
      <c r="D71" s="95">
        <f>Data!E64+'Economic Model'!C$66</f>
        <v>94.054347826086953</v>
      </c>
      <c r="E71" s="323"/>
      <c r="F71" s="93">
        <f>Data!G64+'Economic Model'!C$68</f>
        <v>3.4829076086956521</v>
      </c>
      <c r="G71" s="96">
        <f>Data!H64+'Economic Model'!C$69</f>
        <v>7.06</v>
      </c>
      <c r="H71" s="85"/>
      <c r="I71" s="16"/>
      <c r="J71" s="93">
        <f t="shared" si="14"/>
        <v>1.5149999999999999</v>
      </c>
      <c r="K71" s="93">
        <f>D71/2000*('Economic Model'!C$32+0.5)/'Economic Model'!C$30</f>
        <v>0.27886289092295957</v>
      </c>
      <c r="L71" s="319"/>
      <c r="M71" s="93">
        <f t="shared" si="15"/>
        <v>1.7938628909229595</v>
      </c>
      <c r="N71" s="110"/>
      <c r="O71" s="108"/>
      <c r="P71" s="93">
        <f>F71/'Economic Model'!C$30</f>
        <v>1.2220728451563692</v>
      </c>
      <c r="Q71" s="93">
        <f>G71/1000*'Economic Model'!C$34</f>
        <v>0.21179999999999999</v>
      </c>
      <c r="R71" s="93">
        <f>('Economic Model'!H$44+'Economic Model'!H$53)/100</f>
        <v>0.21939999999999998</v>
      </c>
      <c r="S71" s="93">
        <f t="shared" si="16"/>
        <v>1.6532728451563692</v>
      </c>
      <c r="T71" s="93">
        <f>'Economic Model'!H$60/100</f>
        <v>0.19624601212121212</v>
      </c>
      <c r="U71" s="93">
        <f t="shared" si="17"/>
        <v>1.8495188572775814</v>
      </c>
      <c r="V71" s="93">
        <f t="shared" si="13"/>
        <v>1.5706559663546218</v>
      </c>
      <c r="W71" s="105"/>
      <c r="X71" s="93"/>
      <c r="Y71" s="93">
        <f>M71-P71-Q71-('Economic Model'!H$50/100)</f>
        <v>0.32149004576659035</v>
      </c>
      <c r="Z71" s="93">
        <f t="shared" si="18"/>
        <v>0.14059004576659029</v>
      </c>
      <c r="AA71" s="93">
        <f t="shared" si="19"/>
        <v>-5.5655966354621889E-2</v>
      </c>
      <c r="AB71" s="80"/>
      <c r="AC71" s="15"/>
      <c r="AD71" s="81"/>
      <c r="AE71" s="93">
        <f>'Returns per Bu.'!AD71/'Economic Model'!C$30</f>
        <v>0.35280508964719487</v>
      </c>
      <c r="AF71" s="93">
        <f t="shared" si="20"/>
        <v>1.04112685560054</v>
      </c>
      <c r="AG71" s="93">
        <f>'Returns per Bu.'!AF71/'Economic Model'!C$30</f>
        <v>1.3939319452477348</v>
      </c>
      <c r="AH71" s="105"/>
      <c r="AI71" s="104"/>
      <c r="AJ71" s="93">
        <f t="shared" si="21"/>
        <v>1.8251319452477348</v>
      </c>
      <c r="AK71" s="93">
        <f t="shared" si="22"/>
        <v>2.021377957368947</v>
      </c>
      <c r="AL71" s="105"/>
      <c r="AM71" s="93"/>
      <c r="AN71" s="93">
        <f t="shared" si="23"/>
        <v>-3.1269054324775336E-2</v>
      </c>
      <c r="AO71" s="93">
        <f t="shared" si="24"/>
        <v>-0.22751506644598751</v>
      </c>
      <c r="AP71" s="93">
        <f t="shared" si="25"/>
        <v>-5.5655966354621889E-2</v>
      </c>
      <c r="AQ71" s="93">
        <f t="shared" si="26"/>
        <v>-0.17185910009136562</v>
      </c>
      <c r="AR71" s="52"/>
    </row>
    <row r="72" spans="1:44" hidden="1" x14ac:dyDescent="0.2">
      <c r="A72" s="8">
        <v>40269</v>
      </c>
      <c r="C72" s="93">
        <f>Data!D65+'Economic Model'!C$65</f>
        <v>1.44</v>
      </c>
      <c r="D72" s="95">
        <f>Data!E65+'Economic Model'!C$66</f>
        <v>102.57954545454545</v>
      </c>
      <c r="E72" s="323"/>
      <c r="F72" s="93">
        <f>Data!G65+'Economic Model'!C$68</f>
        <v>3.3707670454545462</v>
      </c>
      <c r="G72" s="96">
        <f>Data!H65+'Economic Model'!C$69</f>
        <v>6.21</v>
      </c>
      <c r="H72" s="85"/>
      <c r="I72" s="16"/>
      <c r="J72" s="93">
        <f t="shared" si="14"/>
        <v>1.44</v>
      </c>
      <c r="K72" s="93">
        <f>D72/2000*('Economic Model'!C$32+0.5)/'Economic Model'!C$30</f>
        <v>0.30413935406698561</v>
      </c>
      <c r="L72" s="319"/>
      <c r="M72" s="93">
        <f t="shared" si="15"/>
        <v>1.7441393540669856</v>
      </c>
      <c r="N72" s="110"/>
      <c r="O72" s="108"/>
      <c r="P72" s="93">
        <f>F72/'Economic Model'!C$30</f>
        <v>1.1827252791068583</v>
      </c>
      <c r="Q72" s="93">
        <f>G72/1000*'Economic Model'!C$34</f>
        <v>0.18630000000000002</v>
      </c>
      <c r="R72" s="93">
        <f>('Economic Model'!H$44+'Economic Model'!H$53)/100</f>
        <v>0.21939999999999998</v>
      </c>
      <c r="S72" s="93">
        <f t="shared" si="16"/>
        <v>1.5884252791068583</v>
      </c>
      <c r="T72" s="93">
        <f>'Economic Model'!H$60/100</f>
        <v>0.19624601212121212</v>
      </c>
      <c r="U72" s="93">
        <f t="shared" si="17"/>
        <v>1.7846712912280704</v>
      </c>
      <c r="V72" s="93">
        <f t="shared" si="13"/>
        <v>1.4805319371610848</v>
      </c>
      <c r="W72" s="105"/>
      <c r="X72" s="93"/>
      <c r="Y72" s="93">
        <f>M72-P72-Q72-('Economic Model'!H$50/100)</f>
        <v>0.3366140749601273</v>
      </c>
      <c r="Z72" s="93">
        <f t="shared" si="18"/>
        <v>0.15571407496012735</v>
      </c>
      <c r="AA72" s="93">
        <f t="shared" si="19"/>
        <v>-4.053193716108483E-2</v>
      </c>
      <c r="AB72" s="80"/>
      <c r="AC72" s="15"/>
      <c r="AD72" s="81"/>
      <c r="AE72" s="93">
        <f>'Returns per Bu.'!AD72/'Economic Model'!C$30</f>
        <v>0.35280508964719487</v>
      </c>
      <c r="AF72" s="93">
        <f t="shared" si="20"/>
        <v>1.04112685560054</v>
      </c>
      <c r="AG72" s="93">
        <f>'Returns per Bu.'!AF72/'Economic Model'!C$30</f>
        <v>1.3939319452477348</v>
      </c>
      <c r="AH72" s="105"/>
      <c r="AI72" s="104"/>
      <c r="AJ72" s="93">
        <f t="shared" si="21"/>
        <v>1.7996319452477347</v>
      </c>
      <c r="AK72" s="93">
        <f t="shared" si="22"/>
        <v>1.9958779573689469</v>
      </c>
      <c r="AL72" s="105"/>
      <c r="AM72" s="93"/>
      <c r="AN72" s="93">
        <f t="shared" si="23"/>
        <v>-5.5492591180749118E-2</v>
      </c>
      <c r="AO72" s="93">
        <f t="shared" si="24"/>
        <v>-0.25173860330196129</v>
      </c>
      <c r="AP72" s="93">
        <f t="shared" si="25"/>
        <v>-4.053193716108483E-2</v>
      </c>
      <c r="AQ72" s="93">
        <f t="shared" si="26"/>
        <v>-0.21120666614087646</v>
      </c>
      <c r="AR72" s="52"/>
    </row>
    <row r="73" spans="1:44" hidden="1" x14ac:dyDescent="0.2">
      <c r="A73" s="8">
        <v>40299</v>
      </c>
      <c r="C73" s="93">
        <f>Data!D66+'Economic Model'!C$65</f>
        <v>1.5079999999999993</v>
      </c>
      <c r="D73" s="95">
        <f>Data!E66+'Economic Model'!C$66</f>
        <v>113.9</v>
      </c>
      <c r="E73" s="323"/>
      <c r="F73" s="93">
        <f>Data!G66+'Economic Model'!C$68</f>
        <v>3.4638750000000007</v>
      </c>
      <c r="G73" s="96">
        <f>Data!H66+'Economic Model'!C$69</f>
        <v>5.45</v>
      </c>
      <c r="H73" s="85"/>
      <c r="I73" s="16"/>
      <c r="J73" s="93">
        <f t="shared" ref="J73:J104" si="27">C73</f>
        <v>1.5079999999999993</v>
      </c>
      <c r="K73" s="93">
        <f>D73/2000*('Economic Model'!C$32+0.5)/'Economic Model'!C$30</f>
        <v>0.33770350877192978</v>
      </c>
      <c r="L73" s="319"/>
      <c r="M73" s="93">
        <f t="shared" ref="M73:M104" si="28">J73+K73</f>
        <v>1.8457035087719291</v>
      </c>
      <c r="N73" s="110"/>
      <c r="O73" s="108"/>
      <c r="P73" s="93">
        <f>F73/'Economic Model'!C$30</f>
        <v>1.2153947368421054</v>
      </c>
      <c r="Q73" s="93">
        <f>G73/1000*'Economic Model'!C$34</f>
        <v>0.16350000000000001</v>
      </c>
      <c r="R73" s="93">
        <f>('Economic Model'!H$44+'Economic Model'!H$53)/100</f>
        <v>0.21939999999999998</v>
      </c>
      <c r="S73" s="93">
        <f t="shared" ref="S73:S104" si="29">P73+Q73+R73</f>
        <v>1.5982947368421054</v>
      </c>
      <c r="T73" s="93">
        <f>'Economic Model'!H$60/100</f>
        <v>0.19624601212121212</v>
      </c>
      <c r="U73" s="93">
        <f t="shared" ref="U73:U104" si="30">S73+T73</f>
        <v>1.7945407489633176</v>
      </c>
      <c r="V73" s="93">
        <f t="shared" si="13"/>
        <v>1.4568372401913878</v>
      </c>
      <c r="W73" s="105"/>
      <c r="X73" s="93"/>
      <c r="Y73" s="93">
        <f>M73-P73-Q73-('Economic Model'!H$50/100)</f>
        <v>0.42830877192982375</v>
      </c>
      <c r="Z73" s="93">
        <f t="shared" ref="Z73:Z104" si="31">M73-S73</f>
        <v>0.24740877192982369</v>
      </c>
      <c r="AA73" s="93">
        <f t="shared" ref="AA73:AA104" si="32">M73-U73</f>
        <v>5.1162759808611513E-2</v>
      </c>
      <c r="AB73" s="80"/>
      <c r="AC73" s="15"/>
      <c r="AD73" s="81"/>
      <c r="AE73" s="93">
        <f>'Returns per Bu.'!AD73/'Economic Model'!C$30</f>
        <v>0.35280508964719487</v>
      </c>
      <c r="AF73" s="93">
        <f t="shared" ref="AF73:AF104" si="33">AG73-AE73</f>
        <v>1.04112685560054</v>
      </c>
      <c r="AG73" s="93">
        <f>'Returns per Bu.'!AF73/'Economic Model'!C$30</f>
        <v>1.3939319452477348</v>
      </c>
      <c r="AH73" s="105"/>
      <c r="AI73" s="104"/>
      <c r="AJ73" s="93">
        <f t="shared" ref="AJ73:AJ104" si="34">AG73+Q73+R73</f>
        <v>1.7768319452477348</v>
      </c>
      <c r="AK73" s="93">
        <f t="shared" ref="AK73:AK104" si="35">T73+AJ73</f>
        <v>1.973077957368947</v>
      </c>
      <c r="AL73" s="105"/>
      <c r="AM73" s="93"/>
      <c r="AN73" s="93">
        <f t="shared" ref="AN73:AN104" si="36">M73-AJ73</f>
        <v>6.8871563524194324E-2</v>
      </c>
      <c r="AO73" s="93">
        <f t="shared" ref="AO73:AO104" si="37">M73-AK73</f>
        <v>-0.12737444859701785</v>
      </c>
      <c r="AP73" s="93">
        <f t="shared" ref="AP73:AP104" si="38">AO73-AQ73</f>
        <v>5.1162759808611513E-2</v>
      </c>
      <c r="AQ73" s="93">
        <f t="shared" ref="AQ73:AQ104" si="39">P73-AG73</f>
        <v>-0.17853720840562937</v>
      </c>
      <c r="AR73" s="52"/>
    </row>
    <row r="74" spans="1:44" hidden="1" x14ac:dyDescent="0.2">
      <c r="A74" s="8">
        <v>40330</v>
      </c>
      <c r="C74" s="93">
        <f>Data!D67+'Economic Model'!C$65</f>
        <v>1.5227272727272732</v>
      </c>
      <c r="D74" s="95">
        <f>Data!E67+'Economic Model'!C$66</f>
        <v>101.85227272727273</v>
      </c>
      <c r="E74" s="323"/>
      <c r="F74" s="93">
        <f>Data!G67+'Economic Model'!C$68</f>
        <v>3.2432670454545445</v>
      </c>
      <c r="G74" s="96">
        <f>Data!H67+'Economic Model'!C$69</f>
        <v>5.61</v>
      </c>
      <c r="H74" s="85"/>
      <c r="I74" s="16"/>
      <c r="J74" s="93">
        <f t="shared" si="27"/>
        <v>1.5227272727272732</v>
      </c>
      <c r="K74" s="93">
        <f>D74/2000*('Economic Model'!C$32+0.5)/'Economic Model'!C$30</f>
        <v>0.30198305422647531</v>
      </c>
      <c r="L74" s="319"/>
      <c r="M74" s="93">
        <f t="shared" si="28"/>
        <v>1.8247103269537486</v>
      </c>
      <c r="N74" s="110"/>
      <c r="O74" s="108"/>
      <c r="P74" s="93">
        <f>F74/'Economic Model'!C$30</f>
        <v>1.1379884370015945</v>
      </c>
      <c r="Q74" s="93">
        <f>G74/1000*'Economic Model'!C$34</f>
        <v>0.16830000000000001</v>
      </c>
      <c r="R74" s="93">
        <f>('Economic Model'!H$44+'Economic Model'!H$53)/100</f>
        <v>0.21939999999999998</v>
      </c>
      <c r="S74" s="93">
        <f t="shared" si="29"/>
        <v>1.5256884370015944</v>
      </c>
      <c r="T74" s="93">
        <f>'Economic Model'!H$60/100</f>
        <v>0.19624601212121212</v>
      </c>
      <c r="U74" s="93">
        <f t="shared" si="30"/>
        <v>1.7219344491228066</v>
      </c>
      <c r="V74" s="93">
        <f t="shared" ref="V74:V137" si="40">U74-K74-L74</f>
        <v>1.4199513948963314</v>
      </c>
      <c r="W74" s="105"/>
      <c r="X74" s="93"/>
      <c r="Y74" s="93">
        <f>M74-P74-Q74-('Economic Model'!H$50/100)</f>
        <v>0.47992188995215412</v>
      </c>
      <c r="Z74" s="93">
        <f t="shared" si="31"/>
        <v>0.29902188995215417</v>
      </c>
      <c r="AA74" s="93">
        <f t="shared" si="32"/>
        <v>0.102775877830942</v>
      </c>
      <c r="AB74" s="80"/>
      <c r="AC74" s="15"/>
      <c r="AD74" s="81"/>
      <c r="AE74" s="93">
        <f>'Returns per Bu.'!AD74/'Economic Model'!C$30</f>
        <v>0.35280508964719487</v>
      </c>
      <c r="AF74" s="93">
        <f t="shared" si="33"/>
        <v>1.04112685560054</v>
      </c>
      <c r="AG74" s="93">
        <f>'Returns per Bu.'!AF74/'Economic Model'!C$30</f>
        <v>1.3939319452477348</v>
      </c>
      <c r="AH74" s="105"/>
      <c r="AI74" s="104"/>
      <c r="AJ74" s="93">
        <f t="shared" si="34"/>
        <v>1.7816319452477349</v>
      </c>
      <c r="AK74" s="93">
        <f t="shared" si="35"/>
        <v>1.9778779573689471</v>
      </c>
      <c r="AL74" s="105"/>
      <c r="AM74" s="93"/>
      <c r="AN74" s="93">
        <f t="shared" si="36"/>
        <v>4.3078381706013635E-2</v>
      </c>
      <c r="AO74" s="93">
        <f t="shared" si="37"/>
        <v>-0.15316763041519854</v>
      </c>
      <c r="AP74" s="93">
        <f t="shared" si="38"/>
        <v>0.10277587783094178</v>
      </c>
      <c r="AQ74" s="93">
        <f t="shared" si="39"/>
        <v>-0.25594350824614032</v>
      </c>
      <c r="AR74" s="52"/>
    </row>
    <row r="75" spans="1:44" hidden="1" x14ac:dyDescent="0.2">
      <c r="A75" s="8">
        <v>40360</v>
      </c>
      <c r="C75" s="93">
        <f>Data!D68+'Economic Model'!C$65</f>
        <v>1.5079545454545453</v>
      </c>
      <c r="D75" s="95">
        <f>Data!E68+'Economic Model'!C$66</f>
        <v>102.19047619047619</v>
      </c>
      <c r="E75" s="323"/>
      <c r="F75" s="93">
        <f>Data!G68+'Economic Model'!C$68</f>
        <v>3.4111011904761894</v>
      </c>
      <c r="G75" s="96">
        <f>Data!H68+'Economic Model'!C$69</f>
        <v>5.69</v>
      </c>
      <c r="H75" s="85"/>
      <c r="I75" s="16"/>
      <c r="J75" s="93">
        <f t="shared" si="27"/>
        <v>1.5079545454545453</v>
      </c>
      <c r="K75" s="93">
        <f>D75/2000*('Economic Model'!C$32+0.5)/'Economic Model'!C$30</f>
        <v>0.30298579782790303</v>
      </c>
      <c r="L75" s="319"/>
      <c r="M75" s="93">
        <f t="shared" si="28"/>
        <v>1.8109403432824482</v>
      </c>
      <c r="N75" s="110"/>
      <c r="O75" s="108"/>
      <c r="P75" s="93">
        <f>F75/'Economic Model'!C$30</f>
        <v>1.1968776106933998</v>
      </c>
      <c r="Q75" s="93">
        <f>G75/1000*'Economic Model'!C$34</f>
        <v>0.17070000000000002</v>
      </c>
      <c r="R75" s="93">
        <f>('Economic Model'!H$44+'Economic Model'!H$53)/100</f>
        <v>0.21939999999999998</v>
      </c>
      <c r="S75" s="93">
        <f t="shared" si="29"/>
        <v>1.5869776106933999</v>
      </c>
      <c r="T75" s="93">
        <f>'Economic Model'!H$60/100</f>
        <v>0.19624601212121212</v>
      </c>
      <c r="U75" s="93">
        <f t="shared" si="30"/>
        <v>1.7832236228146121</v>
      </c>
      <c r="V75" s="93">
        <f t="shared" si="40"/>
        <v>1.480237824986709</v>
      </c>
      <c r="W75" s="105"/>
      <c r="X75" s="93"/>
      <c r="Y75" s="93">
        <f>M75-P75-Q75-('Economic Model'!H$50/100)</f>
        <v>0.40486273258904842</v>
      </c>
      <c r="Z75" s="93">
        <f t="shared" si="31"/>
        <v>0.22396273258904831</v>
      </c>
      <c r="AA75" s="93">
        <f t="shared" si="32"/>
        <v>2.7716720467836131E-2</v>
      </c>
      <c r="AB75" s="80"/>
      <c r="AC75" s="15"/>
      <c r="AD75" s="81"/>
      <c r="AE75" s="93">
        <f>'Returns per Bu.'!AD75/'Economic Model'!C$30</f>
        <v>0.35280508964719487</v>
      </c>
      <c r="AF75" s="93">
        <f t="shared" si="33"/>
        <v>1.04112685560054</v>
      </c>
      <c r="AG75" s="93">
        <f>'Returns per Bu.'!AF75/'Economic Model'!C$30</f>
        <v>1.3939319452477348</v>
      </c>
      <c r="AH75" s="105"/>
      <c r="AI75" s="104"/>
      <c r="AJ75" s="93">
        <f t="shared" si="34"/>
        <v>1.7840319452477349</v>
      </c>
      <c r="AK75" s="93">
        <f t="shared" si="35"/>
        <v>1.9802779573689471</v>
      </c>
      <c r="AL75" s="105"/>
      <c r="AM75" s="93"/>
      <c r="AN75" s="93">
        <f t="shared" si="36"/>
        <v>2.6908398034713343E-2</v>
      </c>
      <c r="AO75" s="93">
        <f t="shared" si="37"/>
        <v>-0.16933761408649883</v>
      </c>
      <c r="AP75" s="93">
        <f t="shared" si="38"/>
        <v>2.7716720467836131E-2</v>
      </c>
      <c r="AQ75" s="93">
        <f t="shared" si="39"/>
        <v>-0.19705433455433496</v>
      </c>
      <c r="AR75" s="52"/>
    </row>
    <row r="76" spans="1:44" hidden="1" x14ac:dyDescent="0.2">
      <c r="A76" s="182">
        <v>40391</v>
      </c>
      <c r="B76" s="27"/>
      <c r="C76" s="93">
        <f>Data!D69+'Economic Model'!C$65</f>
        <v>1.6931818181818188</v>
      </c>
      <c r="D76" s="95">
        <f>Data!E69+'Economic Model'!C$66</f>
        <v>105.75</v>
      </c>
      <c r="E76" s="323"/>
      <c r="F76" s="93">
        <f>Data!G69+'Economic Model'!C$68</f>
        <v>3.6240909090909099</v>
      </c>
      <c r="G76" s="96">
        <f>Data!H69+'Economic Model'!C$69</f>
        <v>5.76</v>
      </c>
      <c r="H76" s="85"/>
      <c r="I76" s="16"/>
      <c r="J76" s="93">
        <f t="shared" si="27"/>
        <v>1.6931818181818188</v>
      </c>
      <c r="K76" s="93">
        <f>D76/2000*('Economic Model'!C$32+0.5)/'Economic Model'!C$30</f>
        <v>0.31353947368421048</v>
      </c>
      <c r="L76" s="319"/>
      <c r="M76" s="93">
        <f t="shared" si="28"/>
        <v>2.0067212918660293</v>
      </c>
      <c r="N76" s="110"/>
      <c r="O76" s="108"/>
      <c r="P76" s="93">
        <f>F76/'Economic Model'!C$30</f>
        <v>1.2716108452950561</v>
      </c>
      <c r="Q76" s="93">
        <f>G76/1000*'Economic Model'!C$34</f>
        <v>0.17279999999999998</v>
      </c>
      <c r="R76" s="93">
        <f>('Economic Model'!H$44+'Economic Model'!H$53)/100</f>
        <v>0.21939999999999998</v>
      </c>
      <c r="S76" s="93">
        <f t="shared" si="29"/>
        <v>1.6638108452950562</v>
      </c>
      <c r="T76" s="93">
        <f>'Economic Model'!H$60/100</f>
        <v>0.19624601212121212</v>
      </c>
      <c r="U76" s="93">
        <f t="shared" si="30"/>
        <v>1.8600568574162684</v>
      </c>
      <c r="V76" s="93">
        <f t="shared" si="40"/>
        <v>1.5465173837320578</v>
      </c>
      <c r="W76" s="105"/>
      <c r="X76" s="93"/>
      <c r="Y76" s="93">
        <f>M76-P76-Q76-('Economic Model'!H$50/100)</f>
        <v>0.52381044657097331</v>
      </c>
      <c r="Z76" s="93">
        <f t="shared" si="31"/>
        <v>0.34291044657097314</v>
      </c>
      <c r="AA76" s="93">
        <f t="shared" si="32"/>
        <v>0.14666443444976096</v>
      </c>
      <c r="AB76" s="80"/>
      <c r="AC76" s="17"/>
      <c r="AD76" s="81"/>
      <c r="AE76" s="93">
        <f>'Returns per Bu.'!AD76/'Economic Model'!C$30</f>
        <v>0.35280508964719487</v>
      </c>
      <c r="AF76" s="93">
        <f t="shared" si="33"/>
        <v>1.04112685560054</v>
      </c>
      <c r="AG76" s="93">
        <f>'Returns per Bu.'!AF76/'Economic Model'!C$30</f>
        <v>1.3939319452477348</v>
      </c>
      <c r="AH76" s="105"/>
      <c r="AI76" s="104"/>
      <c r="AJ76" s="93">
        <f t="shared" si="34"/>
        <v>1.7861319452477349</v>
      </c>
      <c r="AK76" s="93">
        <f t="shared" si="35"/>
        <v>1.9823779573689471</v>
      </c>
      <c r="AL76" s="105"/>
      <c r="AM76" s="93"/>
      <c r="AN76" s="93">
        <f t="shared" si="36"/>
        <v>0.22058934661829444</v>
      </c>
      <c r="AO76" s="93">
        <f t="shared" si="37"/>
        <v>2.4343334497082258E-2</v>
      </c>
      <c r="AP76" s="93">
        <f t="shared" si="38"/>
        <v>0.14666443444976096</v>
      </c>
      <c r="AQ76" s="93">
        <f t="shared" si="39"/>
        <v>-0.1223210999526787</v>
      </c>
      <c r="AR76" s="52"/>
    </row>
    <row r="77" spans="1:44" hidden="1" x14ac:dyDescent="0.2">
      <c r="A77" s="182">
        <v>40422</v>
      </c>
      <c r="B77" s="27"/>
      <c r="C77" s="93">
        <f>Data!D70+'Economic Model'!C$65</f>
        <v>2.0068181818181809</v>
      </c>
      <c r="D77" s="95">
        <f>Data!E70+'Economic Model'!C$66</f>
        <v>123.21428571428571</v>
      </c>
      <c r="E77" s="323"/>
      <c r="F77" s="93">
        <f>Data!G70+'Economic Model'!C$68</f>
        <v>4.3160089285714278</v>
      </c>
      <c r="G77" s="96">
        <f>Data!H70+'Economic Model'!C$69</f>
        <v>5.59</v>
      </c>
      <c r="H77" s="85"/>
      <c r="I77" s="16"/>
      <c r="J77" s="93">
        <f t="shared" si="27"/>
        <v>2.0068181818181809</v>
      </c>
      <c r="K77" s="93">
        <f>D77/2000*('Economic Model'!C$32+0.5)/'Economic Model'!C$30</f>
        <v>0.36531954887218043</v>
      </c>
      <c r="L77" s="319"/>
      <c r="M77" s="93">
        <f t="shared" si="28"/>
        <v>2.3721377306903615</v>
      </c>
      <c r="N77" s="110"/>
      <c r="O77" s="108"/>
      <c r="P77" s="93">
        <f>F77/'Economic Model'!C$30</f>
        <v>1.5143890977443606</v>
      </c>
      <c r="Q77" s="93">
        <f>G77/1000*'Economic Model'!C$34</f>
        <v>0.16769999999999999</v>
      </c>
      <c r="R77" s="93">
        <f>('Economic Model'!H$44+'Economic Model'!H$53)/100</f>
        <v>0.21939999999999998</v>
      </c>
      <c r="S77" s="93">
        <f t="shared" si="29"/>
        <v>1.9014890977443606</v>
      </c>
      <c r="T77" s="93">
        <f>'Economic Model'!H$60/100</f>
        <v>0.19624601212121212</v>
      </c>
      <c r="U77" s="93">
        <f t="shared" si="30"/>
        <v>2.0977351098655728</v>
      </c>
      <c r="V77" s="93">
        <f t="shared" si="40"/>
        <v>1.7324155609933922</v>
      </c>
      <c r="W77" s="105"/>
      <c r="X77" s="93"/>
      <c r="Y77" s="93">
        <f>M77-P77-Q77-('Economic Model'!H$50/100)</f>
        <v>0.65154863294600096</v>
      </c>
      <c r="Z77" s="93">
        <f t="shared" si="31"/>
        <v>0.4706486329460009</v>
      </c>
      <c r="AA77" s="93">
        <f t="shared" si="32"/>
        <v>0.27440262082478872</v>
      </c>
      <c r="AB77" s="80"/>
      <c r="AC77" s="17"/>
      <c r="AD77" s="81"/>
      <c r="AE77" s="93">
        <f>'Returns per Bu.'!AD77/'Economic Model'!C$30</f>
        <v>0.39128123338649656</v>
      </c>
      <c r="AF77" s="93">
        <f t="shared" si="33"/>
        <v>0.88281765018607117</v>
      </c>
      <c r="AG77" s="93">
        <f>'Returns per Bu.'!AF77/'Economic Model'!C$30</f>
        <v>1.2740988835725677</v>
      </c>
      <c r="AH77" s="105"/>
      <c r="AI77" s="104"/>
      <c r="AJ77" s="93">
        <f t="shared" si="34"/>
        <v>1.6611988835725677</v>
      </c>
      <c r="AK77" s="93">
        <f t="shared" si="35"/>
        <v>1.8574448956937799</v>
      </c>
      <c r="AL77" s="105"/>
      <c r="AM77" s="93"/>
      <c r="AN77" s="93">
        <f t="shared" si="36"/>
        <v>0.71093884711779376</v>
      </c>
      <c r="AO77" s="93">
        <f t="shared" si="37"/>
        <v>0.51469283499658158</v>
      </c>
      <c r="AP77" s="93">
        <f t="shared" si="38"/>
        <v>0.27440262082478872</v>
      </c>
      <c r="AQ77" s="93">
        <f t="shared" si="39"/>
        <v>0.24029021417179286</v>
      </c>
      <c r="AR77" s="52"/>
    </row>
    <row r="78" spans="1:44" hidden="1" x14ac:dyDescent="0.2">
      <c r="A78" s="182">
        <v>40452</v>
      </c>
      <c r="B78" s="27"/>
      <c r="C78" s="93">
        <f>Data!D71+'Economic Model'!C$65</f>
        <v>2.1119047619047624</v>
      </c>
      <c r="D78" s="95">
        <f>Data!E71+'Economic Model'!C$66</f>
        <v>141.92261904761904</v>
      </c>
      <c r="E78" s="323"/>
      <c r="F78" s="93">
        <f>Data!G71+'Economic Model'!C$68</f>
        <v>4.9546041666666651</v>
      </c>
      <c r="G78" s="96">
        <f>Data!H71+'Economic Model'!C$69</f>
        <v>4.8499999999999996</v>
      </c>
      <c r="H78" s="85"/>
      <c r="I78" s="16"/>
      <c r="J78" s="93">
        <f t="shared" si="27"/>
        <v>2.1119047619047624</v>
      </c>
      <c r="K78" s="93">
        <f>D78/2000*('Economic Model'!C$32+0.5)/'Economic Model'!C$30</f>
        <v>0.42078811612364236</v>
      </c>
      <c r="L78" s="319"/>
      <c r="M78" s="93">
        <f t="shared" si="28"/>
        <v>2.5326928780284046</v>
      </c>
      <c r="N78" s="110"/>
      <c r="O78" s="108"/>
      <c r="P78" s="93">
        <f>F78/'Economic Model'!C$30</f>
        <v>1.7384576023391807</v>
      </c>
      <c r="Q78" s="93">
        <f>G78/1000*'Economic Model'!C$34</f>
        <v>0.14549999999999999</v>
      </c>
      <c r="R78" s="93">
        <f>('Economic Model'!H$44+'Economic Model'!H$53)/100</f>
        <v>0.21939999999999998</v>
      </c>
      <c r="S78" s="93">
        <f t="shared" si="29"/>
        <v>2.1033576023391807</v>
      </c>
      <c r="T78" s="93">
        <f>'Economic Model'!H$60/100</f>
        <v>0.19624601212121212</v>
      </c>
      <c r="U78" s="93">
        <f t="shared" si="30"/>
        <v>2.2996036144603926</v>
      </c>
      <c r="V78" s="93">
        <f t="shared" si="40"/>
        <v>1.8788154983367502</v>
      </c>
      <c r="W78" s="105"/>
      <c r="X78" s="93"/>
      <c r="Y78" s="93">
        <f>M78-P78-Q78-('Economic Model'!H$50/100)</f>
        <v>0.61023527568922398</v>
      </c>
      <c r="Z78" s="93">
        <f t="shared" si="31"/>
        <v>0.42933527568922392</v>
      </c>
      <c r="AA78" s="93">
        <f t="shared" si="32"/>
        <v>0.23308926356801196</v>
      </c>
      <c r="AB78" s="80"/>
      <c r="AC78" s="17"/>
      <c r="AD78" s="81"/>
      <c r="AE78" s="93">
        <f>'Returns per Bu.'!AD78/'Economic Model'!C$30</f>
        <v>0.39128123338649656</v>
      </c>
      <c r="AF78" s="93">
        <f t="shared" si="33"/>
        <v>0.88281765018607117</v>
      </c>
      <c r="AG78" s="93">
        <f>'Returns per Bu.'!AF78/'Economic Model'!C$30</f>
        <v>1.2740988835725677</v>
      </c>
      <c r="AH78" s="105"/>
      <c r="AI78" s="104"/>
      <c r="AJ78" s="93">
        <f t="shared" si="34"/>
        <v>1.6389988835725677</v>
      </c>
      <c r="AK78" s="93">
        <f t="shared" si="35"/>
        <v>1.8352448956937799</v>
      </c>
      <c r="AL78" s="105"/>
      <c r="AM78" s="93"/>
      <c r="AN78" s="93">
        <f t="shared" si="36"/>
        <v>0.89369399445583686</v>
      </c>
      <c r="AO78" s="93">
        <f t="shared" si="37"/>
        <v>0.69744798233462468</v>
      </c>
      <c r="AP78" s="93">
        <f t="shared" si="38"/>
        <v>0.23308926356801174</v>
      </c>
      <c r="AQ78" s="93">
        <f t="shared" si="39"/>
        <v>0.46435871876661294</v>
      </c>
      <c r="AR78" s="52"/>
    </row>
    <row r="79" spans="1:44" hidden="1" x14ac:dyDescent="0.2">
      <c r="A79" s="182">
        <v>40483</v>
      </c>
      <c r="B79" s="27"/>
      <c r="C79" s="93">
        <f>Data!D72+'Economic Model'!C$65</f>
        <v>2.33</v>
      </c>
      <c r="D79" s="95">
        <f>Data!E72+'Economic Model'!C$66</f>
        <v>152.38095238095238</v>
      </c>
      <c r="E79" s="323"/>
      <c r="F79" s="93">
        <f>Data!G72+'Economic Model'!C$68</f>
        <v>5.2398809523809557</v>
      </c>
      <c r="G79" s="96">
        <f>Data!H72+'Economic Model'!C$69</f>
        <v>5.58</v>
      </c>
      <c r="H79" s="85"/>
      <c r="I79" s="16"/>
      <c r="J79" s="93">
        <f t="shared" si="27"/>
        <v>2.33</v>
      </c>
      <c r="K79" s="93">
        <f>D79/2000*('Economic Model'!C$32+0.5)/'Economic Model'!C$30</f>
        <v>0.45179615705931486</v>
      </c>
      <c r="L79" s="319"/>
      <c r="M79" s="93">
        <f t="shared" si="28"/>
        <v>2.7817961570593148</v>
      </c>
      <c r="N79" s="110"/>
      <c r="O79" s="108"/>
      <c r="P79" s="93">
        <f>F79/'Economic Model'!C$30</f>
        <v>1.8385547201336687</v>
      </c>
      <c r="Q79" s="93">
        <f>G79/1000*'Economic Model'!C$34</f>
        <v>0.16739999999999999</v>
      </c>
      <c r="R79" s="93">
        <f>('Economic Model'!H$44+'Economic Model'!H$53)/100</f>
        <v>0.21939999999999998</v>
      </c>
      <c r="S79" s="93">
        <f t="shared" si="29"/>
        <v>2.2253547201336685</v>
      </c>
      <c r="T79" s="93">
        <f>'Economic Model'!H$60/100</f>
        <v>0.19624601212121212</v>
      </c>
      <c r="U79" s="93">
        <f t="shared" si="30"/>
        <v>2.4216007322548805</v>
      </c>
      <c r="V79" s="93">
        <f t="shared" si="40"/>
        <v>1.9698045751955657</v>
      </c>
      <c r="W79" s="105"/>
      <c r="X79" s="93"/>
      <c r="Y79" s="93">
        <f>M79-P79-Q79-('Economic Model'!H$50/100)</f>
        <v>0.73734143692564613</v>
      </c>
      <c r="Z79" s="93">
        <f t="shared" si="31"/>
        <v>0.55644143692564629</v>
      </c>
      <c r="AA79" s="93">
        <f t="shared" si="32"/>
        <v>0.36019542480443434</v>
      </c>
      <c r="AB79" s="80"/>
      <c r="AC79" s="17"/>
      <c r="AD79" s="81"/>
      <c r="AE79" s="93">
        <f>'Returns per Bu.'!AD79/'Economic Model'!C$30</f>
        <v>0.39128123338649656</v>
      </c>
      <c r="AF79" s="93">
        <f t="shared" si="33"/>
        <v>0.88281765018607117</v>
      </c>
      <c r="AG79" s="93">
        <f>'Returns per Bu.'!AF79/'Economic Model'!C$30</f>
        <v>1.2740988835725677</v>
      </c>
      <c r="AH79" s="105"/>
      <c r="AI79" s="104"/>
      <c r="AJ79" s="93">
        <f t="shared" si="34"/>
        <v>1.6608988835725678</v>
      </c>
      <c r="AK79" s="93">
        <f t="shared" si="35"/>
        <v>1.8571448956937799</v>
      </c>
      <c r="AL79" s="105"/>
      <c r="AM79" s="93"/>
      <c r="AN79" s="93">
        <f t="shared" si="36"/>
        <v>1.1208972734867471</v>
      </c>
      <c r="AO79" s="93">
        <f t="shared" si="37"/>
        <v>0.92465126136553488</v>
      </c>
      <c r="AP79" s="93">
        <f t="shared" si="38"/>
        <v>0.36019542480443389</v>
      </c>
      <c r="AQ79" s="93">
        <f t="shared" si="39"/>
        <v>0.56445583656110099</v>
      </c>
      <c r="AR79" s="52"/>
    </row>
    <row r="80" spans="1:44" hidden="1" x14ac:dyDescent="0.2">
      <c r="A80" s="68">
        <v>40513</v>
      </c>
      <c r="B80" s="29"/>
      <c r="C80" s="97">
        <f>Data!D73+'Economic Model'!C$65</f>
        <v>2.1004761904761913</v>
      </c>
      <c r="D80" s="99">
        <f>Data!E73+'Economic Model'!C$66</f>
        <v>161.1904761904762</v>
      </c>
      <c r="E80" s="324"/>
      <c r="F80" s="97">
        <f>Data!G73+'Economic Model'!C$68</f>
        <v>5.5979761904761896</v>
      </c>
      <c r="G80" s="100">
        <f>Data!H73+'Economic Model'!C$69</f>
        <v>6.07</v>
      </c>
      <c r="H80" s="87"/>
      <c r="I80" s="71"/>
      <c r="J80" s="97">
        <f t="shared" si="27"/>
        <v>2.1004761904761913</v>
      </c>
      <c r="K80" s="97">
        <f>D80/2000*('Economic Model'!C$32+0.5)/'Economic Model'!C$30</f>
        <v>0.47791562238930663</v>
      </c>
      <c r="L80" s="320"/>
      <c r="M80" s="97">
        <f t="shared" si="28"/>
        <v>2.5783918128654979</v>
      </c>
      <c r="N80" s="113"/>
      <c r="O80" s="111"/>
      <c r="P80" s="97">
        <f>F80/'Economic Model'!C$30</f>
        <v>1.9642021720969085</v>
      </c>
      <c r="Q80" s="97">
        <f>G80/1000*'Economic Model'!C$34</f>
        <v>0.18209999999999998</v>
      </c>
      <c r="R80" s="97">
        <f>('Economic Model'!H$44+'Economic Model'!H$53)/100</f>
        <v>0.21939999999999998</v>
      </c>
      <c r="S80" s="97">
        <f t="shared" si="29"/>
        <v>2.3657021720969085</v>
      </c>
      <c r="T80" s="97">
        <f>'Economic Model'!H$60/100</f>
        <v>0.19624601212121212</v>
      </c>
      <c r="U80" s="97">
        <f t="shared" si="30"/>
        <v>2.5619481842181204</v>
      </c>
      <c r="V80" s="97">
        <f t="shared" si="40"/>
        <v>2.0840325618288138</v>
      </c>
      <c r="W80" s="107"/>
      <c r="X80" s="97"/>
      <c r="Y80" s="97">
        <f>M80-P80-Q80-('Economic Model'!H$50/100)</f>
        <v>0.39358964076858943</v>
      </c>
      <c r="Z80" s="97">
        <f t="shared" si="31"/>
        <v>0.21268964076858943</v>
      </c>
      <c r="AA80" s="97">
        <f t="shared" si="32"/>
        <v>1.6443628647377473E-2</v>
      </c>
      <c r="AB80" s="82"/>
      <c r="AC80" s="65"/>
      <c r="AD80" s="83"/>
      <c r="AE80" s="97">
        <f>'Returns per Bu.'!AD80/'Economic Model'!C$30</f>
        <v>0.39128123338649656</v>
      </c>
      <c r="AF80" s="97">
        <f t="shared" si="33"/>
        <v>0.88281765018607117</v>
      </c>
      <c r="AG80" s="97">
        <f>'Returns per Bu.'!AF80/'Economic Model'!C$30</f>
        <v>1.2740988835725677</v>
      </c>
      <c r="AH80" s="107"/>
      <c r="AI80" s="106"/>
      <c r="AJ80" s="97">
        <f t="shared" si="34"/>
        <v>1.6755988835725677</v>
      </c>
      <c r="AK80" s="97">
        <f t="shared" si="35"/>
        <v>1.8718448956937799</v>
      </c>
      <c r="AL80" s="107"/>
      <c r="AM80" s="97"/>
      <c r="AN80" s="97">
        <f t="shared" si="36"/>
        <v>0.9027929292929302</v>
      </c>
      <c r="AO80" s="97">
        <f t="shared" si="37"/>
        <v>0.70654691717171803</v>
      </c>
      <c r="AP80" s="97">
        <f t="shared" si="38"/>
        <v>1.6443628647377251E-2</v>
      </c>
      <c r="AQ80" s="97">
        <f t="shared" si="39"/>
        <v>0.69010328852434077</v>
      </c>
      <c r="AR80" s="64"/>
    </row>
    <row r="81" spans="1:44" hidden="1" x14ac:dyDescent="0.2">
      <c r="A81" s="21">
        <v>40544</v>
      </c>
      <c r="C81" s="101">
        <f>Data!D74+'Economic Model'!C$65</f>
        <v>2.2695238095238093</v>
      </c>
      <c r="D81" s="103">
        <f>Data!E74+'Economic Model'!C$66</f>
        <v>179.39285714285714</v>
      </c>
      <c r="E81" s="325"/>
      <c r="F81" s="101">
        <f>Data!G74+'Economic Model'!C$68</f>
        <v>6.0441666666666682</v>
      </c>
      <c r="G81" s="90">
        <f>Data!H74+'Economic Model'!C$69</f>
        <v>6.51</v>
      </c>
      <c r="H81" s="88"/>
      <c r="I81" s="73"/>
      <c r="J81" s="101">
        <f t="shared" si="27"/>
        <v>2.2695238095238093</v>
      </c>
      <c r="K81" s="101">
        <f>D81/2000*('Economic Model'!C$32+0.5)/'Economic Model'!C$30</f>
        <v>0.53188408521303243</v>
      </c>
      <c r="L81" s="321"/>
      <c r="M81" s="101">
        <f t="shared" si="28"/>
        <v>2.8014078947368417</v>
      </c>
      <c r="N81" s="115"/>
      <c r="O81" s="114"/>
      <c r="P81" s="101">
        <f>F81/'Economic Model'!C$30</f>
        <v>2.1207602339181291</v>
      </c>
      <c r="Q81" s="101">
        <f>G81/1000*'Economic Model'!C$34</f>
        <v>0.1953</v>
      </c>
      <c r="R81" s="101">
        <f>('Economic Model'!H$44+'Economic Model'!H$53)/100</f>
        <v>0.21939999999999998</v>
      </c>
      <c r="S81" s="101">
        <f t="shared" si="29"/>
        <v>2.5354602339181289</v>
      </c>
      <c r="T81" s="101">
        <f>'Economic Model'!H$60/100</f>
        <v>0.19624601212121212</v>
      </c>
      <c r="U81" s="101">
        <f t="shared" si="30"/>
        <v>2.7317062460393409</v>
      </c>
      <c r="V81" s="101">
        <f t="shared" si="40"/>
        <v>2.1998221608263084</v>
      </c>
      <c r="W81" s="116"/>
      <c r="X81" s="101"/>
      <c r="Y81" s="101">
        <f>M81-P81-Q81-('Economic Model'!H$50/100)</f>
        <v>0.44684766081871263</v>
      </c>
      <c r="Z81" s="101">
        <f t="shared" si="31"/>
        <v>0.26594766081871279</v>
      </c>
      <c r="AA81" s="101">
        <f t="shared" si="32"/>
        <v>6.970164869750084E-2</v>
      </c>
      <c r="AB81" s="80"/>
      <c r="AC81" s="15"/>
      <c r="AD81" s="81"/>
      <c r="AE81" s="93">
        <f>'Returns per Bu.'!AD81/'Economic Model'!C$30</f>
        <v>0.39128123338649656</v>
      </c>
      <c r="AF81" s="93">
        <f t="shared" si="33"/>
        <v>0.88281765018607117</v>
      </c>
      <c r="AG81" s="93">
        <f>'Returns per Bu.'!AF81/'Economic Model'!C$30</f>
        <v>1.2740988835725677</v>
      </c>
      <c r="AH81" s="105"/>
      <c r="AI81" s="104"/>
      <c r="AJ81" s="101">
        <f t="shared" si="34"/>
        <v>1.6887988835725678</v>
      </c>
      <c r="AK81" s="101">
        <f t="shared" si="35"/>
        <v>1.88504489569378</v>
      </c>
      <c r="AL81" s="116"/>
      <c r="AM81" s="101"/>
      <c r="AN81" s="101">
        <f t="shared" si="36"/>
        <v>1.1126090111642739</v>
      </c>
      <c r="AO81" s="101">
        <f t="shared" si="37"/>
        <v>0.91636299904306173</v>
      </c>
      <c r="AP81" s="101">
        <f t="shared" si="38"/>
        <v>6.9701648697500396E-2</v>
      </c>
      <c r="AQ81" s="101">
        <f t="shared" si="39"/>
        <v>0.84666135034556134</v>
      </c>
      <c r="AR81" s="52"/>
    </row>
    <row r="82" spans="1:44" hidden="1" x14ac:dyDescent="0.2">
      <c r="A82" s="8">
        <v>40575</v>
      </c>
      <c r="C82" s="93">
        <f>Data!D75+'Economic Model'!C$65</f>
        <v>2.2922500000000001</v>
      </c>
      <c r="D82" s="95">
        <f>Data!E75+'Economic Model'!C$66</f>
        <v>190.81578947368422</v>
      </c>
      <c r="E82" s="323"/>
      <c r="F82" s="93">
        <f>Data!G75+'Economic Model'!C$68</f>
        <v>6.5826315789473684</v>
      </c>
      <c r="G82" s="96">
        <f>Data!H75+'Economic Model'!C$69</f>
        <v>6.39</v>
      </c>
      <c r="H82" s="85"/>
      <c r="I82" s="16"/>
      <c r="J82" s="93">
        <f t="shared" si="27"/>
        <v>2.2922500000000001</v>
      </c>
      <c r="K82" s="93">
        <f>D82/2000*('Economic Model'!C$32+0.5)/'Economic Model'!C$30</f>
        <v>0.56575207756232682</v>
      </c>
      <c r="L82" s="319"/>
      <c r="M82" s="93">
        <f t="shared" si="28"/>
        <v>2.8580020775623272</v>
      </c>
      <c r="N82" s="110"/>
      <c r="O82" s="108"/>
      <c r="P82" s="93">
        <f>F82/'Economic Model'!C$30</f>
        <v>2.3096952908587256</v>
      </c>
      <c r="Q82" s="93">
        <f>G82/1000*'Economic Model'!C$34</f>
        <v>0.19169999999999998</v>
      </c>
      <c r="R82" s="93">
        <f>('Economic Model'!H$44+'Economic Model'!H$53)/100</f>
        <v>0.21939999999999998</v>
      </c>
      <c r="S82" s="93">
        <f t="shared" si="29"/>
        <v>2.7207952908587254</v>
      </c>
      <c r="T82" s="93">
        <f>'Economic Model'!H$60/100</f>
        <v>0.19624601212121212</v>
      </c>
      <c r="U82" s="93">
        <f t="shared" si="30"/>
        <v>2.9170413029799374</v>
      </c>
      <c r="V82" s="93">
        <f t="shared" si="40"/>
        <v>2.3512892254176103</v>
      </c>
      <c r="W82" s="105"/>
      <c r="X82" s="93"/>
      <c r="Y82" s="93">
        <f>M82-P82-Q82-('Economic Model'!H$50/100)</f>
        <v>0.3181067867036016</v>
      </c>
      <c r="Z82" s="93">
        <f t="shared" si="31"/>
        <v>0.13720678670360176</v>
      </c>
      <c r="AA82" s="93">
        <f t="shared" si="32"/>
        <v>-5.9039225417610197E-2</v>
      </c>
      <c r="AB82" s="80"/>
      <c r="AC82" s="15"/>
      <c r="AD82" s="81"/>
      <c r="AE82" s="93">
        <f>'Returns per Bu.'!AD82/'Economic Model'!C$30</f>
        <v>0.39128123338649656</v>
      </c>
      <c r="AF82" s="93">
        <f t="shared" si="33"/>
        <v>0.88281765018607117</v>
      </c>
      <c r="AG82" s="93">
        <f>'Returns per Bu.'!AF82/'Economic Model'!C$30</f>
        <v>1.2740988835725677</v>
      </c>
      <c r="AH82" s="105"/>
      <c r="AI82" s="104"/>
      <c r="AJ82" s="93">
        <f t="shared" si="34"/>
        <v>1.6851988835725678</v>
      </c>
      <c r="AK82" s="93">
        <f t="shared" si="35"/>
        <v>1.8814448956937799</v>
      </c>
      <c r="AL82" s="105"/>
      <c r="AM82" s="93"/>
      <c r="AN82" s="93">
        <f t="shared" si="36"/>
        <v>1.1728031939897594</v>
      </c>
      <c r="AO82" s="93">
        <f t="shared" si="37"/>
        <v>0.97655718186854723</v>
      </c>
      <c r="AP82" s="93">
        <f t="shared" si="38"/>
        <v>-5.9039225417610641E-2</v>
      </c>
      <c r="AQ82" s="93">
        <f t="shared" si="39"/>
        <v>1.0355964072861579</v>
      </c>
      <c r="AR82" s="52"/>
    </row>
    <row r="83" spans="1:44" hidden="1" x14ac:dyDescent="0.2">
      <c r="A83" s="8">
        <v>40603</v>
      </c>
      <c r="C83" s="93">
        <f>Data!D76+'Economic Model'!C$65</f>
        <v>2.434565217391305</v>
      </c>
      <c r="D83" s="95">
        <f>Data!E76+'Economic Model'!C$66</f>
        <v>195.22826086956522</v>
      </c>
      <c r="E83" s="323"/>
      <c r="F83" s="93">
        <f>Data!G76+'Economic Model'!C$68</f>
        <v>6.5423369565217415</v>
      </c>
      <c r="G83" s="96">
        <f>Data!H76+'Economic Model'!C$69</f>
        <v>6.18</v>
      </c>
      <c r="H83" s="85"/>
      <c r="I83" s="16"/>
      <c r="J83" s="93">
        <f t="shared" si="27"/>
        <v>2.434565217391305</v>
      </c>
      <c r="K83" s="93">
        <f>D83/2000*('Economic Model'!C$32+0.5)/'Economic Model'!C$30</f>
        <v>0.57883466819221963</v>
      </c>
      <c r="L83" s="319"/>
      <c r="M83" s="93">
        <f t="shared" si="28"/>
        <v>3.0133998855835245</v>
      </c>
      <c r="N83" s="110"/>
      <c r="O83" s="108"/>
      <c r="P83" s="93">
        <f>F83/'Economic Model'!C$30</f>
        <v>2.2955568268497339</v>
      </c>
      <c r="Q83" s="93">
        <f>G83/1000*'Economic Model'!C$34</f>
        <v>0.18539999999999998</v>
      </c>
      <c r="R83" s="93">
        <f>('Economic Model'!H$44+'Economic Model'!H$53)/100</f>
        <v>0.21939999999999998</v>
      </c>
      <c r="S83" s="93">
        <f t="shared" si="29"/>
        <v>2.7003568268497338</v>
      </c>
      <c r="T83" s="93">
        <f>'Economic Model'!H$60/100</f>
        <v>0.19624601212121212</v>
      </c>
      <c r="U83" s="93">
        <f t="shared" si="30"/>
        <v>2.8966028389709457</v>
      </c>
      <c r="V83" s="93">
        <f t="shared" si="40"/>
        <v>2.3177681707787263</v>
      </c>
      <c r="W83" s="105"/>
      <c r="X83" s="93"/>
      <c r="Y83" s="93">
        <f>M83-P83-Q83-('Economic Model'!H$50/100)</f>
        <v>0.49394305873379052</v>
      </c>
      <c r="Z83" s="93">
        <f t="shared" si="31"/>
        <v>0.31304305873379068</v>
      </c>
      <c r="AA83" s="93">
        <f t="shared" si="32"/>
        <v>0.11679704661257873</v>
      </c>
      <c r="AB83" s="80"/>
      <c r="AC83" s="15"/>
      <c r="AD83" s="81"/>
      <c r="AE83" s="93">
        <f>'Returns per Bu.'!AD83/'Economic Model'!C$30</f>
        <v>0.39128123338649656</v>
      </c>
      <c r="AF83" s="93">
        <f t="shared" si="33"/>
        <v>0.88281765018607117</v>
      </c>
      <c r="AG83" s="93">
        <f>'Returns per Bu.'!AF83/'Economic Model'!C$30</f>
        <v>1.2740988835725677</v>
      </c>
      <c r="AH83" s="105"/>
      <c r="AI83" s="104"/>
      <c r="AJ83" s="93">
        <f t="shared" si="34"/>
        <v>1.6788988835725678</v>
      </c>
      <c r="AK83" s="93">
        <f t="shared" si="35"/>
        <v>1.87514489569378</v>
      </c>
      <c r="AL83" s="105"/>
      <c r="AM83" s="93"/>
      <c r="AN83" s="93">
        <f t="shared" si="36"/>
        <v>1.3345010020109567</v>
      </c>
      <c r="AO83" s="93">
        <f t="shared" si="37"/>
        <v>1.1382549898897445</v>
      </c>
      <c r="AP83" s="93">
        <f t="shared" si="38"/>
        <v>0.11679704661257828</v>
      </c>
      <c r="AQ83" s="93">
        <f t="shared" si="39"/>
        <v>1.0214579432771662</v>
      </c>
      <c r="AR83" s="52"/>
    </row>
    <row r="84" spans="1:44" hidden="1" x14ac:dyDescent="0.2">
      <c r="A84" s="8">
        <v>40634</v>
      </c>
      <c r="C84" s="93">
        <f>Data!D77+'Economic Model'!C$65</f>
        <v>2.5649999999999986</v>
      </c>
      <c r="D84" s="95">
        <f>Data!E77+'Economic Model'!C$66</f>
        <v>209.45</v>
      </c>
      <c r="E84" s="323"/>
      <c r="F84" s="93">
        <f>Data!G77+'Economic Model'!C$68</f>
        <v>7.2114000000000003</v>
      </c>
      <c r="G84" s="96">
        <f>Data!H77+'Economic Model'!C$69</f>
        <v>5.7</v>
      </c>
      <c r="H84" s="85"/>
      <c r="I84" s="16"/>
      <c r="J84" s="93">
        <f t="shared" si="27"/>
        <v>2.5649999999999986</v>
      </c>
      <c r="K84" s="93">
        <f>D84/2000*('Economic Model'!C$32+0.5)/'Economic Model'!C$30</f>
        <v>0.62100087719298236</v>
      </c>
      <c r="L84" s="319"/>
      <c r="M84" s="93">
        <f t="shared" si="28"/>
        <v>3.1860008771929809</v>
      </c>
      <c r="N84" s="110"/>
      <c r="O84" s="108"/>
      <c r="P84" s="93">
        <f>F84/'Economic Model'!C$30</f>
        <v>2.5303157894736841</v>
      </c>
      <c r="Q84" s="93">
        <f>G84/1000*'Economic Model'!C$34</f>
        <v>0.17100000000000001</v>
      </c>
      <c r="R84" s="93">
        <f>('Economic Model'!H$44+'Economic Model'!H$53)/100</f>
        <v>0.21939999999999998</v>
      </c>
      <c r="S84" s="93">
        <f t="shared" si="29"/>
        <v>2.9207157894736837</v>
      </c>
      <c r="T84" s="93">
        <f>'Economic Model'!H$60/100</f>
        <v>0.19624601212121212</v>
      </c>
      <c r="U84" s="93">
        <f t="shared" si="30"/>
        <v>3.1169618015948957</v>
      </c>
      <c r="V84" s="93">
        <f t="shared" si="40"/>
        <v>2.4959609244019134</v>
      </c>
      <c r="W84" s="105"/>
      <c r="X84" s="93"/>
      <c r="Y84" s="93">
        <f>M84-P84-Q84-('Economic Model'!H$50/100)</f>
        <v>0.44618508771929677</v>
      </c>
      <c r="Z84" s="93">
        <f t="shared" si="31"/>
        <v>0.26528508771929715</v>
      </c>
      <c r="AA84" s="93">
        <f t="shared" si="32"/>
        <v>6.9039075598085198E-2</v>
      </c>
      <c r="AB84" s="80"/>
      <c r="AC84" s="15"/>
      <c r="AD84" s="81"/>
      <c r="AE84" s="93">
        <f>'Returns per Bu.'!AD84/'Economic Model'!C$30</f>
        <v>0.39128123338649656</v>
      </c>
      <c r="AF84" s="93">
        <f t="shared" si="33"/>
        <v>0.88281765018607117</v>
      </c>
      <c r="AG84" s="93">
        <f>'Returns per Bu.'!AF84/'Economic Model'!C$30</f>
        <v>1.2740988835725677</v>
      </c>
      <c r="AH84" s="105"/>
      <c r="AI84" s="104"/>
      <c r="AJ84" s="93">
        <f t="shared" si="34"/>
        <v>1.6644988835725678</v>
      </c>
      <c r="AK84" s="93">
        <f t="shared" si="35"/>
        <v>1.86074489569378</v>
      </c>
      <c r="AL84" s="105"/>
      <c r="AM84" s="93"/>
      <c r="AN84" s="93">
        <f t="shared" si="36"/>
        <v>1.5215019936204131</v>
      </c>
      <c r="AO84" s="93">
        <f t="shared" si="37"/>
        <v>1.3252559814992009</v>
      </c>
      <c r="AP84" s="93">
        <f t="shared" si="38"/>
        <v>6.9039075598084532E-2</v>
      </c>
      <c r="AQ84" s="93">
        <f t="shared" si="39"/>
        <v>1.2562169059011163</v>
      </c>
      <c r="AR84" s="52"/>
    </row>
    <row r="85" spans="1:44" hidden="1" x14ac:dyDescent="0.2">
      <c r="A85" s="8">
        <v>40664</v>
      </c>
      <c r="C85" s="93">
        <f>Data!D78+'Economic Model'!C$65</f>
        <v>2.5459523809523801</v>
      </c>
      <c r="D85" s="95">
        <f>Data!E78+'Economic Model'!C$66</f>
        <v>197.3452380952381</v>
      </c>
      <c r="E85" s="323"/>
      <c r="F85" s="93">
        <f>Data!G78+'Economic Model'!C$68</f>
        <v>6.9776190476190454</v>
      </c>
      <c r="G85" s="96">
        <f>Data!H78+'Economic Model'!C$69</f>
        <v>5.47</v>
      </c>
      <c r="H85" s="85"/>
      <c r="I85" s="16"/>
      <c r="J85" s="93">
        <f t="shared" si="27"/>
        <v>2.5459523809523801</v>
      </c>
      <c r="K85" s="93">
        <f>D85/2000*('Economic Model'!C$32+0.5)/'Economic Model'!C$30</f>
        <v>0.58511131996658305</v>
      </c>
      <c r="L85" s="319"/>
      <c r="M85" s="93">
        <f t="shared" si="28"/>
        <v>3.131063700918963</v>
      </c>
      <c r="N85" s="110"/>
      <c r="O85" s="108"/>
      <c r="P85" s="93">
        <f>F85/'Economic Model'!C$30</f>
        <v>2.4482873851294897</v>
      </c>
      <c r="Q85" s="93">
        <f>G85/1000*'Economic Model'!C$34</f>
        <v>0.1641</v>
      </c>
      <c r="R85" s="93">
        <f>('Economic Model'!H$44+'Economic Model'!H$53)/100</f>
        <v>0.21939999999999998</v>
      </c>
      <c r="S85" s="93">
        <f t="shared" si="29"/>
        <v>2.8317873851294895</v>
      </c>
      <c r="T85" s="93">
        <f>'Economic Model'!H$60/100</f>
        <v>0.19624601212121212</v>
      </c>
      <c r="U85" s="93">
        <f t="shared" si="30"/>
        <v>3.0280333972507014</v>
      </c>
      <c r="V85" s="93">
        <f t="shared" si="40"/>
        <v>2.4429220772841185</v>
      </c>
      <c r="W85" s="105"/>
      <c r="X85" s="93"/>
      <c r="Y85" s="93">
        <f>M85-P85-Q85-('Economic Model'!H$50/100)</f>
        <v>0.48017631578947328</v>
      </c>
      <c r="Z85" s="93">
        <f t="shared" si="31"/>
        <v>0.29927631578947356</v>
      </c>
      <c r="AA85" s="93">
        <f t="shared" si="32"/>
        <v>0.1030303036682616</v>
      </c>
      <c r="AB85" s="80"/>
      <c r="AC85" s="15"/>
      <c r="AD85" s="81"/>
      <c r="AE85" s="93">
        <f>'Returns per Bu.'!AD85/'Economic Model'!C$30</f>
        <v>0.39128123338649656</v>
      </c>
      <c r="AF85" s="93">
        <f t="shared" si="33"/>
        <v>0.88281765018607117</v>
      </c>
      <c r="AG85" s="93">
        <f>'Returns per Bu.'!AF85/'Economic Model'!C$30</f>
        <v>1.2740988835725677</v>
      </c>
      <c r="AH85" s="105"/>
      <c r="AI85" s="104"/>
      <c r="AJ85" s="93">
        <f t="shared" si="34"/>
        <v>1.6575988835725677</v>
      </c>
      <c r="AK85" s="93">
        <f t="shared" si="35"/>
        <v>1.8538448956937799</v>
      </c>
      <c r="AL85" s="105"/>
      <c r="AM85" s="93"/>
      <c r="AN85" s="93">
        <f t="shared" si="36"/>
        <v>1.4734648173463953</v>
      </c>
      <c r="AO85" s="93">
        <f t="shared" si="37"/>
        <v>1.2772188052251832</v>
      </c>
      <c r="AP85" s="93">
        <f t="shared" si="38"/>
        <v>0.10303030366826116</v>
      </c>
      <c r="AQ85" s="93">
        <f t="shared" si="39"/>
        <v>1.174188501556922</v>
      </c>
      <c r="AR85" s="52"/>
    </row>
    <row r="86" spans="1:44" hidden="1" x14ac:dyDescent="0.2">
      <c r="A86" s="8">
        <v>40695</v>
      </c>
      <c r="C86" s="93">
        <f>Data!D79+'Economic Model'!C$65</f>
        <v>2.6002272727272735</v>
      </c>
      <c r="D86" s="95">
        <f>Data!E79+'Economic Model'!C$66</f>
        <v>193.71590909090909</v>
      </c>
      <c r="E86" s="323"/>
      <c r="F86" s="93">
        <f>Data!G79+'Economic Model'!C$68</f>
        <v>7.1056534090909063</v>
      </c>
      <c r="G86" s="96">
        <f>Data!H79+'Economic Model'!C$69</f>
        <v>5.46</v>
      </c>
      <c r="H86" s="85"/>
      <c r="I86" s="16"/>
      <c r="J86" s="93">
        <f t="shared" si="27"/>
        <v>2.6002272727272735</v>
      </c>
      <c r="K86" s="93">
        <f>D86/2000*('Economic Model'!C$32+0.5)/'Economic Model'!C$30</f>
        <v>0.57435067783094096</v>
      </c>
      <c r="L86" s="319"/>
      <c r="M86" s="93">
        <f t="shared" si="28"/>
        <v>3.1745779505582146</v>
      </c>
      <c r="N86" s="110"/>
      <c r="O86" s="108"/>
      <c r="P86" s="93">
        <f>F86/'Economic Model'!C$30</f>
        <v>2.493211722488037</v>
      </c>
      <c r="Q86" s="93">
        <f>G86/1000*'Economic Model'!C$34</f>
        <v>0.1638</v>
      </c>
      <c r="R86" s="93">
        <f>('Economic Model'!H$44+'Economic Model'!H$53)/100</f>
        <v>0.21939999999999998</v>
      </c>
      <c r="S86" s="93">
        <f t="shared" si="29"/>
        <v>2.876411722488037</v>
      </c>
      <c r="T86" s="93">
        <f>'Economic Model'!H$60/100</f>
        <v>0.19624601212121212</v>
      </c>
      <c r="U86" s="93">
        <f t="shared" si="30"/>
        <v>3.072657734609249</v>
      </c>
      <c r="V86" s="93">
        <f t="shared" si="40"/>
        <v>2.4983070567783079</v>
      </c>
      <c r="W86" s="105"/>
      <c r="X86" s="93"/>
      <c r="Y86" s="93">
        <f>M86-P86-Q86-('Economic Model'!H$50/100)</f>
        <v>0.47906622807017762</v>
      </c>
      <c r="Z86" s="93">
        <f t="shared" si="31"/>
        <v>0.29816622807017756</v>
      </c>
      <c r="AA86" s="93">
        <f t="shared" si="32"/>
        <v>0.10192021594896561</v>
      </c>
      <c r="AB86" s="80"/>
      <c r="AC86" s="15"/>
      <c r="AD86" s="81"/>
      <c r="AE86" s="93">
        <f>'Returns per Bu.'!AD86/'Economic Model'!C$30</f>
        <v>0.39128123338649656</v>
      </c>
      <c r="AF86" s="93">
        <f t="shared" si="33"/>
        <v>0.88281765018607117</v>
      </c>
      <c r="AG86" s="93">
        <f>'Returns per Bu.'!AF86/'Economic Model'!C$30</f>
        <v>1.2740988835725677</v>
      </c>
      <c r="AH86" s="105"/>
      <c r="AI86" s="104"/>
      <c r="AJ86" s="93">
        <f t="shared" si="34"/>
        <v>1.6572988835725677</v>
      </c>
      <c r="AK86" s="93">
        <f t="shared" si="35"/>
        <v>1.8535448956937799</v>
      </c>
      <c r="AL86" s="105"/>
      <c r="AM86" s="93"/>
      <c r="AN86" s="93">
        <f t="shared" si="36"/>
        <v>1.5172790669856469</v>
      </c>
      <c r="AO86" s="93">
        <f t="shared" si="37"/>
        <v>1.3210330548644347</v>
      </c>
      <c r="AP86" s="93">
        <f t="shared" si="38"/>
        <v>0.10192021594896539</v>
      </c>
      <c r="AQ86" s="93">
        <f t="shared" si="39"/>
        <v>1.2191128389154693</v>
      </c>
      <c r="AR86" s="52"/>
    </row>
    <row r="87" spans="1:44" hidden="1" x14ac:dyDescent="0.2">
      <c r="A87" s="8">
        <v>40725</v>
      </c>
      <c r="C87" s="93">
        <f>Data!D80+'Economic Model'!C$65</f>
        <v>2.7150000000000003</v>
      </c>
      <c r="D87" s="95">
        <f>Data!E80+'Economic Model'!C$66</f>
        <v>191.25</v>
      </c>
      <c r="E87" s="323"/>
      <c r="F87" s="93">
        <f>Data!G80+'Economic Model'!C$68</f>
        <v>6.802525000000001</v>
      </c>
      <c r="G87" s="96">
        <f>Data!H80+'Economic Model'!C$69</f>
        <v>5.63</v>
      </c>
      <c r="H87" s="85"/>
      <c r="I87" s="16"/>
      <c r="J87" s="93">
        <f t="shared" si="27"/>
        <v>2.7150000000000003</v>
      </c>
      <c r="K87" s="93">
        <f>D87/2000*('Economic Model'!C$32+0.5)/'Economic Model'!C$30</f>
        <v>0.56703947368421048</v>
      </c>
      <c r="L87" s="319"/>
      <c r="M87" s="93">
        <f t="shared" si="28"/>
        <v>3.2820394736842107</v>
      </c>
      <c r="N87" s="110"/>
      <c r="O87" s="108"/>
      <c r="P87" s="93">
        <f>F87/'Economic Model'!C$30</f>
        <v>2.3868508771929826</v>
      </c>
      <c r="Q87" s="93">
        <f>G87/1000*'Economic Model'!C$34</f>
        <v>0.16889999999999999</v>
      </c>
      <c r="R87" s="93">
        <f>('Economic Model'!H$44+'Economic Model'!H$53)/100</f>
        <v>0.21939999999999998</v>
      </c>
      <c r="S87" s="93">
        <f t="shared" si="29"/>
        <v>2.7751508771929823</v>
      </c>
      <c r="T87" s="93">
        <f>'Economic Model'!H$60/100</f>
        <v>0.19624601212121212</v>
      </c>
      <c r="U87" s="93">
        <f t="shared" si="30"/>
        <v>2.9713968893141942</v>
      </c>
      <c r="V87" s="93">
        <f t="shared" si="40"/>
        <v>2.4043574156299838</v>
      </c>
      <c r="W87" s="105"/>
      <c r="X87" s="93"/>
      <c r="Y87" s="93">
        <f>M87-P87-Q87-('Economic Model'!H$50/100)</f>
        <v>0.68778859649122803</v>
      </c>
      <c r="Z87" s="93">
        <f t="shared" si="31"/>
        <v>0.50688859649122842</v>
      </c>
      <c r="AA87" s="93">
        <f t="shared" si="32"/>
        <v>0.31064258437001646</v>
      </c>
      <c r="AB87" s="80"/>
      <c r="AC87" s="15"/>
      <c r="AD87" s="81"/>
      <c r="AE87" s="93">
        <f>'Returns per Bu.'!AD87/'Economic Model'!C$30</f>
        <v>0.39128123338649656</v>
      </c>
      <c r="AF87" s="93">
        <f t="shared" si="33"/>
        <v>0.88281765018607117</v>
      </c>
      <c r="AG87" s="93">
        <f>'Returns per Bu.'!AF87/'Economic Model'!C$30</f>
        <v>1.2740988835725677</v>
      </c>
      <c r="AH87" s="105"/>
      <c r="AI87" s="104"/>
      <c r="AJ87" s="93">
        <f t="shared" si="34"/>
        <v>1.6623988835725678</v>
      </c>
      <c r="AK87" s="93">
        <f t="shared" si="35"/>
        <v>1.85864489569378</v>
      </c>
      <c r="AL87" s="105"/>
      <c r="AM87" s="93"/>
      <c r="AN87" s="93">
        <f t="shared" si="36"/>
        <v>1.6196405901116429</v>
      </c>
      <c r="AO87" s="93">
        <f t="shared" si="37"/>
        <v>1.4233945779904307</v>
      </c>
      <c r="AP87" s="93">
        <f t="shared" si="38"/>
        <v>0.3106425843700158</v>
      </c>
      <c r="AQ87" s="93">
        <f t="shared" si="39"/>
        <v>1.1127519936204149</v>
      </c>
      <c r="AR87" s="52"/>
    </row>
    <row r="88" spans="1:44" hidden="1" x14ac:dyDescent="0.2">
      <c r="A88" s="182">
        <v>40756</v>
      </c>
      <c r="B88" s="27"/>
      <c r="C88" s="93">
        <f>Data!D81+'Economic Model'!C$65</f>
        <v>2.8304347826086973</v>
      </c>
      <c r="D88" s="95">
        <f>Data!E81+'Economic Model'!C$66</f>
        <v>192.17391304347825</v>
      </c>
      <c r="E88" s="323"/>
      <c r="F88" s="93">
        <f>Data!G81+'Economic Model'!C$68</f>
        <v>7.1408967391304348</v>
      </c>
      <c r="G88" s="96">
        <f>Data!H81+'Economic Model'!C$69</f>
        <v>5.44</v>
      </c>
      <c r="H88" s="85"/>
      <c r="I88" s="16"/>
      <c r="J88" s="93">
        <f t="shared" si="27"/>
        <v>2.8304347826086973</v>
      </c>
      <c r="K88" s="93">
        <f>D88/2000*('Economic Model'!C$32+0.5)/'Economic Model'!C$30</f>
        <v>0.56977879481311966</v>
      </c>
      <c r="L88" s="319"/>
      <c r="M88" s="93">
        <f t="shared" si="28"/>
        <v>3.400213577421817</v>
      </c>
      <c r="N88" s="110"/>
      <c r="O88" s="108"/>
      <c r="P88" s="93">
        <f>F88/'Economic Model'!C$30</f>
        <v>2.5055778032036611</v>
      </c>
      <c r="Q88" s="93">
        <f>G88/1000*'Economic Model'!C$34</f>
        <v>0.16320000000000001</v>
      </c>
      <c r="R88" s="93">
        <f>('Economic Model'!H$44+'Economic Model'!H$53)/100</f>
        <v>0.21939999999999998</v>
      </c>
      <c r="S88" s="93">
        <f t="shared" si="29"/>
        <v>2.8881778032036611</v>
      </c>
      <c r="T88" s="93">
        <f>'Economic Model'!H$60/100</f>
        <v>0.19624601212121212</v>
      </c>
      <c r="U88" s="93">
        <f t="shared" si="30"/>
        <v>3.0844238153248731</v>
      </c>
      <c r="V88" s="93">
        <f t="shared" si="40"/>
        <v>2.5146450205117534</v>
      </c>
      <c r="W88" s="105"/>
      <c r="X88" s="93"/>
      <c r="Y88" s="93">
        <f>M88-P88-Q88-('Economic Model'!H$50/100)</f>
        <v>0.69293577421815589</v>
      </c>
      <c r="Z88" s="93">
        <f t="shared" si="31"/>
        <v>0.51203577421815583</v>
      </c>
      <c r="AA88" s="93">
        <f t="shared" si="32"/>
        <v>0.31578976209694387</v>
      </c>
      <c r="AB88" s="80"/>
      <c r="AC88" s="17"/>
      <c r="AD88" s="81"/>
      <c r="AE88" s="93">
        <f>'Returns per Bu.'!AD88/'Economic Model'!C$30</f>
        <v>0.39128123338649656</v>
      </c>
      <c r="AF88" s="93">
        <f t="shared" si="33"/>
        <v>0.88281765018607117</v>
      </c>
      <c r="AG88" s="93">
        <f>'Returns per Bu.'!AF88/'Economic Model'!C$30</f>
        <v>1.2740988835725677</v>
      </c>
      <c r="AH88" s="105"/>
      <c r="AI88" s="104"/>
      <c r="AJ88" s="93">
        <f t="shared" si="34"/>
        <v>1.6566988835725678</v>
      </c>
      <c r="AK88" s="93">
        <f t="shared" si="35"/>
        <v>1.85294489569378</v>
      </c>
      <c r="AL88" s="105"/>
      <c r="AM88" s="93"/>
      <c r="AN88" s="93">
        <f t="shared" si="36"/>
        <v>1.7435146938492492</v>
      </c>
      <c r="AO88" s="93">
        <f t="shared" si="37"/>
        <v>1.547268681728037</v>
      </c>
      <c r="AP88" s="93">
        <f t="shared" si="38"/>
        <v>0.31578976209694365</v>
      </c>
      <c r="AQ88" s="93">
        <f t="shared" si="39"/>
        <v>1.2314789196310933</v>
      </c>
      <c r="AR88" s="52"/>
    </row>
    <row r="89" spans="1:44" hidden="1" x14ac:dyDescent="0.2">
      <c r="A89" s="182">
        <v>40787</v>
      </c>
      <c r="B89" s="27"/>
      <c r="C89" s="93">
        <f>Data!D82+'Economic Model'!C$65</f>
        <v>2.7459523809523807</v>
      </c>
      <c r="D89" s="95">
        <f>Data!E82+'Economic Model'!C$66</f>
        <v>198.02500000000001</v>
      </c>
      <c r="E89" s="323"/>
      <c r="F89" s="93">
        <f>Data!G82+'Economic Model'!C$68</f>
        <v>6.7983750000000001</v>
      </c>
      <c r="G89" s="96">
        <f>Data!H82+'Economic Model'!C$69</f>
        <v>5.43</v>
      </c>
      <c r="H89" s="85"/>
      <c r="I89" s="16"/>
      <c r="J89" s="93">
        <f t="shared" si="27"/>
        <v>2.7459523809523807</v>
      </c>
      <c r="K89" s="93">
        <f>D89/2000*('Economic Model'!C$32+0.5)/'Economic Model'!C$30</f>
        <v>0.58712675438596484</v>
      </c>
      <c r="L89" s="319"/>
      <c r="M89" s="93">
        <f t="shared" si="28"/>
        <v>3.3330791353383455</v>
      </c>
      <c r="N89" s="110"/>
      <c r="O89" s="108"/>
      <c r="P89" s="93">
        <f>F89/'Economic Model'!C$30</f>
        <v>2.3853947368421053</v>
      </c>
      <c r="Q89" s="93">
        <f>G89/1000*'Economic Model'!C$34</f>
        <v>0.16289999999999999</v>
      </c>
      <c r="R89" s="93">
        <f>('Economic Model'!H$44+'Economic Model'!H$53)/100</f>
        <v>0.21939999999999998</v>
      </c>
      <c r="S89" s="93">
        <f t="shared" si="29"/>
        <v>2.7676947368421052</v>
      </c>
      <c r="T89" s="93">
        <f>'Economic Model'!H$60/100</f>
        <v>0.19624601212121212</v>
      </c>
      <c r="U89" s="93">
        <f t="shared" si="30"/>
        <v>2.9639407489633172</v>
      </c>
      <c r="V89" s="93">
        <f t="shared" si="40"/>
        <v>2.3768139945773523</v>
      </c>
      <c r="W89" s="105"/>
      <c r="X89" s="93"/>
      <c r="Y89" s="93">
        <f>M89-P89-Q89-('Economic Model'!H$50/100)</f>
        <v>0.74628439849624018</v>
      </c>
      <c r="Z89" s="93">
        <f t="shared" si="31"/>
        <v>0.56538439849624034</v>
      </c>
      <c r="AA89" s="93">
        <f t="shared" si="32"/>
        <v>0.36913838637502838</v>
      </c>
      <c r="AB89" s="80"/>
      <c r="AC89" s="15"/>
      <c r="AD89" s="81"/>
      <c r="AE89" s="93">
        <f>'Returns per Bu.'!AD89/'Economic Model'!C$30</f>
        <v>0.43655650754793962</v>
      </c>
      <c r="AF89" s="93">
        <f t="shared" si="33"/>
        <v>0.97559159526723782</v>
      </c>
      <c r="AG89" s="93">
        <f>'Returns per Bu.'!AF89/'Economic Model'!C$30</f>
        <v>1.4121481028151774</v>
      </c>
      <c r="AH89" s="105"/>
      <c r="AI89" s="104"/>
      <c r="AJ89" s="93">
        <f t="shared" si="34"/>
        <v>1.7944481028151775</v>
      </c>
      <c r="AK89" s="93">
        <f t="shared" si="35"/>
        <v>1.9906941149363897</v>
      </c>
      <c r="AL89" s="105"/>
      <c r="AM89" s="93"/>
      <c r="AN89" s="93">
        <f t="shared" si="36"/>
        <v>1.538631032523168</v>
      </c>
      <c r="AO89" s="93">
        <f t="shared" si="37"/>
        <v>1.3423850204019558</v>
      </c>
      <c r="AP89" s="93">
        <f t="shared" si="38"/>
        <v>0.36913838637502794</v>
      </c>
      <c r="AQ89" s="93">
        <f t="shared" si="39"/>
        <v>0.9732466340269279</v>
      </c>
      <c r="AR89" s="52"/>
    </row>
    <row r="90" spans="1:44" hidden="1" x14ac:dyDescent="0.2">
      <c r="A90" s="182">
        <v>40817</v>
      </c>
      <c r="B90" s="27"/>
      <c r="C90" s="93">
        <f>Data!D83+'Economic Model'!C$65</f>
        <v>2.5959523809523826</v>
      </c>
      <c r="D90" s="95">
        <f>Data!E83+'Economic Model'!C$66</f>
        <v>197.95238095238096</v>
      </c>
      <c r="E90" s="323"/>
      <c r="F90" s="93">
        <f>Data!G83+'Economic Model'!C$68</f>
        <v>6.1482619047619025</v>
      </c>
      <c r="G90" s="96">
        <f>Data!H83+'Economic Model'!C$69</f>
        <v>5.2</v>
      </c>
      <c r="H90" s="85"/>
      <c r="I90" s="16"/>
      <c r="J90" s="93">
        <f t="shared" si="27"/>
        <v>2.5959523809523826</v>
      </c>
      <c r="K90" s="93">
        <f>D90/2000*('Economic Model'!C$32+0.5)/'Economic Model'!C$30</f>
        <v>0.58691144527986627</v>
      </c>
      <c r="L90" s="319"/>
      <c r="M90" s="93">
        <f t="shared" si="28"/>
        <v>3.1828638262322491</v>
      </c>
      <c r="N90" s="110"/>
      <c r="O90" s="108"/>
      <c r="P90" s="93">
        <f>F90/'Economic Model'!C$30</f>
        <v>2.1572848788638255</v>
      </c>
      <c r="Q90" s="93">
        <f>G90/1000*'Economic Model'!C$34</f>
        <v>0.156</v>
      </c>
      <c r="R90" s="93">
        <f>('Economic Model'!H$44+'Economic Model'!H$53)/100</f>
        <v>0.21939999999999998</v>
      </c>
      <c r="S90" s="93">
        <f t="shared" si="29"/>
        <v>2.5326848788638254</v>
      </c>
      <c r="T90" s="93">
        <f>'Economic Model'!H$60/100</f>
        <v>0.19624601212121212</v>
      </c>
      <c r="U90" s="93">
        <f t="shared" si="30"/>
        <v>2.7289308909850374</v>
      </c>
      <c r="V90" s="93">
        <f t="shared" si="40"/>
        <v>2.1420194457051709</v>
      </c>
      <c r="W90" s="105"/>
      <c r="X90" s="93"/>
      <c r="Y90" s="93">
        <f>M90-P90-Q90-('Economic Model'!H$50/100)</f>
        <v>0.83107894736842358</v>
      </c>
      <c r="Z90" s="93">
        <f t="shared" si="31"/>
        <v>0.65017894736842363</v>
      </c>
      <c r="AA90" s="93">
        <f t="shared" si="32"/>
        <v>0.45393293524721168</v>
      </c>
      <c r="AB90" s="80"/>
      <c r="AC90" s="15"/>
      <c r="AD90" s="81"/>
      <c r="AE90" s="93">
        <f>'Returns per Bu.'!AD90/'Economic Model'!C$30</f>
        <v>0.43655650754793962</v>
      </c>
      <c r="AF90" s="93">
        <f t="shared" si="33"/>
        <v>0.97559159526723782</v>
      </c>
      <c r="AG90" s="93">
        <f>'Returns per Bu.'!AF90/'Economic Model'!C$30</f>
        <v>1.4121481028151774</v>
      </c>
      <c r="AH90" s="105"/>
      <c r="AI90" s="104"/>
      <c r="AJ90" s="93">
        <f t="shared" si="34"/>
        <v>1.7875481028151774</v>
      </c>
      <c r="AK90" s="93">
        <f t="shared" si="35"/>
        <v>1.9837941149363896</v>
      </c>
      <c r="AL90" s="105"/>
      <c r="AM90" s="93"/>
      <c r="AN90" s="93">
        <f t="shared" si="36"/>
        <v>1.3953157234170717</v>
      </c>
      <c r="AO90" s="93">
        <f t="shared" si="37"/>
        <v>1.1990697112958595</v>
      </c>
      <c r="AP90" s="93">
        <f t="shared" si="38"/>
        <v>0.45393293524721146</v>
      </c>
      <c r="AQ90" s="93">
        <f t="shared" si="39"/>
        <v>0.74513677604864803</v>
      </c>
      <c r="AR90" s="52"/>
    </row>
    <row r="91" spans="1:44" hidden="1" x14ac:dyDescent="0.2">
      <c r="A91" s="182">
        <v>40848</v>
      </c>
      <c r="B91" s="27"/>
      <c r="C91" s="93">
        <f>Data!D84+'Economic Model'!C$65</f>
        <v>2.8220454545454561</v>
      </c>
      <c r="D91" s="95">
        <f>Data!E84+'Economic Model'!C$66</f>
        <v>214.57142857142858</v>
      </c>
      <c r="E91" s="323"/>
      <c r="F91" s="93">
        <f>Data!G84+'Economic Model'!C$68</f>
        <v>6.1357738095238101</v>
      </c>
      <c r="G91" s="96">
        <f>Data!H84+'Economic Model'!C$69</f>
        <v>5.75</v>
      </c>
      <c r="H91" s="85"/>
      <c r="I91" s="16"/>
      <c r="J91" s="93">
        <f t="shared" si="27"/>
        <v>2.8220454545454561</v>
      </c>
      <c r="K91" s="93">
        <f>D91/2000*('Economic Model'!C$32+0.5)/'Economic Model'!C$30</f>
        <v>0.63618546365914785</v>
      </c>
      <c r="L91" s="319"/>
      <c r="M91" s="93">
        <f t="shared" si="28"/>
        <v>3.4582309182046038</v>
      </c>
      <c r="N91" s="110"/>
      <c r="O91" s="108"/>
      <c r="P91" s="93">
        <f>F91/'Economic Model'!C$30</f>
        <v>2.1529030910609861</v>
      </c>
      <c r="Q91" s="93">
        <f>G91/1000*'Economic Model'!C$34</f>
        <v>0.17249999999999999</v>
      </c>
      <c r="R91" s="93">
        <f>('Economic Model'!H$44+'Economic Model'!H$53)/100</f>
        <v>0.21939999999999998</v>
      </c>
      <c r="S91" s="93">
        <f t="shared" si="29"/>
        <v>2.5448030910609858</v>
      </c>
      <c r="T91" s="93">
        <f>'Economic Model'!H$60/100</f>
        <v>0.19624601212121212</v>
      </c>
      <c r="U91" s="93">
        <f t="shared" si="30"/>
        <v>2.7410491031821977</v>
      </c>
      <c r="V91" s="93">
        <f t="shared" si="40"/>
        <v>2.10486363952305</v>
      </c>
      <c r="W91" s="105"/>
      <c r="X91" s="93"/>
      <c r="Y91" s="93">
        <f>M91-P91-Q91-('Economic Model'!H$50/100)</f>
        <v>1.0943278271436179</v>
      </c>
      <c r="Z91" s="93">
        <f t="shared" si="31"/>
        <v>0.91342782714361803</v>
      </c>
      <c r="AA91" s="93">
        <f t="shared" si="32"/>
        <v>0.71718181502240608</v>
      </c>
      <c r="AB91" s="80"/>
      <c r="AC91" s="15"/>
      <c r="AD91" s="81"/>
      <c r="AE91" s="93">
        <f>'Returns per Bu.'!AD91/'Economic Model'!C$30</f>
        <v>0.43655650754793962</v>
      </c>
      <c r="AF91" s="93">
        <f t="shared" si="33"/>
        <v>0.97559159526723782</v>
      </c>
      <c r="AG91" s="93">
        <f>'Returns per Bu.'!AF91/'Economic Model'!C$30</f>
        <v>1.4121481028151774</v>
      </c>
      <c r="AH91" s="105"/>
      <c r="AI91" s="104"/>
      <c r="AJ91" s="93">
        <f t="shared" si="34"/>
        <v>1.8040481028151774</v>
      </c>
      <c r="AK91" s="93">
        <f t="shared" si="35"/>
        <v>2.0002941149363895</v>
      </c>
      <c r="AL91" s="105"/>
      <c r="AM91" s="93"/>
      <c r="AN91" s="93">
        <f t="shared" si="36"/>
        <v>1.6541828153894265</v>
      </c>
      <c r="AO91" s="93">
        <f t="shared" si="37"/>
        <v>1.4579368032682143</v>
      </c>
      <c r="AP91" s="93">
        <f t="shared" si="38"/>
        <v>0.71718181502240563</v>
      </c>
      <c r="AQ91" s="93">
        <f t="shared" si="39"/>
        <v>0.74075498824580865</v>
      </c>
      <c r="AR91" s="52"/>
    </row>
    <row r="92" spans="1:44" hidden="1" x14ac:dyDescent="0.2">
      <c r="A92" s="68">
        <v>40878</v>
      </c>
      <c r="B92" s="29"/>
      <c r="C92" s="97">
        <f>Data!D85+'Economic Model'!C$65</f>
        <v>2.3129545454545455</v>
      </c>
      <c r="D92" s="99">
        <f>Data!E85+'Economic Model'!C$66</f>
        <v>190.04761904761904</v>
      </c>
      <c r="E92" s="324"/>
      <c r="F92" s="97">
        <f>Data!G85+'Economic Model'!C$68</f>
        <v>5.8892857142857151</v>
      </c>
      <c r="G92" s="100">
        <f>Data!H85+'Economic Model'!C$69</f>
        <v>5.49</v>
      </c>
      <c r="H92" s="87"/>
      <c r="I92" s="71"/>
      <c r="J92" s="97">
        <f t="shared" si="27"/>
        <v>2.3129545454545455</v>
      </c>
      <c r="K92" s="97">
        <f>D92/2000*('Economic Model'!C$32+0.5)/'Economic Model'!C$30</f>
        <v>0.56347451963241435</v>
      </c>
      <c r="L92" s="320"/>
      <c r="M92" s="97">
        <f t="shared" si="28"/>
        <v>2.8764290650869597</v>
      </c>
      <c r="N92" s="113"/>
      <c r="O92" s="111"/>
      <c r="P92" s="97">
        <f>F92/'Economic Model'!C$30</f>
        <v>2.0664160401002509</v>
      </c>
      <c r="Q92" s="97">
        <f>G92/1000*'Economic Model'!C$34</f>
        <v>0.16470000000000001</v>
      </c>
      <c r="R92" s="97">
        <f>('Economic Model'!H$44+'Economic Model'!H$53)/100</f>
        <v>0.21939999999999998</v>
      </c>
      <c r="S92" s="97">
        <f t="shared" si="29"/>
        <v>2.4505160401002506</v>
      </c>
      <c r="T92" s="97">
        <f>'Economic Model'!H$60/100</f>
        <v>0.19624601212121212</v>
      </c>
      <c r="U92" s="97">
        <f t="shared" si="30"/>
        <v>2.6467620522214625</v>
      </c>
      <c r="V92" s="97">
        <f t="shared" si="40"/>
        <v>2.0832875325890483</v>
      </c>
      <c r="W92" s="107"/>
      <c r="X92" s="97"/>
      <c r="Y92" s="97">
        <f>M92-P92-Q92-('Economic Model'!H$50/100)</f>
        <v>0.60681302498670875</v>
      </c>
      <c r="Z92" s="97">
        <f t="shared" si="31"/>
        <v>0.42591302498670913</v>
      </c>
      <c r="AA92" s="97">
        <f t="shared" si="32"/>
        <v>0.22966701286549718</v>
      </c>
      <c r="AB92" s="82"/>
      <c r="AC92" s="65"/>
      <c r="AD92" s="83"/>
      <c r="AE92" s="97">
        <f>'Returns per Bu.'!AD92/'Economic Model'!C$30</f>
        <v>0.43655650754793962</v>
      </c>
      <c r="AF92" s="97">
        <f t="shared" si="33"/>
        <v>0.97559159526723782</v>
      </c>
      <c r="AG92" s="97">
        <f>'Returns per Bu.'!AF92/'Economic Model'!C$30</f>
        <v>1.4121481028151774</v>
      </c>
      <c r="AH92" s="107"/>
      <c r="AI92" s="106"/>
      <c r="AJ92" s="97">
        <f t="shared" si="34"/>
        <v>1.7962481028151775</v>
      </c>
      <c r="AK92" s="97">
        <f t="shared" si="35"/>
        <v>1.9924941149363897</v>
      </c>
      <c r="AL92" s="107"/>
      <c r="AM92" s="97"/>
      <c r="AN92" s="97">
        <f t="shared" si="36"/>
        <v>1.0801809622717822</v>
      </c>
      <c r="AO92" s="97">
        <f t="shared" si="37"/>
        <v>0.88393495015057</v>
      </c>
      <c r="AP92" s="97">
        <f t="shared" si="38"/>
        <v>0.22966701286549651</v>
      </c>
      <c r="AQ92" s="97">
        <f t="shared" si="39"/>
        <v>0.65426793728507349</v>
      </c>
      <c r="AR92" s="64"/>
    </row>
    <row r="93" spans="1:44" hidden="1" x14ac:dyDescent="0.2">
      <c r="A93" s="21">
        <v>40909</v>
      </c>
      <c r="C93" s="93">
        <f>Data!D86+'Economic Model'!C$65</f>
        <v>2.1313636363636368</v>
      </c>
      <c r="D93" s="95">
        <f>Data!E86+'Economic Model'!C$66</f>
        <v>186.75624999999999</v>
      </c>
      <c r="E93" s="323"/>
      <c r="F93" s="93">
        <f>Data!G86+'Economic Model'!C$68</f>
        <v>6.1923125000000008</v>
      </c>
      <c r="G93" s="96">
        <f>Data!H86+'Economic Model'!C$69</f>
        <v>5.49</v>
      </c>
      <c r="H93" s="85"/>
      <c r="I93" s="16"/>
      <c r="J93" s="93">
        <f t="shared" si="27"/>
        <v>2.1313636363636368</v>
      </c>
      <c r="K93" s="93">
        <f>D93/2000*('Economic Model'!C$32+0.5)/'Economic Model'!C$30</f>
        <v>0.55371589912280683</v>
      </c>
      <c r="L93" s="319"/>
      <c r="M93" s="93">
        <f t="shared" si="28"/>
        <v>2.6850795354864436</v>
      </c>
      <c r="N93" s="110"/>
      <c r="O93" s="108"/>
      <c r="P93" s="93">
        <f>F93/'Economic Model'!C$30</f>
        <v>2.1727412280701754</v>
      </c>
      <c r="Q93" s="93">
        <f>G93/1000*'Economic Model'!C$34</f>
        <v>0.16470000000000001</v>
      </c>
      <c r="R93" s="93">
        <f>('Economic Model'!H$44+'Economic Model'!H$53)/100</f>
        <v>0.21939999999999998</v>
      </c>
      <c r="S93" s="93">
        <f t="shared" si="29"/>
        <v>2.5568412280701751</v>
      </c>
      <c r="T93" s="93">
        <f>'Economic Model'!H$60/100</f>
        <v>0.19624601212121212</v>
      </c>
      <c r="U93" s="93">
        <f t="shared" si="30"/>
        <v>2.7530872401913871</v>
      </c>
      <c r="V93" s="93">
        <f t="shared" si="40"/>
        <v>2.1993713410685802</v>
      </c>
      <c r="W93" s="105"/>
      <c r="X93" s="93"/>
      <c r="Y93" s="93">
        <f>M93-P93-Q93-('Economic Model'!H$50/100)</f>
        <v>0.30913830741626819</v>
      </c>
      <c r="Z93" s="93">
        <f t="shared" si="31"/>
        <v>0.12823830741626852</v>
      </c>
      <c r="AA93" s="93">
        <f t="shared" si="32"/>
        <v>-6.8007704704943439E-2</v>
      </c>
      <c r="AB93" s="80"/>
      <c r="AC93" s="15"/>
      <c r="AD93" s="81"/>
      <c r="AE93" s="93">
        <f>'Returns per Bu.'!AD93/'Economic Model'!C$30</f>
        <v>0.43655650754793962</v>
      </c>
      <c r="AF93" s="93">
        <f t="shared" si="33"/>
        <v>0.97559159526723782</v>
      </c>
      <c r="AG93" s="93">
        <f>'Returns per Bu.'!AF93/'Economic Model'!C$30</f>
        <v>1.4121481028151774</v>
      </c>
      <c r="AH93" s="105"/>
      <c r="AI93" s="104"/>
      <c r="AJ93" s="93">
        <f t="shared" si="34"/>
        <v>1.7962481028151775</v>
      </c>
      <c r="AK93" s="93">
        <f t="shared" si="35"/>
        <v>1.9924941149363897</v>
      </c>
      <c r="AL93" s="105"/>
      <c r="AM93" s="93"/>
      <c r="AN93" s="93">
        <f t="shared" si="36"/>
        <v>0.88883143267126608</v>
      </c>
      <c r="AO93" s="93">
        <f t="shared" si="37"/>
        <v>0.6925854205500539</v>
      </c>
      <c r="AP93" s="93">
        <f t="shared" si="38"/>
        <v>-6.8007704704944105E-2</v>
      </c>
      <c r="AQ93" s="93">
        <f t="shared" si="39"/>
        <v>0.760593125254998</v>
      </c>
      <c r="AR93" s="52"/>
    </row>
    <row r="94" spans="1:44" hidden="1" x14ac:dyDescent="0.2">
      <c r="A94" s="8">
        <v>40940</v>
      </c>
      <c r="C94" s="93">
        <f>Data!D87+'Economic Model'!C$65</f>
        <v>2.0895238095238104</v>
      </c>
      <c r="D94" s="95">
        <f>Data!E87+'Economic Model'!C$66</f>
        <v>194.61250000000001</v>
      </c>
      <c r="E94" s="323"/>
      <c r="F94" s="93">
        <f>Data!G87+'Economic Model'!C$68</f>
        <v>6.3003625000000012</v>
      </c>
      <c r="G94" s="96">
        <f>Data!H87+'Economic Model'!C$69</f>
        <v>5.24</v>
      </c>
      <c r="H94" s="85"/>
      <c r="I94" s="16"/>
      <c r="J94" s="93">
        <f t="shared" si="27"/>
        <v>2.0895238095238104</v>
      </c>
      <c r="K94" s="93">
        <f>D94/2000*('Economic Model'!C$32+0.5)/'Economic Model'!C$30</f>
        <v>0.57700899122807014</v>
      </c>
      <c r="L94" s="319"/>
      <c r="M94" s="93">
        <f t="shared" si="28"/>
        <v>2.6665328007518805</v>
      </c>
      <c r="N94" s="110"/>
      <c r="O94" s="108"/>
      <c r="P94" s="93">
        <f>F94/'Economic Model'!C$30</f>
        <v>2.2106535087719301</v>
      </c>
      <c r="Q94" s="93">
        <f>G94/1000*'Economic Model'!C$34</f>
        <v>0.15720000000000001</v>
      </c>
      <c r="R94" s="93">
        <f>('Economic Model'!H$44+'Economic Model'!H$53)/100</f>
        <v>0.21939999999999998</v>
      </c>
      <c r="S94" s="93">
        <f t="shared" si="29"/>
        <v>2.5872535087719299</v>
      </c>
      <c r="T94" s="93">
        <f>'Economic Model'!H$60/100</f>
        <v>0.19624601212121212</v>
      </c>
      <c r="U94" s="93">
        <f t="shared" si="30"/>
        <v>2.7834995208931419</v>
      </c>
      <c r="V94" s="93">
        <f t="shared" si="40"/>
        <v>2.2064905296650719</v>
      </c>
      <c r="W94" s="105"/>
      <c r="X94" s="93"/>
      <c r="Y94" s="93">
        <f>M94-P94-Q94-('Economic Model'!H$50/100)</f>
        <v>0.26017929197995038</v>
      </c>
      <c r="Z94" s="93">
        <f t="shared" si="31"/>
        <v>7.9279291979950539E-2</v>
      </c>
      <c r="AA94" s="93">
        <f t="shared" si="32"/>
        <v>-0.11696672014126142</v>
      </c>
      <c r="AB94" s="80"/>
      <c r="AC94" s="15"/>
      <c r="AD94" s="81"/>
      <c r="AE94" s="93">
        <f>'Returns per Bu.'!AD94/'Economic Model'!C$30</f>
        <v>0.43655650754793962</v>
      </c>
      <c r="AF94" s="93">
        <f t="shared" si="33"/>
        <v>0.97559159526723782</v>
      </c>
      <c r="AG94" s="93">
        <f>'Returns per Bu.'!AF94/'Economic Model'!C$30</f>
        <v>1.4121481028151774</v>
      </c>
      <c r="AH94" s="105"/>
      <c r="AI94" s="104"/>
      <c r="AJ94" s="93">
        <f t="shared" si="34"/>
        <v>1.7887481028151775</v>
      </c>
      <c r="AK94" s="93">
        <f t="shared" si="35"/>
        <v>1.9849941149363897</v>
      </c>
      <c r="AL94" s="105"/>
      <c r="AM94" s="93"/>
      <c r="AN94" s="93">
        <f t="shared" si="36"/>
        <v>0.877784697936703</v>
      </c>
      <c r="AO94" s="93">
        <f t="shared" si="37"/>
        <v>0.68153868581549082</v>
      </c>
      <c r="AP94" s="93">
        <f t="shared" si="38"/>
        <v>-0.11696672014126186</v>
      </c>
      <c r="AQ94" s="93">
        <f t="shared" si="39"/>
        <v>0.79850540595675268</v>
      </c>
      <c r="AR94" s="52"/>
    </row>
    <row r="95" spans="1:44" hidden="1" x14ac:dyDescent="0.2">
      <c r="A95" s="8">
        <v>40969</v>
      </c>
      <c r="C95" s="93">
        <f>Data!D88+'Economic Model'!C$65</f>
        <v>2.1806818181818177</v>
      </c>
      <c r="D95" s="95">
        <f>Data!E88+'Economic Model'!C$66</f>
        <v>203.38068181818181</v>
      </c>
      <c r="E95" s="323"/>
      <c r="F95" s="93">
        <f>Data!G88+'Economic Model'!C$68</f>
        <v>6.3997727272727269</v>
      </c>
      <c r="G95" s="96">
        <f>Data!H88+'Economic Model'!C$69</f>
        <v>5.26</v>
      </c>
      <c r="H95" s="85"/>
      <c r="I95" s="16"/>
      <c r="J95" s="93">
        <f t="shared" si="27"/>
        <v>2.1806818181818177</v>
      </c>
      <c r="K95" s="93">
        <f>D95/2000*('Economic Model'!C$32+0.5)/'Economic Model'!C$30</f>
        <v>0.60300588118022325</v>
      </c>
      <c r="L95" s="319"/>
      <c r="M95" s="93">
        <f t="shared" si="28"/>
        <v>2.7836876993620407</v>
      </c>
      <c r="N95" s="110"/>
      <c r="O95" s="108"/>
      <c r="P95" s="93">
        <f>F95/'Economic Model'!C$30</f>
        <v>2.2455342902711322</v>
      </c>
      <c r="Q95" s="93">
        <f>G95/1000*'Economic Model'!C$34</f>
        <v>0.1578</v>
      </c>
      <c r="R95" s="93">
        <f>('Economic Model'!H$44+'Economic Model'!H$53)/100</f>
        <v>0.21939999999999998</v>
      </c>
      <c r="S95" s="93">
        <f t="shared" si="29"/>
        <v>2.6227342902711319</v>
      </c>
      <c r="T95" s="93">
        <f>'Economic Model'!H$60/100</f>
        <v>0.19624601212121212</v>
      </c>
      <c r="U95" s="93">
        <f t="shared" si="30"/>
        <v>2.8189803023923439</v>
      </c>
      <c r="V95" s="93">
        <f t="shared" si="40"/>
        <v>2.2159744212121204</v>
      </c>
      <c r="W95" s="105"/>
      <c r="X95" s="93"/>
      <c r="Y95" s="93">
        <f>M95-P95-Q95-('Economic Model'!H$50/100)</f>
        <v>0.34185340909090861</v>
      </c>
      <c r="Z95" s="93">
        <f t="shared" si="31"/>
        <v>0.16095340909090883</v>
      </c>
      <c r="AA95" s="93">
        <f t="shared" si="32"/>
        <v>-3.5292603030303127E-2</v>
      </c>
      <c r="AB95" s="80"/>
      <c r="AC95" s="15"/>
      <c r="AD95" s="81"/>
      <c r="AE95" s="93">
        <f>'Returns per Bu.'!AD95/'Economic Model'!C$30</f>
        <v>0.43655650754793962</v>
      </c>
      <c r="AF95" s="93">
        <f t="shared" si="33"/>
        <v>0.97559159526723782</v>
      </c>
      <c r="AG95" s="93">
        <f>'Returns per Bu.'!AF95/'Economic Model'!C$30</f>
        <v>1.4121481028151774</v>
      </c>
      <c r="AH95" s="105"/>
      <c r="AI95" s="104"/>
      <c r="AJ95" s="93">
        <f t="shared" si="34"/>
        <v>1.7893481028151774</v>
      </c>
      <c r="AK95" s="93">
        <f t="shared" si="35"/>
        <v>1.9855941149363896</v>
      </c>
      <c r="AL95" s="105"/>
      <c r="AM95" s="93"/>
      <c r="AN95" s="93">
        <f t="shared" si="36"/>
        <v>0.99433959654686332</v>
      </c>
      <c r="AO95" s="93">
        <f t="shared" si="37"/>
        <v>0.79809358442565115</v>
      </c>
      <c r="AP95" s="93">
        <f t="shared" si="38"/>
        <v>-3.5292603030303571E-2</v>
      </c>
      <c r="AQ95" s="93">
        <f t="shared" si="39"/>
        <v>0.83338618745595472</v>
      </c>
      <c r="AR95" s="52"/>
    </row>
    <row r="96" spans="1:44" hidden="1" x14ac:dyDescent="0.2">
      <c r="A96" s="8">
        <v>41000</v>
      </c>
      <c r="C96" s="93">
        <f>Data!D89+'Economic Model'!C$65</f>
        <v>2.1514285714285726</v>
      </c>
      <c r="D96" s="95">
        <f>Data!E89+'Economic Model'!C$66</f>
        <v>208.34375</v>
      </c>
      <c r="E96" s="323"/>
      <c r="F96" s="93">
        <f>Data!G89+'Economic Model'!C$68</f>
        <v>6.2756249999999989</v>
      </c>
      <c r="G96" s="96">
        <f>Data!H89+'Economic Model'!C$69</f>
        <v>3.7</v>
      </c>
      <c r="H96" s="85"/>
      <c r="I96" s="16"/>
      <c r="J96" s="93">
        <f t="shared" si="27"/>
        <v>2.1514285714285726</v>
      </c>
      <c r="K96" s="93">
        <f>D96/2000*('Economic Model'!C$32+0.5)/'Economic Model'!C$30</f>
        <v>0.61772094298245606</v>
      </c>
      <c r="L96" s="319"/>
      <c r="M96" s="93">
        <f t="shared" si="28"/>
        <v>2.7691495144110285</v>
      </c>
      <c r="N96" s="110"/>
      <c r="O96" s="108"/>
      <c r="P96" s="93">
        <f>F96/'Economic Model'!C$30</f>
        <v>2.2019736842105258</v>
      </c>
      <c r="Q96" s="93">
        <f>G96/1000*'Economic Model'!C$34</f>
        <v>0.111</v>
      </c>
      <c r="R96" s="93">
        <f>('Economic Model'!H$44+'Economic Model'!H$53)/100</f>
        <v>0.21939999999999998</v>
      </c>
      <c r="S96" s="93">
        <f t="shared" si="29"/>
        <v>2.5323736842105258</v>
      </c>
      <c r="T96" s="93">
        <f>'Economic Model'!H$60/100</f>
        <v>0.19624601212121212</v>
      </c>
      <c r="U96" s="93">
        <f t="shared" si="30"/>
        <v>2.7286196963317377</v>
      </c>
      <c r="V96" s="93">
        <f t="shared" si="40"/>
        <v>2.1108987533492818</v>
      </c>
      <c r="W96" s="105"/>
      <c r="X96" s="93"/>
      <c r="Y96" s="93">
        <f>M96-P96-Q96-('Economic Model'!H$50/100)</f>
        <v>0.41767583020050281</v>
      </c>
      <c r="Z96" s="93">
        <f t="shared" si="31"/>
        <v>0.23677583020050275</v>
      </c>
      <c r="AA96" s="93">
        <f t="shared" si="32"/>
        <v>4.0529818079290791E-2</v>
      </c>
      <c r="AB96" s="80"/>
      <c r="AC96" s="17"/>
      <c r="AD96" s="81"/>
      <c r="AE96" s="93">
        <f>'Returns per Bu.'!AD96/'Economic Model'!C$30</f>
        <v>0.43655650754793962</v>
      </c>
      <c r="AF96" s="93">
        <f t="shared" si="33"/>
        <v>0.97559159526723782</v>
      </c>
      <c r="AG96" s="93">
        <f>'Returns per Bu.'!AF96/'Economic Model'!C$30</f>
        <v>1.4121481028151774</v>
      </c>
      <c r="AH96" s="105"/>
      <c r="AI96" s="104"/>
      <c r="AJ96" s="93">
        <f t="shared" si="34"/>
        <v>1.7425481028151775</v>
      </c>
      <c r="AK96" s="93">
        <f t="shared" si="35"/>
        <v>1.9387941149363896</v>
      </c>
      <c r="AL96" s="105"/>
      <c r="AM96" s="93"/>
      <c r="AN96" s="93">
        <f t="shared" si="36"/>
        <v>1.0266014115958511</v>
      </c>
      <c r="AO96" s="93">
        <f t="shared" si="37"/>
        <v>0.83035539947463888</v>
      </c>
      <c r="AP96" s="93">
        <f t="shared" si="38"/>
        <v>4.0529818079290569E-2</v>
      </c>
      <c r="AQ96" s="93">
        <f t="shared" si="39"/>
        <v>0.78982558139534831</v>
      </c>
      <c r="AR96" s="52"/>
    </row>
    <row r="97" spans="1:44" hidden="1" x14ac:dyDescent="0.2">
      <c r="A97" s="8">
        <v>41030</v>
      </c>
      <c r="C97" s="93">
        <f>Data!D90+'Economic Model'!C$65</f>
        <v>2.106818181818181</v>
      </c>
      <c r="D97" s="95">
        <f>Data!E90+'Economic Model'!C$66</f>
        <v>215.83333333333334</v>
      </c>
      <c r="E97" s="323"/>
      <c r="F97" s="93">
        <f>Data!G90+'Economic Model'!C$68</f>
        <v>6.2820238095238112</v>
      </c>
      <c r="G97" s="96">
        <f>Data!H90+'Economic Model'!C$69</f>
        <v>3.3</v>
      </c>
      <c r="H97" s="85"/>
      <c r="I97" s="16"/>
      <c r="J97" s="93">
        <f t="shared" si="27"/>
        <v>2.106818181818181</v>
      </c>
      <c r="K97" s="93">
        <f>D97/2000*('Economic Model'!C$32+0.5)/'Economic Model'!C$30</f>
        <v>0.63992690058479529</v>
      </c>
      <c r="L97" s="319"/>
      <c r="M97" s="93">
        <f t="shared" si="28"/>
        <v>2.7467450824029762</v>
      </c>
      <c r="N97" s="110"/>
      <c r="O97" s="108"/>
      <c r="P97" s="93">
        <f>F97/'Economic Model'!C$30</f>
        <v>2.2042188805346705</v>
      </c>
      <c r="Q97" s="93">
        <f>G97/1000*'Economic Model'!C$34</f>
        <v>9.9000000000000005E-2</v>
      </c>
      <c r="R97" s="93">
        <f>('Economic Model'!H$44+'Economic Model'!H$53)/100</f>
        <v>0.21939999999999998</v>
      </c>
      <c r="S97" s="93">
        <f t="shared" si="29"/>
        <v>2.5226188805346705</v>
      </c>
      <c r="T97" s="93">
        <f>'Economic Model'!H$60/100</f>
        <v>0.19624601212121212</v>
      </c>
      <c r="U97" s="93">
        <f t="shared" si="30"/>
        <v>2.7188648926558825</v>
      </c>
      <c r="V97" s="93">
        <f t="shared" si="40"/>
        <v>2.0789379920710873</v>
      </c>
      <c r="W97" s="105"/>
      <c r="X97" s="93"/>
      <c r="Y97" s="93">
        <f>M97-P97-Q97-('Economic Model'!H$50/100)</f>
        <v>0.40502620186830574</v>
      </c>
      <c r="Z97" s="93">
        <f t="shared" si="31"/>
        <v>0.22412620186830567</v>
      </c>
      <c r="AA97" s="93">
        <f t="shared" si="32"/>
        <v>2.788018974709372E-2</v>
      </c>
      <c r="AB97" s="80"/>
      <c r="AC97" s="15"/>
      <c r="AD97" s="81"/>
      <c r="AE97" s="93">
        <f>'Returns per Bu.'!AD97/'Economic Model'!C$30</f>
        <v>0.43655650754793962</v>
      </c>
      <c r="AF97" s="93">
        <f t="shared" si="33"/>
        <v>0.97559159526723782</v>
      </c>
      <c r="AG97" s="93">
        <f>'Returns per Bu.'!AF97/'Economic Model'!C$30</f>
        <v>1.4121481028151774</v>
      </c>
      <c r="AH97" s="105"/>
      <c r="AI97" s="104"/>
      <c r="AJ97" s="93">
        <f t="shared" si="34"/>
        <v>1.7305481028151775</v>
      </c>
      <c r="AK97" s="93">
        <f t="shared" si="35"/>
        <v>1.9267941149363896</v>
      </c>
      <c r="AL97" s="105"/>
      <c r="AM97" s="93"/>
      <c r="AN97" s="93">
        <f t="shared" si="36"/>
        <v>1.0161969795877988</v>
      </c>
      <c r="AO97" s="93">
        <f t="shared" si="37"/>
        <v>0.81995096746658658</v>
      </c>
      <c r="AP97" s="93">
        <f t="shared" si="38"/>
        <v>2.7880189747093498E-2</v>
      </c>
      <c r="AQ97" s="93">
        <f t="shared" si="39"/>
        <v>0.79207077771949308</v>
      </c>
      <c r="AR97" s="52"/>
    </row>
    <row r="98" spans="1:44" hidden="1" x14ac:dyDescent="0.2">
      <c r="A98" s="8">
        <v>41061</v>
      </c>
      <c r="C98" s="93">
        <f>Data!D91+'Economic Model'!C$65</f>
        <v>2.0019047619047625</v>
      </c>
      <c r="D98" s="95">
        <f>Data!E91+'Economic Model'!C$66</f>
        <v>215.92261904761904</v>
      </c>
      <c r="E98" s="323"/>
      <c r="F98" s="93">
        <f>Data!G91+'Economic Model'!C$68</f>
        <v>6.2605511904761908</v>
      </c>
      <c r="G98" s="96">
        <f>Data!H91+'Economic Model'!C$69</f>
        <v>3.5</v>
      </c>
      <c r="H98" s="85"/>
      <c r="I98" s="16"/>
      <c r="J98" s="93">
        <f t="shared" si="27"/>
        <v>2.0019047619047625</v>
      </c>
      <c r="K98" s="93">
        <f>D98/2000*('Economic Model'!C$32+0.5)/'Economic Model'!C$30</f>
        <v>0.64019162489557213</v>
      </c>
      <c r="L98" s="319"/>
      <c r="M98" s="93">
        <f t="shared" si="28"/>
        <v>2.6420963868003344</v>
      </c>
      <c r="N98" s="110"/>
      <c r="O98" s="108"/>
      <c r="P98" s="93">
        <f>F98/'Economic Model'!C$30</f>
        <v>2.1966846282372599</v>
      </c>
      <c r="Q98" s="93">
        <f>G98/1000*'Economic Model'!C$34</f>
        <v>0.105</v>
      </c>
      <c r="R98" s="93">
        <f>('Economic Model'!H$44+'Economic Model'!H$53)/100</f>
        <v>0.21939999999999998</v>
      </c>
      <c r="S98" s="93">
        <f t="shared" si="29"/>
        <v>2.5210846282372597</v>
      </c>
      <c r="T98" s="93">
        <f>'Economic Model'!H$60/100</f>
        <v>0.19624601212121212</v>
      </c>
      <c r="U98" s="93">
        <f t="shared" si="30"/>
        <v>2.7173306403584716</v>
      </c>
      <c r="V98" s="93">
        <f t="shared" si="40"/>
        <v>2.0771390154628993</v>
      </c>
      <c r="W98" s="105"/>
      <c r="X98" s="93"/>
      <c r="Y98" s="93">
        <f>M98-P98-Q98-('Economic Model'!H$50/100)</f>
        <v>0.30191175856307462</v>
      </c>
      <c r="Z98" s="93">
        <f t="shared" si="31"/>
        <v>0.12101175856307478</v>
      </c>
      <c r="AA98" s="93">
        <f t="shared" si="32"/>
        <v>-7.5234253558137176E-2</v>
      </c>
      <c r="AB98" s="80"/>
      <c r="AC98" s="15"/>
      <c r="AD98" s="81"/>
      <c r="AE98" s="93">
        <f>'Returns per Bu.'!AD98/'Economic Model'!C$30</f>
        <v>0.43655650754793962</v>
      </c>
      <c r="AF98" s="93">
        <f t="shared" si="33"/>
        <v>0.97559159526723782</v>
      </c>
      <c r="AG98" s="93">
        <f>'Returns per Bu.'!AF98/'Economic Model'!C$30</f>
        <v>1.4121481028151774</v>
      </c>
      <c r="AH98" s="105"/>
      <c r="AI98" s="104"/>
      <c r="AJ98" s="93">
        <f t="shared" si="34"/>
        <v>1.7365481028151775</v>
      </c>
      <c r="AK98" s="93">
        <f t="shared" si="35"/>
        <v>1.9327941149363896</v>
      </c>
      <c r="AL98" s="105"/>
      <c r="AM98" s="93"/>
      <c r="AN98" s="93">
        <f t="shared" si="36"/>
        <v>0.90554828398515697</v>
      </c>
      <c r="AO98" s="93">
        <f t="shared" si="37"/>
        <v>0.70930227186394479</v>
      </c>
      <c r="AP98" s="93">
        <f t="shared" si="38"/>
        <v>-7.523425355813762E-2</v>
      </c>
      <c r="AQ98" s="93">
        <f t="shared" si="39"/>
        <v>0.78453652542208241</v>
      </c>
      <c r="AR98" s="52"/>
    </row>
    <row r="99" spans="1:44" hidden="1" x14ac:dyDescent="0.2">
      <c r="A99" s="8">
        <v>41091</v>
      </c>
      <c r="C99" s="93">
        <f>Data!D92+'Economic Model'!C$65</f>
        <v>2.3859090909090921</v>
      </c>
      <c r="D99" s="95">
        <f>Data!E92+'Economic Model'!C$66</f>
        <v>266.48214285714283</v>
      </c>
      <c r="E99" s="323"/>
      <c r="F99" s="93">
        <f>Data!G92+'Economic Model'!C$68</f>
        <v>7.6082738095238103</v>
      </c>
      <c r="G99" s="96">
        <f>Data!H92+'Economic Model'!C$69</f>
        <v>4.21</v>
      </c>
      <c r="H99" s="85"/>
      <c r="I99" s="16"/>
      <c r="J99" s="93">
        <f t="shared" si="27"/>
        <v>2.3859090909090921</v>
      </c>
      <c r="K99" s="93">
        <f>D99/2000*('Economic Model'!C$32+0.5)/'Economic Model'!C$30</f>
        <v>0.79009617794486209</v>
      </c>
      <c r="L99" s="319"/>
      <c r="M99" s="93">
        <f t="shared" si="28"/>
        <v>3.1760052688539542</v>
      </c>
      <c r="N99" s="110"/>
      <c r="O99" s="108"/>
      <c r="P99" s="93">
        <f>F99/'Economic Model'!C$30</f>
        <v>2.6695697577276527</v>
      </c>
      <c r="Q99" s="93">
        <f>G99/1000*'Economic Model'!C$34</f>
        <v>0.1263</v>
      </c>
      <c r="R99" s="93">
        <f>('Economic Model'!H$44+'Economic Model'!H$53)/100</f>
        <v>0.21939999999999998</v>
      </c>
      <c r="S99" s="93">
        <f t="shared" si="29"/>
        <v>3.0152697577276526</v>
      </c>
      <c r="T99" s="93">
        <f>'Economic Model'!H$60/100</f>
        <v>0.19624601212121212</v>
      </c>
      <c r="U99" s="93">
        <f t="shared" si="30"/>
        <v>3.2115157698488646</v>
      </c>
      <c r="V99" s="93">
        <f t="shared" si="40"/>
        <v>2.4214195919040025</v>
      </c>
      <c r="W99" s="105"/>
      <c r="X99" s="93"/>
      <c r="Y99" s="93">
        <f>M99-P99-Q99-('Economic Model'!H$50/100)</f>
        <v>0.34163551112630153</v>
      </c>
      <c r="Z99" s="93">
        <f t="shared" si="31"/>
        <v>0.16073551112630158</v>
      </c>
      <c r="AA99" s="93">
        <f t="shared" si="32"/>
        <v>-3.5510500994910377E-2</v>
      </c>
      <c r="AB99" s="80"/>
      <c r="AC99" s="15"/>
      <c r="AD99" s="81"/>
      <c r="AE99" s="93">
        <f>'Returns per Bu.'!AD99/'Economic Model'!C$30</f>
        <v>0.43655650754793962</v>
      </c>
      <c r="AF99" s="93">
        <f t="shared" si="33"/>
        <v>0.97559159526723782</v>
      </c>
      <c r="AG99" s="93">
        <f>'Returns per Bu.'!AF99/'Economic Model'!C$30</f>
        <v>1.4121481028151774</v>
      </c>
      <c r="AH99" s="105"/>
      <c r="AI99" s="104"/>
      <c r="AJ99" s="93">
        <f t="shared" si="34"/>
        <v>1.7578481028151776</v>
      </c>
      <c r="AK99" s="93">
        <f t="shared" si="35"/>
        <v>1.9540941149363897</v>
      </c>
      <c r="AL99" s="105"/>
      <c r="AM99" s="93"/>
      <c r="AN99" s="93">
        <f t="shared" si="36"/>
        <v>1.4181571660387766</v>
      </c>
      <c r="AO99" s="93">
        <f t="shared" si="37"/>
        <v>1.2219111539175644</v>
      </c>
      <c r="AP99" s="93">
        <f t="shared" si="38"/>
        <v>-3.5510500994910821E-2</v>
      </c>
      <c r="AQ99" s="93">
        <f t="shared" si="39"/>
        <v>1.2574216549124753</v>
      </c>
      <c r="AR99" s="52"/>
    </row>
    <row r="100" spans="1:44" hidden="1" x14ac:dyDescent="0.2">
      <c r="A100" s="182">
        <v>41122</v>
      </c>
      <c r="B100" s="27"/>
      <c r="C100" s="93">
        <f>Data!D93+'Economic Model'!C$65</f>
        <v>2.531739130434782</v>
      </c>
      <c r="D100" s="95">
        <f>Data!E93+'Economic Model'!C$66</f>
        <v>298.80978260869563</v>
      </c>
      <c r="E100" s="323"/>
      <c r="F100" s="93">
        <f>Data!G93+'Economic Model'!C$68</f>
        <v>8.148994565217393</v>
      </c>
      <c r="G100" s="96">
        <f>Data!H93+'Economic Model'!C$69</f>
        <v>4.26</v>
      </c>
      <c r="H100" s="85"/>
      <c r="I100" s="16"/>
      <c r="J100" s="93">
        <f t="shared" si="27"/>
        <v>2.531739130434782</v>
      </c>
      <c r="K100" s="93">
        <f>D100/2000*('Economic Model'!C$32+0.5)/'Economic Model'!C$30</f>
        <v>0.88594479405034299</v>
      </c>
      <c r="L100" s="319"/>
      <c r="M100" s="93">
        <f t="shared" si="28"/>
        <v>3.4176839244851251</v>
      </c>
      <c r="N100" s="110"/>
      <c r="O100" s="108"/>
      <c r="P100" s="93">
        <f>F100/'Economic Model'!C$30</f>
        <v>2.8592963386727694</v>
      </c>
      <c r="Q100" s="93">
        <f>G100/1000*'Economic Model'!C$34</f>
        <v>0.1278</v>
      </c>
      <c r="R100" s="93">
        <f>('Economic Model'!H$44+'Economic Model'!H$53)/100</f>
        <v>0.21939999999999998</v>
      </c>
      <c r="S100" s="93">
        <f t="shared" si="29"/>
        <v>3.2064963386727694</v>
      </c>
      <c r="T100" s="93">
        <f>'Economic Model'!H$60/100</f>
        <v>0.19624601212121212</v>
      </c>
      <c r="U100" s="93">
        <f t="shared" si="30"/>
        <v>3.4027423507939814</v>
      </c>
      <c r="V100" s="93">
        <f t="shared" si="40"/>
        <v>2.5167975567436383</v>
      </c>
      <c r="W100" s="105"/>
      <c r="X100" s="93"/>
      <c r="Y100" s="93">
        <f>M100-P100-Q100-('Economic Model'!H$50/100)</f>
        <v>0.3920875858123557</v>
      </c>
      <c r="Z100" s="93">
        <f t="shared" si="31"/>
        <v>0.21118758581235575</v>
      </c>
      <c r="AA100" s="93">
        <f t="shared" si="32"/>
        <v>1.4941573691143795E-2</v>
      </c>
      <c r="AB100" s="80"/>
      <c r="AC100" s="15"/>
      <c r="AD100" s="81"/>
      <c r="AE100" s="93">
        <f>'Returns per Bu.'!AD100/'Economic Model'!C$30</f>
        <v>0.43655650754793962</v>
      </c>
      <c r="AF100" s="93">
        <f t="shared" si="33"/>
        <v>0.97559159526723782</v>
      </c>
      <c r="AG100" s="93">
        <f>'Returns per Bu.'!AF100/'Economic Model'!C$30</f>
        <v>1.4121481028151774</v>
      </c>
      <c r="AH100" s="105"/>
      <c r="AI100" s="104"/>
      <c r="AJ100" s="93">
        <f t="shared" si="34"/>
        <v>1.7593481028151774</v>
      </c>
      <c r="AK100" s="93">
        <f t="shared" si="35"/>
        <v>1.9555941149363896</v>
      </c>
      <c r="AL100" s="105"/>
      <c r="AM100" s="93"/>
      <c r="AN100" s="93">
        <f t="shared" si="36"/>
        <v>1.6583358216699478</v>
      </c>
      <c r="AO100" s="93">
        <f t="shared" si="37"/>
        <v>1.4620898095487356</v>
      </c>
      <c r="AP100" s="93">
        <f t="shared" si="38"/>
        <v>1.4941573691143573E-2</v>
      </c>
      <c r="AQ100" s="93">
        <f t="shared" si="39"/>
        <v>1.447148235857592</v>
      </c>
      <c r="AR100" s="52"/>
    </row>
    <row r="101" spans="1:44" hidden="1" x14ac:dyDescent="0.2">
      <c r="A101" s="8">
        <v>41153</v>
      </c>
      <c r="B101" s="27"/>
      <c r="C101" s="93">
        <f>Data!D94+'Economic Model'!C$65</f>
        <v>2.4042499999999993</v>
      </c>
      <c r="D101" s="95">
        <f>Data!E94+'Economic Model'!C$66</f>
        <v>280.43421052631578</v>
      </c>
      <c r="E101" s="323"/>
      <c r="F101" s="93">
        <f>Data!G94+'Economic Model'!C$68</f>
        <v>7.6269730263157882</v>
      </c>
      <c r="G101" s="96">
        <f>Data!H94+'Economic Model'!C$69</f>
        <v>4.34</v>
      </c>
      <c r="H101" s="85"/>
      <c r="I101" s="16"/>
      <c r="J101" s="93">
        <f t="shared" si="27"/>
        <v>2.4042499999999993</v>
      </c>
      <c r="K101" s="93">
        <f>D101/2000*('Economic Model'!C$32+0.5)/'Economic Model'!C$30</f>
        <v>0.83146283471837479</v>
      </c>
      <c r="L101" s="319"/>
      <c r="M101" s="93">
        <f t="shared" si="28"/>
        <v>3.2357128347183739</v>
      </c>
      <c r="N101" s="110"/>
      <c r="O101" s="108"/>
      <c r="P101" s="93">
        <f>F101/'Economic Model'!C$30</f>
        <v>2.6761308864265922</v>
      </c>
      <c r="Q101" s="93">
        <f>G101/1000*'Economic Model'!C$34</f>
        <v>0.13020000000000001</v>
      </c>
      <c r="R101" s="93">
        <f>('Economic Model'!H$44+'Economic Model'!H$53)/100</f>
        <v>0.21939999999999998</v>
      </c>
      <c r="S101" s="93">
        <f t="shared" si="29"/>
        <v>3.0257308864265919</v>
      </c>
      <c r="T101" s="93">
        <f>'Economic Model'!H$60/100</f>
        <v>0.19624601212121212</v>
      </c>
      <c r="U101" s="93">
        <f t="shared" si="30"/>
        <v>3.2219768985478039</v>
      </c>
      <c r="V101" s="93">
        <f t="shared" si="40"/>
        <v>2.3905140638294293</v>
      </c>
      <c r="W101" s="105"/>
      <c r="X101" s="93"/>
      <c r="Y101" s="93">
        <f>M101-P101-Q101-('Economic Model'!H$50/100)</f>
        <v>0.39088194829178169</v>
      </c>
      <c r="Z101" s="93">
        <f t="shared" si="31"/>
        <v>0.20998194829178196</v>
      </c>
      <c r="AA101" s="93">
        <f t="shared" si="32"/>
        <v>1.3735936170570007E-2</v>
      </c>
      <c r="AB101" s="80"/>
      <c r="AC101" s="15"/>
      <c r="AD101" s="81"/>
      <c r="AE101" s="93">
        <f>'Returns per Bu.'!AD101/'Economic Model'!C$30</f>
        <v>0.6454091432961967</v>
      </c>
      <c r="AF101" s="93">
        <f t="shared" si="33"/>
        <v>1.3040145985401459</v>
      </c>
      <c r="AG101" s="93">
        <f>'Returns per Bu.'!AF101/'Economic Model'!C$30</f>
        <v>1.9494237418363425</v>
      </c>
      <c r="AH101" s="105"/>
      <c r="AI101" s="104"/>
      <c r="AJ101" s="93">
        <f t="shared" si="34"/>
        <v>2.2990237418363422</v>
      </c>
      <c r="AK101" s="93">
        <f t="shared" si="35"/>
        <v>2.4952697539575541</v>
      </c>
      <c r="AL101" s="105"/>
      <c r="AM101" s="93"/>
      <c r="AN101" s="93">
        <f t="shared" si="36"/>
        <v>0.93668909288203173</v>
      </c>
      <c r="AO101" s="93">
        <f t="shared" si="37"/>
        <v>0.74044308076081977</v>
      </c>
      <c r="AP101" s="93">
        <f t="shared" si="38"/>
        <v>1.3735936170570007E-2</v>
      </c>
      <c r="AQ101" s="93">
        <f t="shared" si="39"/>
        <v>0.72670714459024977</v>
      </c>
      <c r="AR101" s="52"/>
    </row>
    <row r="102" spans="1:44" hidden="1" x14ac:dyDescent="0.2">
      <c r="A102" s="182">
        <v>41183</v>
      </c>
      <c r="B102" s="27"/>
      <c r="C102" s="93">
        <f>Data!D95+'Economic Model'!C$65</f>
        <v>2.2963043478260876</v>
      </c>
      <c r="D102" s="95">
        <f>Data!E95+'Economic Model'!C$66</f>
        <v>271.25543478260869</v>
      </c>
      <c r="E102" s="323"/>
      <c r="F102" s="93">
        <f>Data!G95+'Economic Model'!C$68</f>
        <v>7.5056521739130462</v>
      </c>
      <c r="G102" s="96">
        <f>Data!H95+'Economic Model'!C$69</f>
        <v>4.21</v>
      </c>
      <c r="H102" s="85"/>
      <c r="I102" s="16"/>
      <c r="J102" s="93">
        <f t="shared" si="27"/>
        <v>2.2963043478260876</v>
      </c>
      <c r="K102" s="93">
        <f>D102/2000*('Economic Model'!C$32+0.5)/'Economic Model'!C$30</f>
        <v>0.80424856979405024</v>
      </c>
      <c r="L102" s="319"/>
      <c r="M102" s="93">
        <f t="shared" si="28"/>
        <v>3.1005529176201376</v>
      </c>
      <c r="N102" s="110"/>
      <c r="O102" s="108"/>
      <c r="P102" s="93">
        <f>F102/'Economic Model'!C$30</f>
        <v>2.6335621662852793</v>
      </c>
      <c r="Q102" s="93">
        <f>G102/1000*'Economic Model'!C$34</f>
        <v>0.1263</v>
      </c>
      <c r="R102" s="93">
        <f>('Economic Model'!H$44+'Economic Model'!H$53)/100</f>
        <v>0.21939999999999998</v>
      </c>
      <c r="S102" s="93">
        <f t="shared" si="29"/>
        <v>2.9792621662852792</v>
      </c>
      <c r="T102" s="93">
        <f>'Economic Model'!H$60/100</f>
        <v>0.19624601212121212</v>
      </c>
      <c r="U102" s="93">
        <f t="shared" si="30"/>
        <v>3.1755081784064911</v>
      </c>
      <c r="V102" s="93">
        <f t="shared" si="40"/>
        <v>2.3712596086124407</v>
      </c>
      <c r="W102" s="105"/>
      <c r="X102" s="93"/>
      <c r="Y102" s="93">
        <f>M102-P102-Q102-('Economic Model'!H$50/100)</f>
        <v>0.3021907513348584</v>
      </c>
      <c r="Z102" s="93">
        <f t="shared" si="31"/>
        <v>0.12129075133485845</v>
      </c>
      <c r="AA102" s="93">
        <f t="shared" si="32"/>
        <v>-7.4955260786353506E-2</v>
      </c>
      <c r="AB102" s="80"/>
      <c r="AC102" s="15"/>
      <c r="AD102" s="81"/>
      <c r="AE102" s="93">
        <f>'Returns per Bu.'!AD102/'Economic Model'!C$30</f>
        <v>0.6454091432961967</v>
      </c>
      <c r="AF102" s="93">
        <f t="shared" si="33"/>
        <v>1.3040145985401459</v>
      </c>
      <c r="AG102" s="93">
        <f>'Returns per Bu.'!AF102/'Economic Model'!C$30</f>
        <v>1.9494237418363425</v>
      </c>
      <c r="AH102" s="105"/>
      <c r="AI102" s="104"/>
      <c r="AJ102" s="93">
        <f t="shared" si="34"/>
        <v>2.2951237418363424</v>
      </c>
      <c r="AK102" s="93">
        <f t="shared" si="35"/>
        <v>2.4913697539575543</v>
      </c>
      <c r="AL102" s="105"/>
      <c r="AM102" s="93"/>
      <c r="AN102" s="93">
        <f t="shared" si="36"/>
        <v>0.80542917578379525</v>
      </c>
      <c r="AO102" s="93">
        <f t="shared" si="37"/>
        <v>0.60918316366258329</v>
      </c>
      <c r="AP102" s="93">
        <f t="shared" si="38"/>
        <v>-7.4955260786353506E-2</v>
      </c>
      <c r="AQ102" s="93">
        <f t="shared" si="39"/>
        <v>0.6841384244489368</v>
      </c>
      <c r="AR102" s="52"/>
    </row>
    <row r="103" spans="1:44" hidden="1" x14ac:dyDescent="0.2">
      <c r="A103" s="8">
        <v>41214</v>
      </c>
      <c r="B103" s="27"/>
      <c r="C103" s="93">
        <f>Data!D96+'Economic Model'!C$65</f>
        <v>2.3036363636363628</v>
      </c>
      <c r="D103" s="95">
        <f>Data!E96+'Economic Model'!C$66</f>
        <v>261.14999999999998</v>
      </c>
      <c r="E103" s="323"/>
      <c r="F103" s="93">
        <f>Data!G96+'Economic Model'!C$68</f>
        <v>7.5010937500000026</v>
      </c>
      <c r="G103" s="96">
        <f>Data!H96+'Economic Model'!C$69</f>
        <v>5.4</v>
      </c>
      <c r="H103" s="85"/>
      <c r="I103" s="16"/>
      <c r="J103" s="93">
        <f t="shared" si="27"/>
        <v>2.3036363636363628</v>
      </c>
      <c r="K103" s="93">
        <f>D103/2000*('Economic Model'!C$32+0.5)/'Economic Model'!C$30</f>
        <v>0.77428684210526311</v>
      </c>
      <c r="L103" s="319"/>
      <c r="M103" s="93">
        <f t="shared" si="28"/>
        <v>3.0779232057416257</v>
      </c>
      <c r="N103" s="110"/>
      <c r="O103" s="108"/>
      <c r="P103" s="93">
        <f>F103/'Economic Model'!C$30</f>
        <v>2.6319627192982464</v>
      </c>
      <c r="Q103" s="93">
        <f>G103/1000*'Economic Model'!C$34</f>
        <v>0.16200000000000001</v>
      </c>
      <c r="R103" s="93">
        <f>('Economic Model'!H$44+'Economic Model'!H$53)/100</f>
        <v>0.21939999999999998</v>
      </c>
      <c r="S103" s="93">
        <f t="shared" si="29"/>
        <v>3.0133627192982462</v>
      </c>
      <c r="T103" s="93">
        <f>'Economic Model'!H$60/100</f>
        <v>0.19624601212121212</v>
      </c>
      <c r="U103" s="93">
        <f t="shared" si="30"/>
        <v>3.2096087314194581</v>
      </c>
      <c r="V103" s="93">
        <f t="shared" si="40"/>
        <v>2.4353218893141948</v>
      </c>
      <c r="W103" s="105"/>
      <c r="X103" s="93"/>
      <c r="Y103" s="93">
        <f>M103-P103-Q103-('Economic Model'!H$50/100)</f>
        <v>0.24546048644337923</v>
      </c>
      <c r="Z103" s="93">
        <f t="shared" si="31"/>
        <v>6.4560486443379528E-2</v>
      </c>
      <c r="AA103" s="93">
        <f t="shared" si="32"/>
        <v>-0.13168552567783243</v>
      </c>
      <c r="AB103" s="80"/>
      <c r="AC103" s="15"/>
      <c r="AD103" s="81"/>
      <c r="AE103" s="93">
        <f>'Returns per Bu.'!AD103/'Economic Model'!C$30</f>
        <v>0.6454091432961967</v>
      </c>
      <c r="AF103" s="93">
        <f t="shared" si="33"/>
        <v>1.3040145985401459</v>
      </c>
      <c r="AG103" s="93">
        <f>'Returns per Bu.'!AF103/'Economic Model'!C$30</f>
        <v>1.9494237418363425</v>
      </c>
      <c r="AH103" s="105"/>
      <c r="AI103" s="104"/>
      <c r="AJ103" s="93">
        <f t="shared" si="34"/>
        <v>2.3308237418363422</v>
      </c>
      <c r="AK103" s="93">
        <f t="shared" si="35"/>
        <v>2.5270697539575542</v>
      </c>
      <c r="AL103" s="105"/>
      <c r="AM103" s="93"/>
      <c r="AN103" s="93">
        <f t="shared" si="36"/>
        <v>0.74709946390528348</v>
      </c>
      <c r="AO103" s="93">
        <f t="shared" si="37"/>
        <v>0.55085345178407152</v>
      </c>
      <c r="AP103" s="93">
        <f t="shared" si="38"/>
        <v>-0.13168552567783243</v>
      </c>
      <c r="AQ103" s="93">
        <f t="shared" si="39"/>
        <v>0.68253897746190395</v>
      </c>
      <c r="AR103" s="52"/>
    </row>
    <row r="104" spans="1:44" hidden="1" x14ac:dyDescent="0.2">
      <c r="A104" s="68">
        <v>41244</v>
      </c>
      <c r="B104" s="29"/>
      <c r="C104" s="97">
        <f>Data!D97+'Economic Model'!C$65</f>
        <v>2.2528571428571431</v>
      </c>
      <c r="D104" s="99">
        <f>Data!E97+'Economic Model'!C$66</f>
        <v>255.41447368421052</v>
      </c>
      <c r="E104" s="324"/>
      <c r="F104" s="97">
        <f>Data!G97+'Economic Model'!C$68</f>
        <v>7.3563486842105279</v>
      </c>
      <c r="G104" s="100">
        <f>Data!H97+'Economic Model'!C$69</f>
        <v>5.75</v>
      </c>
      <c r="H104" s="87"/>
      <c r="I104" s="71"/>
      <c r="J104" s="97">
        <f t="shared" si="27"/>
        <v>2.2528571428571431</v>
      </c>
      <c r="K104" s="97">
        <f>D104/2000*('Economic Model'!C$32+0.5)/'Economic Model'!C$30</f>
        <v>0.75728150969529073</v>
      </c>
      <c r="L104" s="320"/>
      <c r="M104" s="97">
        <f t="shared" si="28"/>
        <v>3.0101386525524338</v>
      </c>
      <c r="N104" s="113"/>
      <c r="O104" s="111"/>
      <c r="P104" s="97">
        <f>F104/'Economic Model'!C$30</f>
        <v>2.5811749769159746</v>
      </c>
      <c r="Q104" s="97">
        <f>G104/1000*'Economic Model'!C$34</f>
        <v>0.17249999999999999</v>
      </c>
      <c r="R104" s="97">
        <f>('Economic Model'!H$44+'Economic Model'!H$53)/100</f>
        <v>0.21939999999999998</v>
      </c>
      <c r="S104" s="97">
        <f t="shared" si="29"/>
        <v>2.9730749769159743</v>
      </c>
      <c r="T104" s="97">
        <f>'Economic Model'!H$60/100</f>
        <v>0.19624601212121212</v>
      </c>
      <c r="U104" s="97">
        <f t="shared" si="30"/>
        <v>3.1693209890371863</v>
      </c>
      <c r="V104" s="97">
        <f t="shared" si="40"/>
        <v>2.4120394793418956</v>
      </c>
      <c r="W104" s="107"/>
      <c r="X104" s="97"/>
      <c r="Y104" s="97">
        <f>M104-P104-Q104-('Economic Model'!H$50/100)</f>
        <v>0.21796367563645921</v>
      </c>
      <c r="Z104" s="97">
        <f t="shared" si="31"/>
        <v>3.7063675636459514E-2</v>
      </c>
      <c r="AA104" s="97">
        <f t="shared" si="32"/>
        <v>-0.15918233648475244</v>
      </c>
      <c r="AB104" s="82"/>
      <c r="AC104" s="65"/>
      <c r="AD104" s="83"/>
      <c r="AE104" s="97">
        <f>'Returns per Bu.'!AD104/'Economic Model'!C$30</f>
        <v>0.6454091432961967</v>
      </c>
      <c r="AF104" s="97">
        <f t="shared" si="33"/>
        <v>1.3040145985401459</v>
      </c>
      <c r="AG104" s="97">
        <f>'Returns per Bu.'!AF104/'Economic Model'!C$30</f>
        <v>1.9494237418363425</v>
      </c>
      <c r="AH104" s="107"/>
      <c r="AI104" s="106"/>
      <c r="AJ104" s="97">
        <f t="shared" si="34"/>
        <v>2.3413237418363422</v>
      </c>
      <c r="AK104" s="97">
        <f t="shared" si="35"/>
        <v>2.5375697539575541</v>
      </c>
      <c r="AL104" s="107"/>
      <c r="AM104" s="97"/>
      <c r="AN104" s="97">
        <f t="shared" si="36"/>
        <v>0.66881491071609167</v>
      </c>
      <c r="AO104" s="97">
        <f t="shared" si="37"/>
        <v>0.47256889859487972</v>
      </c>
      <c r="AP104" s="97">
        <f t="shared" si="38"/>
        <v>-0.15918233648475244</v>
      </c>
      <c r="AQ104" s="97">
        <f t="shared" si="39"/>
        <v>0.63175123507963216</v>
      </c>
      <c r="AR104" s="64"/>
    </row>
    <row r="105" spans="1:44" hidden="1" x14ac:dyDescent="0.2">
      <c r="A105" s="21">
        <v>41275</v>
      </c>
      <c r="B105" s="27"/>
      <c r="C105" s="93">
        <f>Data!D98+'Economic Model'!C$65</f>
        <v>2.1967391304347825</v>
      </c>
      <c r="D105" s="95">
        <f>Data!E98+'Economic Model'!C$66</f>
        <v>257.64285714285717</v>
      </c>
      <c r="E105" s="323"/>
      <c r="F105" s="93">
        <f>Data!G98+'Economic Model'!C$68</f>
        <v>7.2666666666666702</v>
      </c>
      <c r="G105" s="96">
        <f>Data!H98+'Economic Model'!C$69</f>
        <v>5.62</v>
      </c>
      <c r="H105" s="85"/>
      <c r="I105" s="16"/>
      <c r="J105" s="93">
        <f t="shared" ref="J105:J136" si="41">C105</f>
        <v>2.1967391304347825</v>
      </c>
      <c r="K105" s="93">
        <f>D105/2000*('Economic Model'!C$32+0.5)/'Economic Model'!C$30</f>
        <v>0.76388847117794489</v>
      </c>
      <c r="L105" s="319"/>
      <c r="M105" s="93">
        <f t="shared" ref="M105:M140" si="42">J105+K105</f>
        <v>2.9606276016127273</v>
      </c>
      <c r="N105" s="110"/>
      <c r="O105" s="108"/>
      <c r="P105" s="93">
        <f>F105/'Economic Model'!C$30</f>
        <v>2.5497076023391823</v>
      </c>
      <c r="Q105" s="93">
        <f>G105/1000*'Economic Model'!C$34</f>
        <v>0.1686</v>
      </c>
      <c r="R105" s="93">
        <f>('Economic Model'!H$44+'Economic Model'!H$53)/100</f>
        <v>0.21939999999999998</v>
      </c>
      <c r="S105" s="93">
        <f t="shared" ref="S105:S136" si="43">P105+Q105+R105</f>
        <v>2.9377076023391822</v>
      </c>
      <c r="T105" s="93">
        <f>'Economic Model'!H$60/100</f>
        <v>0.19624601212121212</v>
      </c>
      <c r="U105" s="93">
        <f t="shared" ref="U105:U136" si="44">S105+T105</f>
        <v>3.1339536144603941</v>
      </c>
      <c r="V105" s="93">
        <f t="shared" si="40"/>
        <v>2.3700651432824493</v>
      </c>
      <c r="W105" s="105"/>
      <c r="X105" s="93"/>
      <c r="Y105" s="93">
        <f>M105-P105-Q105-('Economic Model'!H$50/100)</f>
        <v>0.20381999927354505</v>
      </c>
      <c r="Z105" s="93">
        <f t="shared" ref="Z105:Z136" si="45">M105-S105</f>
        <v>2.2919999273545155E-2</v>
      </c>
      <c r="AA105" s="93">
        <f t="shared" ref="AA105:AA136" si="46">M105-U105</f>
        <v>-0.1733260128476668</v>
      </c>
      <c r="AB105" s="80"/>
      <c r="AC105" s="15"/>
      <c r="AD105" s="81"/>
      <c r="AE105" s="93">
        <f>'Returns per Bu.'!AD105/'Economic Model'!C$30</f>
        <v>0.6454091432961967</v>
      </c>
      <c r="AF105" s="93">
        <f t="shared" ref="AF105:AF136" si="47">AG105-AE105</f>
        <v>1.3040145985401459</v>
      </c>
      <c r="AG105" s="93">
        <f>'Returns per Bu.'!AF105/'Economic Model'!C$30</f>
        <v>1.9494237418363425</v>
      </c>
      <c r="AH105" s="105"/>
      <c r="AI105" s="104"/>
      <c r="AJ105" s="93">
        <f t="shared" ref="AJ105:AJ136" si="48">AG105+Q105+R105</f>
        <v>2.3374237418363424</v>
      </c>
      <c r="AK105" s="93">
        <f t="shared" ref="AK105:AK136" si="49">T105+AJ105</f>
        <v>2.5336697539575543</v>
      </c>
      <c r="AL105" s="105"/>
      <c r="AM105" s="93"/>
      <c r="AN105" s="93">
        <f t="shared" ref="AN105:AN136" si="50">M105-AJ105</f>
        <v>0.62320385977638493</v>
      </c>
      <c r="AO105" s="93">
        <f t="shared" ref="AO105:AO136" si="51">M105-AK105</f>
        <v>0.42695784765517297</v>
      </c>
      <c r="AP105" s="93">
        <f t="shared" ref="AP105:AP136" si="52">AO105-AQ105</f>
        <v>-0.1733260128476668</v>
      </c>
      <c r="AQ105" s="93">
        <f t="shared" ref="AQ105:AQ136" si="53">P105-AG105</f>
        <v>0.60028386050283977</v>
      </c>
      <c r="AR105" s="52"/>
    </row>
    <row r="106" spans="1:44" hidden="1" x14ac:dyDescent="0.2">
      <c r="A106" s="182">
        <v>41306</v>
      </c>
      <c r="B106" s="27"/>
      <c r="C106" s="93">
        <f>Data!D99+'Economic Model'!C$65</f>
        <v>2.3287499999999985</v>
      </c>
      <c r="D106" s="95">
        <f>Data!E99+'Economic Model'!C$66</f>
        <v>265.57894736842104</v>
      </c>
      <c r="E106" s="323"/>
      <c r="F106" s="93">
        <f>Data!G99+'Economic Model'!C$68</f>
        <v>7.2592105263157913</v>
      </c>
      <c r="G106" s="96">
        <f>Data!H99+'Economic Model'!C$69</f>
        <v>5.56</v>
      </c>
      <c r="H106" s="85"/>
      <c r="I106" s="16"/>
      <c r="J106" s="93">
        <f t="shared" si="41"/>
        <v>2.3287499999999985</v>
      </c>
      <c r="K106" s="93">
        <f>D106/2000*('Economic Model'!C$32+0.5)/'Economic Model'!C$30</f>
        <v>0.78741828254847623</v>
      </c>
      <c r="L106" s="319"/>
      <c r="M106" s="93">
        <f t="shared" si="42"/>
        <v>3.1161682825484749</v>
      </c>
      <c r="N106" s="110"/>
      <c r="O106" s="108"/>
      <c r="P106" s="93">
        <f>F106/'Economic Model'!C$30</f>
        <v>2.5470914127423829</v>
      </c>
      <c r="Q106" s="93">
        <f>G106/1000*'Economic Model'!C$34</f>
        <v>0.1668</v>
      </c>
      <c r="R106" s="93">
        <f>('Economic Model'!H$44+'Economic Model'!H$53)/100</f>
        <v>0.21939999999999998</v>
      </c>
      <c r="S106" s="93">
        <f t="shared" si="43"/>
        <v>2.9332914127423826</v>
      </c>
      <c r="T106" s="93">
        <f>'Economic Model'!H$60/100</f>
        <v>0.19624601212121212</v>
      </c>
      <c r="U106" s="93">
        <f t="shared" si="44"/>
        <v>3.1295374248635945</v>
      </c>
      <c r="V106" s="93">
        <f t="shared" si="40"/>
        <v>2.3421191423151182</v>
      </c>
      <c r="W106" s="105"/>
      <c r="X106" s="93"/>
      <c r="Y106" s="93">
        <f>M106-P106-Q106-('Economic Model'!H$50/100)</f>
        <v>0.36377686980609197</v>
      </c>
      <c r="Z106" s="93">
        <f t="shared" si="45"/>
        <v>0.1828768698060923</v>
      </c>
      <c r="AA106" s="93">
        <f t="shared" si="46"/>
        <v>-1.3369142315119653E-2</v>
      </c>
      <c r="AB106" s="80"/>
      <c r="AC106" s="15"/>
      <c r="AD106" s="81"/>
      <c r="AE106" s="93">
        <f>'Returns per Bu.'!AD106/'Economic Model'!C$30</f>
        <v>0.6454091432961967</v>
      </c>
      <c r="AF106" s="93">
        <f t="shared" si="47"/>
        <v>1.3040145985401459</v>
      </c>
      <c r="AG106" s="93">
        <f>'Returns per Bu.'!AF106/'Economic Model'!C$30</f>
        <v>1.9494237418363425</v>
      </c>
      <c r="AH106" s="105"/>
      <c r="AI106" s="104"/>
      <c r="AJ106" s="93">
        <f t="shared" si="48"/>
        <v>2.3356237418363421</v>
      </c>
      <c r="AK106" s="93">
        <f t="shared" si="49"/>
        <v>2.5318697539575541</v>
      </c>
      <c r="AL106" s="105"/>
      <c r="AM106" s="93"/>
      <c r="AN106" s="93">
        <f t="shared" si="50"/>
        <v>0.78054454071213275</v>
      </c>
      <c r="AO106" s="93">
        <f t="shared" si="51"/>
        <v>0.5842985285909208</v>
      </c>
      <c r="AP106" s="93">
        <f t="shared" si="52"/>
        <v>-1.3369142315119653E-2</v>
      </c>
      <c r="AQ106" s="93">
        <f t="shared" si="53"/>
        <v>0.59766767090604045</v>
      </c>
      <c r="AR106" s="52"/>
    </row>
    <row r="107" spans="1:44" hidden="1" x14ac:dyDescent="0.2">
      <c r="A107" s="8">
        <v>41334</v>
      </c>
      <c r="B107" s="27"/>
      <c r="C107" s="93">
        <f>Data!D100+'Economic Model'!C$65</f>
        <v>2.5190624999999995</v>
      </c>
      <c r="D107" s="95">
        <f>Data!E100+'Economic Model'!C$66</f>
        <v>263.27976190476193</v>
      </c>
      <c r="E107" s="323"/>
      <c r="F107" s="93">
        <f>Data!G100+'Economic Model'!C$68</f>
        <v>7.4420089285714308</v>
      </c>
      <c r="G107" s="96">
        <f>Data!H100+'Economic Model'!C$69</f>
        <v>5.81</v>
      </c>
      <c r="H107" s="85"/>
      <c r="I107" s="16"/>
      <c r="J107" s="93">
        <f t="shared" si="41"/>
        <v>2.5190624999999995</v>
      </c>
      <c r="K107" s="93">
        <f>D107/2000*('Economic Model'!C$32+0.5)/'Economic Model'!C$30</f>
        <v>0.78060139933166239</v>
      </c>
      <c r="L107" s="319"/>
      <c r="M107" s="93">
        <f t="shared" si="42"/>
        <v>3.2996638993316618</v>
      </c>
      <c r="N107" s="110"/>
      <c r="O107" s="108"/>
      <c r="P107" s="93">
        <f>F107/'Economic Model'!C$30</f>
        <v>2.6112312030075193</v>
      </c>
      <c r="Q107" s="93">
        <f>G107/1000*'Economic Model'!C$34</f>
        <v>0.17429999999999998</v>
      </c>
      <c r="R107" s="93">
        <f>('Economic Model'!H$44+'Economic Model'!H$53)/100</f>
        <v>0.21939999999999998</v>
      </c>
      <c r="S107" s="93">
        <f t="shared" si="43"/>
        <v>3.0049312030075193</v>
      </c>
      <c r="T107" s="93">
        <f>'Economic Model'!H$60/100</f>
        <v>0.19624601212121212</v>
      </c>
      <c r="U107" s="93">
        <f t="shared" si="44"/>
        <v>3.2011772151287312</v>
      </c>
      <c r="V107" s="93">
        <f t="shared" si="40"/>
        <v>2.4205758157970689</v>
      </c>
      <c r="W107" s="105"/>
      <c r="X107" s="93"/>
      <c r="Y107" s="93">
        <f>M107-P107-Q107-('Economic Model'!H$50/100)</f>
        <v>0.47563269632414251</v>
      </c>
      <c r="Z107" s="93">
        <f t="shared" si="45"/>
        <v>0.29473269632414256</v>
      </c>
      <c r="AA107" s="93">
        <f t="shared" si="46"/>
        <v>9.8486684202930608E-2</v>
      </c>
      <c r="AB107" s="80"/>
      <c r="AC107" s="15"/>
      <c r="AD107" s="81"/>
      <c r="AE107" s="93">
        <f>'Returns per Bu.'!AD107/'Economic Model'!C$30</f>
        <v>0.6454091432961967</v>
      </c>
      <c r="AF107" s="93">
        <f t="shared" si="47"/>
        <v>1.3040145985401459</v>
      </c>
      <c r="AG107" s="93">
        <f>'Returns per Bu.'!AF107/'Economic Model'!C$30</f>
        <v>1.9494237418363425</v>
      </c>
      <c r="AH107" s="105"/>
      <c r="AI107" s="104"/>
      <c r="AJ107" s="93">
        <f t="shared" si="48"/>
        <v>2.3431237418363424</v>
      </c>
      <c r="AK107" s="93">
        <f t="shared" si="49"/>
        <v>2.5393697539575544</v>
      </c>
      <c r="AL107" s="105"/>
      <c r="AM107" s="93"/>
      <c r="AN107" s="93">
        <f t="shared" si="50"/>
        <v>0.9565401574953194</v>
      </c>
      <c r="AO107" s="93">
        <f t="shared" si="51"/>
        <v>0.76029414537410744</v>
      </c>
      <c r="AP107" s="93">
        <f t="shared" si="52"/>
        <v>9.8486684202930608E-2</v>
      </c>
      <c r="AQ107" s="93">
        <f t="shared" si="53"/>
        <v>0.66180746117117684</v>
      </c>
      <c r="AR107" s="52"/>
    </row>
    <row r="108" spans="1:44" hidden="1" x14ac:dyDescent="0.2">
      <c r="A108" s="182">
        <v>41365</v>
      </c>
      <c r="B108" s="27"/>
      <c r="C108" s="93">
        <f>Data!D101+'Economic Model'!C$65</f>
        <v>2.478409090909091</v>
      </c>
      <c r="D108" s="95">
        <f>Data!E101+'Economic Model'!C$66</f>
        <v>239.83333333333334</v>
      </c>
      <c r="E108" s="323"/>
      <c r="F108" s="93">
        <f>Data!G101+'Economic Model'!C$68</f>
        <v>6.7354761904761915</v>
      </c>
      <c r="G108" s="96">
        <f>Data!H101+'Economic Model'!C$69</f>
        <v>5.21</v>
      </c>
      <c r="H108" s="85"/>
      <c r="I108" s="16"/>
      <c r="J108" s="93">
        <f t="shared" si="41"/>
        <v>2.478409090909091</v>
      </c>
      <c r="K108" s="93">
        <f>D108/2000*('Economic Model'!C$32+0.5)/'Economic Model'!C$30</f>
        <v>0.71108479532163738</v>
      </c>
      <c r="L108" s="319"/>
      <c r="M108" s="93">
        <f t="shared" si="42"/>
        <v>3.1894938862307285</v>
      </c>
      <c r="N108" s="110"/>
      <c r="O108" s="108"/>
      <c r="P108" s="93">
        <f>F108/'Economic Model'!C$30</f>
        <v>2.3633249791144531</v>
      </c>
      <c r="Q108" s="93">
        <f>G108/1000*'Economic Model'!C$34</f>
        <v>0.15629999999999999</v>
      </c>
      <c r="R108" s="93">
        <f>('Economic Model'!H$44+'Economic Model'!H$53)/100</f>
        <v>0.21939999999999998</v>
      </c>
      <c r="S108" s="93">
        <f t="shared" si="43"/>
        <v>2.7390249791144528</v>
      </c>
      <c r="T108" s="93">
        <f>'Economic Model'!H$60/100</f>
        <v>0.19624601212121212</v>
      </c>
      <c r="U108" s="93">
        <f t="shared" si="44"/>
        <v>2.9352709912356647</v>
      </c>
      <c r="V108" s="93">
        <f t="shared" si="40"/>
        <v>2.2241861959140272</v>
      </c>
      <c r="W108" s="105"/>
      <c r="X108" s="93"/>
      <c r="Y108" s="93">
        <f>M108-P108-Q108-('Economic Model'!H$50/100)</f>
        <v>0.63136890711627547</v>
      </c>
      <c r="Z108" s="93">
        <f t="shared" si="45"/>
        <v>0.45046890711627574</v>
      </c>
      <c r="AA108" s="93">
        <f t="shared" si="46"/>
        <v>0.25422289499506379</v>
      </c>
      <c r="AB108" s="80"/>
      <c r="AC108" s="15"/>
      <c r="AD108" s="81"/>
      <c r="AE108" s="93">
        <f>'Returns per Bu.'!AD108/'Economic Model'!C$30</f>
        <v>0.6454091432961967</v>
      </c>
      <c r="AF108" s="93">
        <f t="shared" si="47"/>
        <v>1.3040145985401459</v>
      </c>
      <c r="AG108" s="93">
        <f>'Returns per Bu.'!AF108/'Economic Model'!C$30</f>
        <v>1.9494237418363425</v>
      </c>
      <c r="AH108" s="105"/>
      <c r="AI108" s="104"/>
      <c r="AJ108" s="93">
        <f t="shared" si="48"/>
        <v>2.3251237418363422</v>
      </c>
      <c r="AK108" s="93">
        <f t="shared" si="49"/>
        <v>2.5213697539575541</v>
      </c>
      <c r="AL108" s="105"/>
      <c r="AM108" s="93"/>
      <c r="AN108" s="93">
        <f t="shared" si="50"/>
        <v>0.86437014439438631</v>
      </c>
      <c r="AO108" s="93">
        <f t="shared" si="51"/>
        <v>0.66812413227317435</v>
      </c>
      <c r="AP108" s="93">
        <f t="shared" si="52"/>
        <v>0.25422289499506379</v>
      </c>
      <c r="AQ108" s="93">
        <f t="shared" si="53"/>
        <v>0.41390123727811057</v>
      </c>
      <c r="AR108" s="52"/>
    </row>
    <row r="109" spans="1:44" hidden="1" x14ac:dyDescent="0.2">
      <c r="A109" s="8">
        <v>41395</v>
      </c>
      <c r="B109" s="27"/>
      <c r="C109" s="93">
        <f>Data!D102+'Economic Model'!C$65</f>
        <v>2.5499999999999998</v>
      </c>
      <c r="D109" s="95">
        <f>Data!E102+'Economic Model'!C$66</f>
        <v>223.10227272727272</v>
      </c>
      <c r="E109" s="323"/>
      <c r="F109" s="93">
        <f>Data!G102+'Economic Model'!C$68</f>
        <v>7.03</v>
      </c>
      <c r="G109" s="96">
        <f>Data!H102+'Economic Model'!C$69</f>
        <v>5.35</v>
      </c>
      <c r="H109" s="85"/>
      <c r="I109" s="16"/>
      <c r="J109" s="93">
        <f t="shared" si="41"/>
        <v>2.5499999999999998</v>
      </c>
      <c r="K109" s="93">
        <f>D109/2000*('Economic Model'!C$32+0.5)/'Economic Model'!C$30</f>
        <v>0.66147866826156299</v>
      </c>
      <c r="L109" s="319"/>
      <c r="M109" s="93">
        <f t="shared" si="42"/>
        <v>3.211478668261563</v>
      </c>
      <c r="N109" s="110"/>
      <c r="O109" s="108"/>
      <c r="P109" s="93">
        <f>F109/'Economic Model'!C$30</f>
        <v>2.4666666666666668</v>
      </c>
      <c r="Q109" s="93">
        <f>G109/1000*'Economic Model'!C$34</f>
        <v>0.1605</v>
      </c>
      <c r="R109" s="93">
        <f>('Economic Model'!H$44+'Economic Model'!H$53)/100</f>
        <v>0.21939999999999998</v>
      </c>
      <c r="S109" s="93">
        <f t="shared" si="43"/>
        <v>2.8465666666666665</v>
      </c>
      <c r="T109" s="93">
        <f>'Economic Model'!H$60/100</f>
        <v>0.19624601212121212</v>
      </c>
      <c r="U109" s="93">
        <f t="shared" si="44"/>
        <v>3.0428126787878784</v>
      </c>
      <c r="V109" s="93">
        <f t="shared" si="40"/>
        <v>2.3813340105263157</v>
      </c>
      <c r="W109" s="105"/>
      <c r="X109" s="93"/>
      <c r="Y109" s="93">
        <f>M109-P109-Q109-('Economic Model'!H$50/100)</f>
        <v>0.54581200159489629</v>
      </c>
      <c r="Z109" s="93">
        <f t="shared" si="45"/>
        <v>0.36491200159489656</v>
      </c>
      <c r="AA109" s="93">
        <f t="shared" si="46"/>
        <v>0.16866598947368461</v>
      </c>
      <c r="AB109" s="80"/>
      <c r="AC109" s="15"/>
      <c r="AD109" s="81"/>
      <c r="AE109" s="93">
        <f>'Returns per Bu.'!AD109/'Economic Model'!C$30</f>
        <v>0.6454091432961967</v>
      </c>
      <c r="AF109" s="93">
        <f t="shared" si="47"/>
        <v>1.3040145985401459</v>
      </c>
      <c r="AG109" s="93">
        <f>'Returns per Bu.'!AF109/'Economic Model'!C$30</f>
        <v>1.9494237418363425</v>
      </c>
      <c r="AH109" s="105"/>
      <c r="AI109" s="104"/>
      <c r="AJ109" s="93">
        <f t="shared" si="48"/>
        <v>2.3293237418363422</v>
      </c>
      <c r="AK109" s="93">
        <f t="shared" si="49"/>
        <v>2.5255697539575541</v>
      </c>
      <c r="AL109" s="105"/>
      <c r="AM109" s="93"/>
      <c r="AN109" s="93">
        <f t="shared" si="50"/>
        <v>0.88215492642522086</v>
      </c>
      <c r="AO109" s="93">
        <f t="shared" si="51"/>
        <v>0.68590891430400891</v>
      </c>
      <c r="AP109" s="93">
        <f t="shared" si="52"/>
        <v>0.16866598947368461</v>
      </c>
      <c r="AQ109" s="93">
        <f t="shared" si="53"/>
        <v>0.5172429248303243</v>
      </c>
      <c r="AR109" s="52"/>
    </row>
    <row r="110" spans="1:44" hidden="1" x14ac:dyDescent="0.2">
      <c r="A110" s="182">
        <v>41426</v>
      </c>
      <c r="B110" s="27"/>
      <c r="C110" s="93">
        <f>Data!D103+'Economic Model'!C$65</f>
        <v>2.57</v>
      </c>
      <c r="D110" s="95">
        <f>Data!E103+'Economic Model'!C$66</f>
        <v>229.875</v>
      </c>
      <c r="E110" s="323"/>
      <c r="F110" s="93">
        <f>Data!G103+'Economic Model'!C$68</f>
        <v>7.17</v>
      </c>
      <c r="G110" s="96">
        <f>Data!H103+'Economic Model'!C$69</f>
        <v>5.39</v>
      </c>
      <c r="H110" s="85"/>
      <c r="I110" s="16"/>
      <c r="J110" s="93">
        <f t="shared" si="41"/>
        <v>2.57</v>
      </c>
      <c r="K110" s="93">
        <f>D110/2000*('Economic Model'!C$32+0.5)/'Economic Model'!C$30</f>
        <v>0.68155921052631574</v>
      </c>
      <c r="L110" s="319"/>
      <c r="M110" s="93">
        <f t="shared" si="42"/>
        <v>3.2515592105263158</v>
      </c>
      <c r="N110" s="110"/>
      <c r="O110" s="108"/>
      <c r="P110" s="93">
        <f>F110/'Economic Model'!C$30</f>
        <v>2.5157894736842104</v>
      </c>
      <c r="Q110" s="93">
        <f>G110/1000*'Economic Model'!C$34</f>
        <v>0.16169999999999998</v>
      </c>
      <c r="R110" s="93">
        <f>('Economic Model'!H$44+'Economic Model'!H$53)/100</f>
        <v>0.21939999999999998</v>
      </c>
      <c r="S110" s="93">
        <f t="shared" si="43"/>
        <v>2.8968894736842103</v>
      </c>
      <c r="T110" s="93">
        <f>'Economic Model'!H$60/100</f>
        <v>0.19624601212121212</v>
      </c>
      <c r="U110" s="93">
        <f t="shared" si="44"/>
        <v>3.0931354858054223</v>
      </c>
      <c r="V110" s="93">
        <f t="shared" si="40"/>
        <v>2.4115762752791063</v>
      </c>
      <c r="W110" s="105"/>
      <c r="X110" s="93"/>
      <c r="Y110" s="93">
        <f>M110-P110-Q110-('Economic Model'!H$50/100)</f>
        <v>0.53556973684210551</v>
      </c>
      <c r="Z110" s="93">
        <f t="shared" si="45"/>
        <v>0.35466973684210545</v>
      </c>
      <c r="AA110" s="93">
        <f t="shared" si="46"/>
        <v>0.1584237247208935</v>
      </c>
      <c r="AB110" s="80"/>
      <c r="AC110" s="15"/>
      <c r="AD110" s="81"/>
      <c r="AE110" s="93">
        <f>'Returns per Bu.'!AD110/'Economic Model'!C$30</f>
        <v>0.6454091432961967</v>
      </c>
      <c r="AF110" s="93">
        <f t="shared" si="47"/>
        <v>1.3040145985401459</v>
      </c>
      <c r="AG110" s="93">
        <f>'Returns per Bu.'!AF110/'Economic Model'!C$30</f>
        <v>1.9494237418363425</v>
      </c>
      <c r="AH110" s="105"/>
      <c r="AI110" s="104"/>
      <c r="AJ110" s="93">
        <f t="shared" si="48"/>
        <v>2.3305237418363425</v>
      </c>
      <c r="AK110" s="93">
        <f t="shared" si="49"/>
        <v>2.5267697539575544</v>
      </c>
      <c r="AL110" s="105"/>
      <c r="AM110" s="93"/>
      <c r="AN110" s="93">
        <f t="shared" si="50"/>
        <v>0.92103546868997332</v>
      </c>
      <c r="AO110" s="93">
        <f t="shared" si="51"/>
        <v>0.72478945656876137</v>
      </c>
      <c r="AP110" s="93">
        <f t="shared" si="52"/>
        <v>0.1584237247208935</v>
      </c>
      <c r="AQ110" s="93">
        <f t="shared" si="53"/>
        <v>0.56636573184786787</v>
      </c>
      <c r="AR110" s="52"/>
    </row>
    <row r="111" spans="1:44" hidden="1" x14ac:dyDescent="0.2">
      <c r="A111" s="8">
        <v>41456</v>
      </c>
      <c r="B111" s="27"/>
      <c r="C111" s="93">
        <f>Data!D104+'Economic Model'!C$65</f>
        <v>2.4321739130434779</v>
      </c>
      <c r="D111" s="95">
        <f>Data!E104+'Economic Model'!C$66</f>
        <v>233.36363636363637</v>
      </c>
      <c r="E111" s="323"/>
      <c r="F111" s="93">
        <f>Data!G104+'Economic Model'!C$68</f>
        <v>6.7066761363636367</v>
      </c>
      <c r="G111" s="96">
        <f>Data!H104+'Economic Model'!C$69</f>
        <v>4.8499999999999996</v>
      </c>
      <c r="H111" s="85"/>
      <c r="I111" s="16"/>
      <c r="J111" s="93">
        <f t="shared" si="41"/>
        <v>2.4321739130434779</v>
      </c>
      <c r="K111" s="93">
        <f>D111/2000*('Economic Model'!C$32+0.5)/'Economic Model'!C$30</f>
        <v>0.69190271132376391</v>
      </c>
      <c r="L111" s="319"/>
      <c r="M111" s="93">
        <f t="shared" si="42"/>
        <v>3.124076624367242</v>
      </c>
      <c r="N111" s="110"/>
      <c r="O111" s="108"/>
      <c r="P111" s="93">
        <f>F111/'Economic Model'!C$30</f>
        <v>2.3532196969696968</v>
      </c>
      <c r="Q111" s="93">
        <f>G111/1000*'Economic Model'!C$34</f>
        <v>0.14549999999999999</v>
      </c>
      <c r="R111" s="93">
        <f>('Economic Model'!H$44+'Economic Model'!H$53)/100</f>
        <v>0.21939999999999998</v>
      </c>
      <c r="S111" s="93">
        <f t="shared" si="43"/>
        <v>2.7181196969696968</v>
      </c>
      <c r="T111" s="93">
        <f>'Economic Model'!H$60/100</f>
        <v>0.19624601212121212</v>
      </c>
      <c r="U111" s="93">
        <f t="shared" si="44"/>
        <v>2.9143657090909088</v>
      </c>
      <c r="V111" s="93">
        <f t="shared" si="40"/>
        <v>2.2224629977671446</v>
      </c>
      <c r="W111" s="105"/>
      <c r="X111" s="93"/>
      <c r="Y111" s="93">
        <f>M111-P111-Q111-('Economic Model'!H$50/100)</f>
        <v>0.58685692739754525</v>
      </c>
      <c r="Z111" s="93">
        <f t="shared" si="45"/>
        <v>0.40595692739754519</v>
      </c>
      <c r="AA111" s="93">
        <f t="shared" si="46"/>
        <v>0.20971091527633323</v>
      </c>
      <c r="AB111" s="80"/>
      <c r="AC111" s="15"/>
      <c r="AD111" s="81"/>
      <c r="AE111" s="93">
        <f>'Returns per Bu.'!AD111/'Economic Model'!C$30</f>
        <v>0.6454091432961967</v>
      </c>
      <c r="AF111" s="93">
        <f t="shared" si="47"/>
        <v>1.3040145985401459</v>
      </c>
      <c r="AG111" s="93">
        <f>'Returns per Bu.'!AF111/'Economic Model'!C$30</f>
        <v>1.9494237418363425</v>
      </c>
      <c r="AH111" s="105"/>
      <c r="AI111" s="104"/>
      <c r="AJ111" s="93">
        <f t="shared" si="48"/>
        <v>2.3143237418363425</v>
      </c>
      <c r="AK111" s="93">
        <f t="shared" si="49"/>
        <v>2.5105697539575544</v>
      </c>
      <c r="AL111" s="105"/>
      <c r="AM111" s="93"/>
      <c r="AN111" s="93">
        <f t="shared" si="50"/>
        <v>0.8097528825308995</v>
      </c>
      <c r="AO111" s="93">
        <f t="shared" si="51"/>
        <v>0.61350687040968754</v>
      </c>
      <c r="AP111" s="93">
        <f t="shared" si="52"/>
        <v>0.20971091527633323</v>
      </c>
      <c r="AQ111" s="93">
        <f t="shared" si="53"/>
        <v>0.40379595513335431</v>
      </c>
      <c r="AR111" s="52"/>
    </row>
    <row r="112" spans="1:44" hidden="1" x14ac:dyDescent="0.2">
      <c r="A112" s="182">
        <v>41487</v>
      </c>
      <c r="B112" s="27"/>
      <c r="C112" s="93">
        <f>Data!D105+'Economic Model'!C$65</f>
        <v>2.2865909090909091</v>
      </c>
      <c r="D112" s="95">
        <f>Data!E105+'Economic Model'!C$66</f>
        <v>224.73863636363637</v>
      </c>
      <c r="E112" s="323"/>
      <c r="F112" s="93">
        <f>Data!G105+'Economic Model'!C$68</f>
        <v>6.0741761363636382</v>
      </c>
      <c r="G112" s="96">
        <f>Data!H105+'Economic Model'!C$69</f>
        <v>4.84</v>
      </c>
      <c r="H112" s="85"/>
      <c r="I112" s="16"/>
      <c r="J112" s="93">
        <f t="shared" si="41"/>
        <v>2.2865909090909091</v>
      </c>
      <c r="K112" s="93">
        <f>D112/2000*('Economic Model'!C$32+0.5)/'Economic Model'!C$30</f>
        <v>0.6663303429027112</v>
      </c>
      <c r="L112" s="319"/>
      <c r="M112" s="93">
        <f t="shared" si="42"/>
        <v>2.9529212519936205</v>
      </c>
      <c r="N112" s="110"/>
      <c r="O112" s="108"/>
      <c r="P112" s="93">
        <f>F112/'Economic Model'!C$30</f>
        <v>2.1312898724082938</v>
      </c>
      <c r="Q112" s="93">
        <f>G112/1000*'Economic Model'!C$34</f>
        <v>0.1452</v>
      </c>
      <c r="R112" s="93">
        <f>('Economic Model'!H$44+'Economic Model'!H$53)/100</f>
        <v>0.21939999999999998</v>
      </c>
      <c r="S112" s="93">
        <f t="shared" si="43"/>
        <v>2.4958898724082936</v>
      </c>
      <c r="T112" s="93">
        <f>'Economic Model'!H$60/100</f>
        <v>0.19624601212121212</v>
      </c>
      <c r="U112" s="93">
        <f t="shared" si="44"/>
        <v>2.6921358845295056</v>
      </c>
      <c r="V112" s="93">
        <f t="shared" si="40"/>
        <v>2.0258055416267942</v>
      </c>
      <c r="W112" s="105"/>
      <c r="X112" s="93"/>
      <c r="Y112" s="93">
        <f>M112-P112-Q112-('Economic Model'!H$50/100)</f>
        <v>0.63793137958532675</v>
      </c>
      <c r="Z112" s="93">
        <f t="shared" si="45"/>
        <v>0.45703137958532691</v>
      </c>
      <c r="AA112" s="93">
        <f t="shared" si="46"/>
        <v>0.26078536746411496</v>
      </c>
      <c r="AB112" s="80"/>
      <c r="AC112" s="15"/>
      <c r="AD112" s="81"/>
      <c r="AE112" s="93">
        <f>'Returns per Bu.'!AD112/'Economic Model'!C$30</f>
        <v>0.6454091432961967</v>
      </c>
      <c r="AF112" s="93">
        <f t="shared" si="47"/>
        <v>1.3040145985401459</v>
      </c>
      <c r="AG112" s="93">
        <f>'Returns per Bu.'!AF112/'Economic Model'!C$30</f>
        <v>1.9494237418363425</v>
      </c>
      <c r="AH112" s="105"/>
      <c r="AI112" s="104"/>
      <c r="AJ112" s="93">
        <f t="shared" si="48"/>
        <v>2.3140237418363423</v>
      </c>
      <c r="AK112" s="93">
        <f t="shared" si="49"/>
        <v>2.5102697539575543</v>
      </c>
      <c r="AL112" s="105"/>
      <c r="AM112" s="93"/>
      <c r="AN112" s="93">
        <f t="shared" si="50"/>
        <v>0.63889751015727825</v>
      </c>
      <c r="AO112" s="93">
        <f t="shared" si="51"/>
        <v>0.44265149803606629</v>
      </c>
      <c r="AP112" s="93">
        <f t="shared" si="52"/>
        <v>0.26078536746411496</v>
      </c>
      <c r="AQ112" s="93">
        <f t="shared" si="53"/>
        <v>0.18186613057195133</v>
      </c>
      <c r="AR112" s="52"/>
    </row>
    <row r="113" spans="1:44" hidden="1" x14ac:dyDescent="0.2">
      <c r="A113" s="8">
        <v>41518</v>
      </c>
      <c r="B113" s="27"/>
      <c r="C113" s="93">
        <f>Data!D106+'Economic Model'!C$65</f>
        <v>2.3583333333333334</v>
      </c>
      <c r="D113" s="95">
        <f>Data!E106+'Economic Model'!C$66</f>
        <v>218.7</v>
      </c>
      <c r="E113" s="323"/>
      <c r="F113" s="93">
        <f>Data!G106+'Economic Model'!C$68</f>
        <v>5.1482374999999996</v>
      </c>
      <c r="G113" s="96">
        <f>Data!H106+'Economic Model'!C$69</f>
        <v>4.99</v>
      </c>
      <c r="H113" s="85"/>
      <c r="I113" s="16"/>
      <c r="J113" s="93">
        <f t="shared" si="41"/>
        <v>2.3583333333333334</v>
      </c>
      <c r="K113" s="93">
        <f>D113/2000*('Economic Model'!C$32+0.5)/'Economic Model'!C$30</f>
        <v>0.64842631578947363</v>
      </c>
      <c r="L113" s="319"/>
      <c r="M113" s="93">
        <f t="shared" si="42"/>
        <v>3.0067596491228068</v>
      </c>
      <c r="N113" s="110"/>
      <c r="O113" s="108"/>
      <c r="P113" s="93">
        <f>F113/'Economic Model'!C$30</f>
        <v>1.8063991228070173</v>
      </c>
      <c r="Q113" s="93">
        <f>G113/1000*'Economic Model'!C$34</f>
        <v>0.14970000000000003</v>
      </c>
      <c r="R113" s="93">
        <f>('Economic Model'!H$44+'Economic Model'!H$53)/100</f>
        <v>0.21939999999999998</v>
      </c>
      <c r="S113" s="93">
        <f t="shared" si="43"/>
        <v>2.1754991228070173</v>
      </c>
      <c r="T113" s="93">
        <f>'Economic Model'!H$60/100</f>
        <v>0.19624601212121212</v>
      </c>
      <c r="U113" s="93">
        <f t="shared" si="44"/>
        <v>2.3717451349282292</v>
      </c>
      <c r="V113" s="93">
        <f t="shared" si="40"/>
        <v>1.7233188191387556</v>
      </c>
      <c r="W113" s="105"/>
      <c r="X113" s="93"/>
      <c r="Y113" s="93">
        <f>M113-P113-Q113-('Economic Model'!H$50/100)</f>
        <v>1.0121605263157896</v>
      </c>
      <c r="Z113" s="93">
        <f t="shared" si="45"/>
        <v>0.83126052631578951</v>
      </c>
      <c r="AA113" s="93">
        <f t="shared" si="46"/>
        <v>0.63501451419457755</v>
      </c>
      <c r="AB113" s="80"/>
      <c r="AC113" s="15"/>
      <c r="AD113" s="81"/>
      <c r="AE113" s="93">
        <f>'Returns per Bu.'!AD113/'Economic Model'!C$30</f>
        <v>0.57766367137355579</v>
      </c>
      <c r="AF113" s="93">
        <f t="shared" si="47"/>
        <v>1.1173855370132646</v>
      </c>
      <c r="AG113" s="93">
        <f>'Returns per Bu.'!AF113/'Economic Model'!C$30</f>
        <v>1.6950492083868205</v>
      </c>
      <c r="AH113" s="105"/>
      <c r="AI113" s="104"/>
      <c r="AJ113" s="93">
        <f t="shared" si="48"/>
        <v>2.0641492083868203</v>
      </c>
      <c r="AK113" s="93">
        <f t="shared" si="49"/>
        <v>2.2603952205080322</v>
      </c>
      <c r="AL113" s="105"/>
      <c r="AM113" s="93"/>
      <c r="AN113" s="93">
        <f t="shared" si="50"/>
        <v>0.94261044073598654</v>
      </c>
      <c r="AO113" s="93">
        <f t="shared" si="51"/>
        <v>0.74636442861477459</v>
      </c>
      <c r="AP113" s="93">
        <f t="shared" si="52"/>
        <v>0.63501451419457777</v>
      </c>
      <c r="AQ113" s="93">
        <f t="shared" si="53"/>
        <v>0.11134991442019682</v>
      </c>
      <c r="AR113" s="52"/>
    </row>
    <row r="114" spans="1:44" hidden="1" x14ac:dyDescent="0.2">
      <c r="A114" s="182">
        <v>41548</v>
      </c>
      <c r="B114" s="27"/>
      <c r="C114" s="93">
        <f>Data!D107+'Economic Model'!C$65</f>
        <v>2.0538461538461541</v>
      </c>
      <c r="D114" s="95">
        <f>Data!E107+'Economic Model'!C$66</f>
        <v>202</v>
      </c>
      <c r="E114" s="323"/>
      <c r="F114" s="93">
        <f>Data!G107+'Economic Model'!C$68</f>
        <v>4.4284999999999997</v>
      </c>
      <c r="G114" s="96">
        <f>Data!H107+'Economic Model'!C$69</f>
        <v>5.05</v>
      </c>
      <c r="H114" s="85"/>
      <c r="I114" s="16"/>
      <c r="J114" s="93">
        <f t="shared" si="41"/>
        <v>2.0538461538461541</v>
      </c>
      <c r="K114" s="93">
        <f>D114/2000*('Economic Model'!C$32+0.5)/'Economic Model'!C$30</f>
        <v>0.59891228070175428</v>
      </c>
      <c r="L114" s="319"/>
      <c r="M114" s="93">
        <f t="shared" si="42"/>
        <v>2.6527584345479083</v>
      </c>
      <c r="N114" s="110"/>
      <c r="O114" s="108"/>
      <c r="P114" s="93">
        <f>F114/'Economic Model'!C$30</f>
        <v>1.5538596491228069</v>
      </c>
      <c r="Q114" s="93">
        <f>G114/1000*'Economic Model'!C$34</f>
        <v>0.1515</v>
      </c>
      <c r="R114" s="93">
        <f>('Economic Model'!H$44+'Economic Model'!H$53)/100</f>
        <v>0.21939999999999998</v>
      </c>
      <c r="S114" s="93">
        <f t="shared" si="43"/>
        <v>1.9247596491228069</v>
      </c>
      <c r="T114" s="93">
        <f>'Economic Model'!H$60/100</f>
        <v>0.19624601212121212</v>
      </c>
      <c r="U114" s="93">
        <f t="shared" si="44"/>
        <v>2.1210056612440189</v>
      </c>
      <c r="V114" s="93">
        <f t="shared" si="40"/>
        <v>1.5220933805422647</v>
      </c>
      <c r="W114" s="105"/>
      <c r="X114" s="93"/>
      <c r="Y114" s="93">
        <f>M114-P114-Q114-('Economic Model'!H$50/100)</f>
        <v>0.90889878542510139</v>
      </c>
      <c r="Z114" s="93">
        <f t="shared" si="45"/>
        <v>0.72799878542510132</v>
      </c>
      <c r="AA114" s="93">
        <f t="shared" si="46"/>
        <v>0.53175277330388937</v>
      </c>
      <c r="AB114" s="80"/>
      <c r="AC114" s="15"/>
      <c r="AD114" s="81"/>
      <c r="AE114" s="93">
        <f>'Returns per Bu.'!AD114/'Economic Model'!C$30</f>
        <v>0.57766367137355579</v>
      </c>
      <c r="AF114" s="93">
        <f t="shared" si="47"/>
        <v>1.1173855370132646</v>
      </c>
      <c r="AG114" s="93">
        <f>'Returns per Bu.'!AF114/'Economic Model'!C$30</f>
        <v>1.6950492083868205</v>
      </c>
      <c r="AH114" s="105"/>
      <c r="AI114" s="104"/>
      <c r="AJ114" s="93">
        <f t="shared" si="48"/>
        <v>2.0659492083868205</v>
      </c>
      <c r="AK114" s="93">
        <f t="shared" si="49"/>
        <v>2.2621952205080325</v>
      </c>
      <c r="AL114" s="105"/>
      <c r="AM114" s="93"/>
      <c r="AN114" s="93">
        <f t="shared" si="50"/>
        <v>0.58680922616108777</v>
      </c>
      <c r="AO114" s="93">
        <f t="shared" si="51"/>
        <v>0.39056321403987582</v>
      </c>
      <c r="AP114" s="93">
        <f t="shared" si="52"/>
        <v>0.53175277330388937</v>
      </c>
      <c r="AQ114" s="93">
        <f t="shared" si="53"/>
        <v>-0.14118955926401355</v>
      </c>
      <c r="AR114" s="52"/>
    </row>
    <row r="115" spans="1:44" hidden="1" x14ac:dyDescent="0.2">
      <c r="A115" s="8">
        <v>41579</v>
      </c>
      <c r="B115" s="27"/>
      <c r="C115" s="93">
        <f>Data!D108+'Economic Model'!C$65</f>
        <v>1.9611904761904764</v>
      </c>
      <c r="D115" s="95">
        <f>Data!E108+'Economic Model'!C$66</f>
        <v>206.44736842105263</v>
      </c>
      <c r="E115" s="323"/>
      <c r="F115" s="93">
        <f>Data!G108+'Economic Model'!C$68</f>
        <v>4.3354605263157904</v>
      </c>
      <c r="G115" s="96">
        <f>Data!H108+'Economic Model'!C$69</f>
        <v>5.58</v>
      </c>
      <c r="H115" s="85"/>
      <c r="I115" s="16"/>
      <c r="J115" s="93">
        <f t="shared" si="41"/>
        <v>1.9611904761904764</v>
      </c>
      <c r="K115" s="93">
        <f>D115/2000*('Economic Model'!C$32+0.5)/'Economic Model'!C$30</f>
        <v>0.61209833795013846</v>
      </c>
      <c r="L115" s="319"/>
      <c r="M115" s="93">
        <f t="shared" si="42"/>
        <v>2.5732888141406147</v>
      </c>
      <c r="N115" s="110"/>
      <c r="O115" s="108"/>
      <c r="P115" s="93">
        <f>F115/'Economic Model'!C$30</f>
        <v>1.5212142197599263</v>
      </c>
      <c r="Q115" s="93">
        <f>G115/1000*'Economic Model'!C$34</f>
        <v>0.16739999999999999</v>
      </c>
      <c r="R115" s="93">
        <f>('Economic Model'!H$44+'Economic Model'!H$53)/100</f>
        <v>0.21939999999999998</v>
      </c>
      <c r="S115" s="93">
        <f t="shared" si="43"/>
        <v>1.9080142197599264</v>
      </c>
      <c r="T115" s="93">
        <f>'Economic Model'!H$60/100</f>
        <v>0.19624601212121212</v>
      </c>
      <c r="U115" s="93">
        <f t="shared" si="44"/>
        <v>2.1042602318811383</v>
      </c>
      <c r="V115" s="93">
        <f t="shared" si="40"/>
        <v>1.4921618939309997</v>
      </c>
      <c r="W115" s="105"/>
      <c r="X115" s="93"/>
      <c r="Y115" s="93">
        <f>M115-P115-Q115-('Economic Model'!H$50/100)</f>
        <v>0.84617459438068843</v>
      </c>
      <c r="Z115" s="93">
        <f t="shared" si="45"/>
        <v>0.66527459438068837</v>
      </c>
      <c r="AA115" s="93">
        <f t="shared" si="46"/>
        <v>0.46902858225947641</v>
      </c>
      <c r="AB115" s="80"/>
      <c r="AC115" s="15"/>
      <c r="AD115" s="81"/>
      <c r="AE115" s="93">
        <f>'Returns per Bu.'!AD115/'Economic Model'!C$30</f>
        <v>0.57766367137355579</v>
      </c>
      <c r="AF115" s="93">
        <f t="shared" si="47"/>
        <v>1.1173855370132646</v>
      </c>
      <c r="AG115" s="93">
        <f>'Returns per Bu.'!AF115/'Economic Model'!C$30</f>
        <v>1.6950492083868205</v>
      </c>
      <c r="AH115" s="105"/>
      <c r="AI115" s="104"/>
      <c r="AJ115" s="93">
        <f t="shared" si="48"/>
        <v>2.0818492083868203</v>
      </c>
      <c r="AK115" s="93">
        <f t="shared" si="49"/>
        <v>2.2780952205080323</v>
      </c>
      <c r="AL115" s="105"/>
      <c r="AM115" s="93"/>
      <c r="AN115" s="93">
        <f t="shared" si="50"/>
        <v>0.49143960575379442</v>
      </c>
      <c r="AO115" s="93">
        <f t="shared" si="51"/>
        <v>0.29519359363258246</v>
      </c>
      <c r="AP115" s="93">
        <f t="shared" si="52"/>
        <v>0.46902858225947663</v>
      </c>
      <c r="AQ115" s="93">
        <f t="shared" si="53"/>
        <v>-0.17383498862689417</v>
      </c>
      <c r="AR115" s="52"/>
    </row>
    <row r="116" spans="1:44" hidden="1" x14ac:dyDescent="0.2">
      <c r="A116" s="68">
        <v>41609</v>
      </c>
      <c r="B116" s="29"/>
      <c r="C116" s="97">
        <f>Data!D109+'Economic Model'!C$65</f>
        <v>2.3029545454545461</v>
      </c>
      <c r="D116" s="99">
        <f>Data!E109+'Economic Model'!C$66</f>
        <v>212.1904761904762</v>
      </c>
      <c r="E116" s="324"/>
      <c r="F116" s="97">
        <f>Data!G109+'Economic Model'!C$68</f>
        <v>4.34547619047619</v>
      </c>
      <c r="G116" s="100">
        <f>Data!H109+'Economic Model'!C$69</f>
        <v>5.98</v>
      </c>
      <c r="H116" s="87"/>
      <c r="I116" s="71"/>
      <c r="J116" s="97">
        <f t="shared" si="41"/>
        <v>2.3029545454545461</v>
      </c>
      <c r="K116" s="97">
        <f>D116/2000*('Economic Model'!C$32+0.5)/'Economic Model'!C$30</f>
        <v>0.62912614870509609</v>
      </c>
      <c r="L116" s="320"/>
      <c r="M116" s="97">
        <f t="shared" si="42"/>
        <v>2.9320806941596422</v>
      </c>
      <c r="N116" s="113"/>
      <c r="O116" s="111"/>
      <c r="P116" s="97">
        <f>F116/'Economic Model'!C$30</f>
        <v>1.5247284878863825</v>
      </c>
      <c r="Q116" s="97">
        <f>G116/1000*'Economic Model'!C$34</f>
        <v>0.1794</v>
      </c>
      <c r="R116" s="97">
        <f>('Economic Model'!H$44+'Economic Model'!H$53)/100</f>
        <v>0.21939999999999998</v>
      </c>
      <c r="S116" s="97">
        <f t="shared" si="43"/>
        <v>1.9235284878863825</v>
      </c>
      <c r="T116" s="97">
        <f>'Economic Model'!H$60/100</f>
        <v>0.19624601212121212</v>
      </c>
      <c r="U116" s="97">
        <f t="shared" si="44"/>
        <v>2.1197745000075945</v>
      </c>
      <c r="V116" s="97">
        <f t="shared" si="40"/>
        <v>1.4906483513024984</v>
      </c>
      <c r="W116" s="107"/>
      <c r="X116" s="97"/>
      <c r="Y116" s="97">
        <f>M116-P116-Q116-('Economic Model'!H$50/100)</f>
        <v>1.1894522062732598</v>
      </c>
      <c r="Z116" s="97">
        <f t="shared" si="45"/>
        <v>1.0085522062732597</v>
      </c>
      <c r="AA116" s="97">
        <f t="shared" si="46"/>
        <v>0.81230619415204774</v>
      </c>
      <c r="AB116" s="82"/>
      <c r="AC116" s="65"/>
      <c r="AD116" s="83"/>
      <c r="AE116" s="97">
        <f>'Returns per Bu.'!AD116/'Economic Model'!C$30</f>
        <v>0.57766367137355579</v>
      </c>
      <c r="AF116" s="97">
        <f t="shared" si="47"/>
        <v>1.1173855370132646</v>
      </c>
      <c r="AG116" s="97">
        <f>'Returns per Bu.'!AF116/'Economic Model'!C$30</f>
        <v>1.6950492083868205</v>
      </c>
      <c r="AH116" s="107"/>
      <c r="AI116" s="106"/>
      <c r="AJ116" s="97">
        <f t="shared" si="48"/>
        <v>2.0938492083868203</v>
      </c>
      <c r="AK116" s="97">
        <f t="shared" si="49"/>
        <v>2.2900952205080323</v>
      </c>
      <c r="AL116" s="107"/>
      <c r="AM116" s="97"/>
      <c r="AN116" s="97">
        <f t="shared" si="50"/>
        <v>0.83823148577282192</v>
      </c>
      <c r="AO116" s="97">
        <f t="shared" si="51"/>
        <v>0.64198547365160996</v>
      </c>
      <c r="AP116" s="97">
        <f t="shared" si="52"/>
        <v>0.81230619415204797</v>
      </c>
      <c r="AQ116" s="97">
        <f t="shared" si="53"/>
        <v>-0.17032072050043801</v>
      </c>
      <c r="AR116" s="64"/>
    </row>
    <row r="117" spans="1:44" s="27" customFormat="1" hidden="1" x14ac:dyDescent="0.2">
      <c r="A117" s="260">
        <v>41640</v>
      </c>
      <c r="C117" s="93">
        <f>Data!D110+'Economic Model'!C$65</f>
        <v>2.0704545454545444</v>
      </c>
      <c r="D117" s="95">
        <f>Data!E110+'Economic Model'!C$66</f>
        <v>168.16666666666666</v>
      </c>
      <c r="E117" s="323"/>
      <c r="F117" s="93">
        <f>Data!G110+'Economic Model'!C$68</f>
        <v>4.2671422619047616</v>
      </c>
      <c r="G117" s="96">
        <f>Data!H110+'Economic Model'!C$69</f>
        <v>7.2</v>
      </c>
      <c r="H117" s="85"/>
      <c r="I117" s="16"/>
      <c r="J117" s="93">
        <f t="shared" si="41"/>
        <v>2.0704545454545444</v>
      </c>
      <c r="K117" s="93">
        <f>D117/2000*('Economic Model'!C$32+0.5)/'Economic Model'!C$30</f>
        <v>0.49859941520467832</v>
      </c>
      <c r="L117" s="319"/>
      <c r="M117" s="93">
        <f t="shared" si="42"/>
        <v>2.5690539606592226</v>
      </c>
      <c r="N117" s="110"/>
      <c r="O117" s="108"/>
      <c r="P117" s="93">
        <f>F117/'Economic Model'!C$30</f>
        <v>1.4972428989139515</v>
      </c>
      <c r="Q117" s="93">
        <f>G117/1000*'Economic Model'!C$34</f>
        <v>0.216</v>
      </c>
      <c r="R117" s="93">
        <f>('Economic Model'!H$44+'Economic Model'!H$53)/100</f>
        <v>0.21939999999999998</v>
      </c>
      <c r="S117" s="93">
        <f t="shared" si="43"/>
        <v>1.9326428989139515</v>
      </c>
      <c r="T117" s="93">
        <f>'Economic Model'!H$60/100</f>
        <v>0.19624601212121212</v>
      </c>
      <c r="U117" s="93">
        <f t="shared" si="44"/>
        <v>2.1288889110351636</v>
      </c>
      <c r="V117" s="93">
        <f t="shared" si="40"/>
        <v>1.6302894958304854</v>
      </c>
      <c r="W117" s="105"/>
      <c r="X117" s="93"/>
      <c r="Y117" s="93">
        <f>M117-P117-Q117-('Economic Model'!H$50/100)</f>
        <v>0.81731106174527124</v>
      </c>
      <c r="Z117" s="93">
        <f t="shared" si="45"/>
        <v>0.63641106174527118</v>
      </c>
      <c r="AA117" s="93">
        <f t="shared" si="46"/>
        <v>0.440165049624059</v>
      </c>
      <c r="AB117" s="80"/>
      <c r="AC117" s="17"/>
      <c r="AD117" s="81"/>
      <c r="AE117" s="93">
        <f>'Returns per Bu.'!AD117/'Economic Model'!C$30</f>
        <v>0.57766367137355579</v>
      </c>
      <c r="AF117" s="93">
        <f t="shared" si="47"/>
        <v>1.1173855370132646</v>
      </c>
      <c r="AG117" s="93">
        <f>'Returns per Bu.'!AF117/'Economic Model'!C$30</f>
        <v>1.6950492083868205</v>
      </c>
      <c r="AH117" s="105"/>
      <c r="AI117" s="104"/>
      <c r="AJ117" s="93">
        <f t="shared" si="48"/>
        <v>2.1304492083868203</v>
      </c>
      <c r="AK117" s="93">
        <f t="shared" si="49"/>
        <v>2.3266952205080322</v>
      </c>
      <c r="AL117" s="105"/>
      <c r="AM117" s="93"/>
      <c r="AN117" s="93">
        <f t="shared" si="50"/>
        <v>0.43860475227240237</v>
      </c>
      <c r="AO117" s="93">
        <f t="shared" si="51"/>
        <v>0.24235874015119041</v>
      </c>
      <c r="AP117" s="93">
        <f t="shared" si="52"/>
        <v>0.44016504962405945</v>
      </c>
      <c r="AQ117" s="93">
        <f t="shared" si="53"/>
        <v>-0.19780630947286904</v>
      </c>
      <c r="AR117" s="52"/>
    </row>
    <row r="118" spans="1:44" hidden="1" x14ac:dyDescent="0.2">
      <c r="A118" s="182">
        <v>41671</v>
      </c>
      <c r="B118" s="27"/>
      <c r="C118" s="93">
        <f>Data!D111+'Economic Model'!C$65</f>
        <v>1.9445000000000001</v>
      </c>
      <c r="D118" s="95">
        <f>Data!E111+'Economic Model'!C$66</f>
        <v>202.13157894736841</v>
      </c>
      <c r="E118" s="323"/>
      <c r="F118" s="93">
        <f>Data!G111+'Economic Model'!C$68</f>
        <v>4.4448355263157904</v>
      </c>
      <c r="G118" s="96">
        <f>Data!H111+'Economic Model'!C$69</f>
        <v>8.77</v>
      </c>
      <c r="H118" s="85"/>
      <c r="I118" s="16"/>
      <c r="J118" s="93">
        <f t="shared" si="41"/>
        <v>1.9445000000000001</v>
      </c>
      <c r="K118" s="93">
        <f>D118/2000*('Economic Model'!C$32+0.5)/'Economic Model'!C$30</f>
        <v>0.59930240073868879</v>
      </c>
      <c r="L118" s="319"/>
      <c r="M118" s="93">
        <f t="shared" si="42"/>
        <v>2.5438024007386888</v>
      </c>
      <c r="N118" s="110"/>
      <c r="O118" s="108"/>
      <c r="P118" s="93">
        <f>F118/'Economic Model'!C$30</f>
        <v>1.5595914127423824</v>
      </c>
      <c r="Q118" s="93">
        <f>G118/1000*'Economic Model'!C$34</f>
        <v>0.2631</v>
      </c>
      <c r="R118" s="93">
        <f>('Economic Model'!H$44+'Economic Model'!H$53)/100</f>
        <v>0.21939999999999998</v>
      </c>
      <c r="S118" s="93">
        <f t="shared" si="43"/>
        <v>2.0420914127423822</v>
      </c>
      <c r="T118" s="93">
        <f>'Economic Model'!H$60/100</f>
        <v>0.19624601212121212</v>
      </c>
      <c r="U118" s="93">
        <f t="shared" si="44"/>
        <v>2.2383374248635941</v>
      </c>
      <c r="V118" s="93">
        <f t="shared" si="40"/>
        <v>1.6390350241249054</v>
      </c>
      <c r="W118" s="105"/>
      <c r="X118" s="93"/>
      <c r="Y118" s="93">
        <f>M118-P118-Q118-('Economic Model'!H$50/100)</f>
        <v>0.68261098799630637</v>
      </c>
      <c r="Z118" s="93">
        <f t="shared" si="45"/>
        <v>0.50171098799630665</v>
      </c>
      <c r="AA118" s="93">
        <f t="shared" si="46"/>
        <v>0.30546497587509469</v>
      </c>
      <c r="AB118" s="80"/>
      <c r="AC118" s="17"/>
      <c r="AD118" s="81"/>
      <c r="AE118" s="93">
        <f>'Returns per Bu.'!AD118/'Economic Model'!C$30</f>
        <v>0.57766367137355579</v>
      </c>
      <c r="AF118" s="93">
        <f t="shared" si="47"/>
        <v>1.1173855370132646</v>
      </c>
      <c r="AG118" s="93">
        <f>'Returns per Bu.'!AF118/'Economic Model'!C$30</f>
        <v>1.6950492083868205</v>
      </c>
      <c r="AH118" s="105"/>
      <c r="AI118" s="104"/>
      <c r="AJ118" s="93">
        <f t="shared" si="48"/>
        <v>2.1775492083868202</v>
      </c>
      <c r="AK118" s="93">
        <f t="shared" si="49"/>
        <v>2.3737952205080322</v>
      </c>
      <c r="AL118" s="105"/>
      <c r="AM118" s="93"/>
      <c r="AN118" s="93">
        <f t="shared" si="50"/>
        <v>0.3662531923518686</v>
      </c>
      <c r="AO118" s="93">
        <f t="shared" si="51"/>
        <v>0.17000718023065664</v>
      </c>
      <c r="AP118" s="93">
        <f t="shared" si="52"/>
        <v>0.30546497587509469</v>
      </c>
      <c r="AQ118" s="93">
        <f t="shared" si="53"/>
        <v>-0.13545779564443805</v>
      </c>
      <c r="AR118" s="52"/>
    </row>
    <row r="119" spans="1:44" hidden="1" x14ac:dyDescent="0.2">
      <c r="A119" s="182">
        <v>41699</v>
      </c>
      <c r="B119" s="27"/>
      <c r="C119" s="93">
        <f>Data!D112+'Economic Model'!C$65</f>
        <v>2.4778571428571428</v>
      </c>
      <c r="D119" s="95">
        <f>Data!E112+'Economic Model'!C$66</f>
        <v>236.13095238095238</v>
      </c>
      <c r="E119" s="323"/>
      <c r="F119" s="93">
        <f>Data!G112+'Economic Model'!C$68</f>
        <v>4.6688095238095242</v>
      </c>
      <c r="G119" s="96">
        <f>Data!H112+'Economic Model'!C$69</f>
        <v>8.8699999999999992</v>
      </c>
      <c r="H119" s="85"/>
      <c r="I119" s="16"/>
      <c r="J119" s="93">
        <f t="shared" si="41"/>
        <v>2.4778571428571428</v>
      </c>
      <c r="K119" s="93">
        <f>D119/2000*('Economic Model'!C$32+0.5)/'Economic Model'!C$30</f>
        <v>0.70010756056808676</v>
      </c>
      <c r="L119" s="319"/>
      <c r="M119" s="93">
        <f t="shared" si="42"/>
        <v>3.1779647034252294</v>
      </c>
      <c r="N119" s="110"/>
      <c r="O119" s="108"/>
      <c r="P119" s="93">
        <f>F119/'Economic Model'!C$30</f>
        <v>1.6381787802840435</v>
      </c>
      <c r="Q119" s="93">
        <f>G119/1000*'Economic Model'!C$34</f>
        <v>0.2661</v>
      </c>
      <c r="R119" s="93">
        <f>('Economic Model'!H$44+'Economic Model'!H$53)/100</f>
        <v>0.21939999999999998</v>
      </c>
      <c r="S119" s="93">
        <f t="shared" si="43"/>
        <v>2.1236787802840436</v>
      </c>
      <c r="T119" s="93">
        <f>'Economic Model'!H$60/100</f>
        <v>0.19624601212121212</v>
      </c>
      <c r="U119" s="93">
        <f t="shared" si="44"/>
        <v>2.3199247924052555</v>
      </c>
      <c r="V119" s="93">
        <f t="shared" si="40"/>
        <v>1.6198172318371689</v>
      </c>
      <c r="W119" s="105"/>
      <c r="X119" s="93"/>
      <c r="Y119" s="93">
        <f>M119-P119-Q119-('Economic Model'!H$50/100)</f>
        <v>1.2351859231411859</v>
      </c>
      <c r="Z119" s="93">
        <f t="shared" si="45"/>
        <v>1.0542859231411859</v>
      </c>
      <c r="AA119" s="93">
        <f t="shared" si="46"/>
        <v>0.8580399110199739</v>
      </c>
      <c r="AB119" s="80"/>
      <c r="AC119" s="15"/>
      <c r="AD119" s="81"/>
      <c r="AE119" s="93">
        <f>'Returns per Bu.'!AD119/'Economic Model'!C$30</f>
        <v>0.57766367137355579</v>
      </c>
      <c r="AF119" s="93">
        <f t="shared" si="47"/>
        <v>1.1173855370132646</v>
      </c>
      <c r="AG119" s="93">
        <f>'Returns per Bu.'!AF119/'Economic Model'!C$30</f>
        <v>1.6950492083868205</v>
      </c>
      <c r="AH119" s="93"/>
      <c r="AI119" s="104"/>
      <c r="AJ119" s="93">
        <f t="shared" si="48"/>
        <v>2.1805492083868203</v>
      </c>
      <c r="AK119" s="93">
        <f t="shared" si="49"/>
        <v>2.3767952205080323</v>
      </c>
      <c r="AL119" s="105"/>
      <c r="AM119" s="93"/>
      <c r="AN119" s="93">
        <f t="shared" si="50"/>
        <v>0.99741549503840909</v>
      </c>
      <c r="AO119" s="93">
        <f t="shared" si="51"/>
        <v>0.80116948291719714</v>
      </c>
      <c r="AP119" s="93">
        <f t="shared" si="52"/>
        <v>0.85803991101997412</v>
      </c>
      <c r="AQ119" s="93">
        <f t="shared" si="53"/>
        <v>-5.6870428102776982E-2</v>
      </c>
      <c r="AR119" s="52"/>
    </row>
    <row r="120" spans="1:44" hidden="1" x14ac:dyDescent="0.2">
      <c r="A120" s="182">
        <v>41730</v>
      </c>
      <c r="B120" s="27"/>
      <c r="C120" s="93">
        <f>Data!D113+'Economic Model'!C$65</f>
        <v>2.7863636363636357</v>
      </c>
      <c r="D120" s="95">
        <f>Data!E113+'Economic Model'!C$66</f>
        <v>233.0952380952381</v>
      </c>
      <c r="E120" s="323"/>
      <c r="F120" s="93">
        <f>Data!G113+'Economic Model'!C$68</f>
        <v>4.8590119047619051</v>
      </c>
      <c r="G120" s="96">
        <f>Data!H113+'Economic Model'!C$69</f>
        <v>7.91</v>
      </c>
      <c r="H120" s="85"/>
      <c r="I120" s="16"/>
      <c r="J120" s="93">
        <f t="shared" si="41"/>
        <v>2.7863636363636357</v>
      </c>
      <c r="K120" s="93">
        <f>D120/2000*('Economic Model'!C$32+0.5)/'Economic Model'!C$30</f>
        <v>0.69110693400167078</v>
      </c>
      <c r="L120" s="319"/>
      <c r="M120" s="93">
        <f t="shared" si="42"/>
        <v>3.4774705703653064</v>
      </c>
      <c r="N120" s="110"/>
      <c r="O120" s="108"/>
      <c r="P120" s="93">
        <f>F120/'Economic Model'!C$30</f>
        <v>1.7049164578111948</v>
      </c>
      <c r="Q120" s="93">
        <f>G120/1000*'Economic Model'!C$34</f>
        <v>0.23730000000000001</v>
      </c>
      <c r="R120" s="93">
        <f>('Economic Model'!H$44+'Economic Model'!H$53)/100</f>
        <v>0.21939999999999998</v>
      </c>
      <c r="S120" s="93">
        <f t="shared" si="43"/>
        <v>2.1616164578111947</v>
      </c>
      <c r="T120" s="93">
        <f>'Economic Model'!H$60/100</f>
        <v>0.19624601212121212</v>
      </c>
      <c r="U120" s="93">
        <f t="shared" si="44"/>
        <v>2.3578624699324067</v>
      </c>
      <c r="V120" s="93">
        <f t="shared" si="40"/>
        <v>1.666755535930736</v>
      </c>
      <c r="W120" s="105"/>
      <c r="X120" s="93"/>
      <c r="Y120" s="93">
        <f>M120-P120-Q120-('Economic Model'!H$50/100)</f>
        <v>1.4967541125541115</v>
      </c>
      <c r="Z120" s="93">
        <f t="shared" si="45"/>
        <v>1.3158541125541117</v>
      </c>
      <c r="AA120" s="93">
        <f t="shared" si="46"/>
        <v>1.1196081004328997</v>
      </c>
      <c r="AB120" s="80"/>
      <c r="AC120" s="15"/>
      <c r="AD120" s="81"/>
      <c r="AE120" s="93">
        <f>'Returns per Bu.'!AD120/'Economic Model'!C$30</f>
        <v>0.57766367137355579</v>
      </c>
      <c r="AF120" s="93">
        <f t="shared" si="47"/>
        <v>1.1173855370132646</v>
      </c>
      <c r="AG120" s="93">
        <f>'Returns per Bu.'!AF120/'Economic Model'!C$30</f>
        <v>1.6950492083868205</v>
      </c>
      <c r="AH120" s="93"/>
      <c r="AI120" s="104"/>
      <c r="AJ120" s="93">
        <f t="shared" si="48"/>
        <v>2.1517492083868204</v>
      </c>
      <c r="AK120" s="93">
        <f t="shared" si="49"/>
        <v>2.3479952205080323</v>
      </c>
      <c r="AL120" s="105"/>
      <c r="AM120" s="93"/>
      <c r="AN120" s="93">
        <f t="shared" si="50"/>
        <v>1.325721361978486</v>
      </c>
      <c r="AO120" s="93">
        <f t="shared" si="51"/>
        <v>1.129475349857274</v>
      </c>
      <c r="AP120" s="93">
        <f t="shared" si="52"/>
        <v>1.1196081004328997</v>
      </c>
      <c r="AQ120" s="93">
        <f t="shared" si="53"/>
        <v>9.8672494243743358E-3</v>
      </c>
      <c r="AR120" s="52"/>
    </row>
    <row r="121" spans="1:44" hidden="1" x14ac:dyDescent="0.2">
      <c r="A121" s="182">
        <v>41760</v>
      </c>
      <c r="B121" s="27"/>
      <c r="C121" s="93">
        <f>Data!D114+'Economic Model'!C$65</f>
        <v>2.2397727272727264</v>
      </c>
      <c r="D121" s="95">
        <f>Data!E114+'Economic Model'!C$66</f>
        <v>213.92857142857142</v>
      </c>
      <c r="E121" s="323"/>
      <c r="F121" s="93">
        <f>Data!G114+'Economic Model'!C$68</f>
        <v>4.7784523809523813</v>
      </c>
      <c r="G121" s="96">
        <f>Data!H114+'Economic Model'!C$69</f>
        <v>7.78</v>
      </c>
      <c r="H121" s="85"/>
      <c r="I121" s="16"/>
      <c r="J121" s="93">
        <f t="shared" si="41"/>
        <v>2.2397727272727264</v>
      </c>
      <c r="K121" s="93">
        <f>D121/2000*('Economic Model'!C$32+0.5)/'Economic Model'!C$30</f>
        <v>0.63427944862155372</v>
      </c>
      <c r="L121" s="319"/>
      <c r="M121" s="93">
        <f t="shared" si="42"/>
        <v>2.8740521758942803</v>
      </c>
      <c r="N121" s="110"/>
      <c r="O121" s="108"/>
      <c r="P121" s="93">
        <f>F121/'Economic Model'!C$30</f>
        <v>1.6766499582289056</v>
      </c>
      <c r="Q121" s="93">
        <f>G121/1000*'Economic Model'!C$34</f>
        <v>0.23340000000000002</v>
      </c>
      <c r="R121" s="93">
        <f>('Economic Model'!H$44+'Economic Model'!H$53)/100</f>
        <v>0.21939999999999998</v>
      </c>
      <c r="S121" s="93">
        <f t="shared" si="43"/>
        <v>2.1294499582289057</v>
      </c>
      <c r="T121" s="93">
        <f>'Economic Model'!H$60/100</f>
        <v>0.19624601212121212</v>
      </c>
      <c r="U121" s="93">
        <f t="shared" si="44"/>
        <v>2.3256959703501177</v>
      </c>
      <c r="V121" s="93">
        <f t="shared" si="40"/>
        <v>1.6914165217285639</v>
      </c>
      <c r="W121" s="105"/>
      <c r="X121" s="93"/>
      <c r="Y121" s="93">
        <f>M121-P121-Q121-('Economic Model'!H$50/100)</f>
        <v>0.92550221766537466</v>
      </c>
      <c r="Z121" s="93">
        <f t="shared" si="45"/>
        <v>0.7446022176653746</v>
      </c>
      <c r="AA121" s="93">
        <f t="shared" si="46"/>
        <v>0.54835620554416264</v>
      </c>
      <c r="AB121" s="80"/>
      <c r="AC121" s="15"/>
      <c r="AD121" s="81"/>
      <c r="AE121" s="93">
        <f>'Returns per Bu.'!AD121/'Economic Model'!C$30</f>
        <v>0.57766367137355579</v>
      </c>
      <c r="AF121" s="93">
        <f t="shared" si="47"/>
        <v>1.1173855370132646</v>
      </c>
      <c r="AG121" s="93">
        <f>'Returns per Bu.'!AF121/'Economic Model'!C$30</f>
        <v>1.6950492083868205</v>
      </c>
      <c r="AH121" s="93"/>
      <c r="AI121" s="104"/>
      <c r="AJ121" s="93">
        <f t="shared" si="48"/>
        <v>2.1478492083868206</v>
      </c>
      <c r="AK121" s="93">
        <f t="shared" si="49"/>
        <v>2.3440952205080325</v>
      </c>
      <c r="AL121" s="105"/>
      <c r="AM121" s="93"/>
      <c r="AN121" s="93">
        <f t="shared" si="50"/>
        <v>0.72620296750745972</v>
      </c>
      <c r="AO121" s="93">
        <f t="shared" si="51"/>
        <v>0.52995695538624776</v>
      </c>
      <c r="AP121" s="93">
        <f t="shared" si="52"/>
        <v>0.54835620554416264</v>
      </c>
      <c r="AQ121" s="93">
        <f t="shared" si="53"/>
        <v>-1.8399250157914881E-2</v>
      </c>
      <c r="AR121" s="52"/>
    </row>
    <row r="122" spans="1:44" hidden="1" x14ac:dyDescent="0.2">
      <c r="A122" s="182">
        <v>41791</v>
      </c>
      <c r="B122" s="27"/>
      <c r="C122" s="93">
        <f>Data!D115+'Economic Model'!C$65</f>
        <v>2.2238095238095239</v>
      </c>
      <c r="D122" s="95">
        <f>Data!E115+'Economic Model'!C$66</f>
        <v>167.21428571428572</v>
      </c>
      <c r="E122" s="323"/>
      <c r="F122" s="93">
        <f>Data!G115+'Economic Model'!C$68</f>
        <v>4.4533869047619055</v>
      </c>
      <c r="G122" s="96">
        <f>Data!H115+'Economic Model'!C$69</f>
        <v>8.66</v>
      </c>
      <c r="H122" s="85"/>
      <c r="I122" s="16"/>
      <c r="J122" s="93">
        <f t="shared" si="41"/>
        <v>2.2238095238095239</v>
      </c>
      <c r="K122" s="93">
        <f>D122/2000*('Economic Model'!C$32+0.5)/'Economic Model'!C$30</f>
        <v>0.49577568922305765</v>
      </c>
      <c r="L122" s="319"/>
      <c r="M122" s="93">
        <f t="shared" si="42"/>
        <v>2.7195852130325817</v>
      </c>
      <c r="N122" s="110"/>
      <c r="O122" s="108"/>
      <c r="P122" s="93">
        <f>F122/'Economic Model'!C$30</f>
        <v>1.5625918964076861</v>
      </c>
      <c r="Q122" s="93">
        <f>G122/1000*'Economic Model'!C$34</f>
        <v>0.25979999999999998</v>
      </c>
      <c r="R122" s="93">
        <f>('Economic Model'!H$44+'Economic Model'!H$53)/100</f>
        <v>0.21939999999999998</v>
      </c>
      <c r="S122" s="93">
        <f t="shared" si="43"/>
        <v>2.0417918964076862</v>
      </c>
      <c r="T122" s="93">
        <f>'Economic Model'!H$60/100</f>
        <v>0.19624601212121212</v>
      </c>
      <c r="U122" s="93">
        <f t="shared" si="44"/>
        <v>2.2380379085288982</v>
      </c>
      <c r="V122" s="93">
        <f t="shared" si="40"/>
        <v>1.7422622193058406</v>
      </c>
      <c r="W122" s="105"/>
      <c r="X122" s="93"/>
      <c r="Y122" s="93">
        <f>M122-P122-Q122-('Economic Model'!H$50/100)</f>
        <v>0.85869331662489556</v>
      </c>
      <c r="Z122" s="93">
        <f t="shared" si="45"/>
        <v>0.6777933166248955</v>
      </c>
      <c r="AA122" s="93">
        <f t="shared" si="46"/>
        <v>0.48154730450368355</v>
      </c>
      <c r="AB122" s="80"/>
      <c r="AC122" s="15"/>
      <c r="AD122" s="81"/>
      <c r="AE122" s="93">
        <f>'Returns per Bu.'!AD122/'Economic Model'!C$30</f>
        <v>0.57766367137355579</v>
      </c>
      <c r="AF122" s="93">
        <f t="shared" si="47"/>
        <v>1.1173855370132646</v>
      </c>
      <c r="AG122" s="93">
        <f>'Returns per Bu.'!AF122/'Economic Model'!C$30</f>
        <v>1.6950492083868205</v>
      </c>
      <c r="AH122" s="93"/>
      <c r="AI122" s="104"/>
      <c r="AJ122" s="93">
        <f t="shared" si="48"/>
        <v>2.1742492083868203</v>
      </c>
      <c r="AK122" s="93">
        <f t="shared" si="49"/>
        <v>2.3704952205080323</v>
      </c>
      <c r="AL122" s="105"/>
      <c r="AM122" s="93"/>
      <c r="AN122" s="93">
        <f t="shared" si="50"/>
        <v>0.54533600464576137</v>
      </c>
      <c r="AO122" s="93">
        <f t="shared" si="51"/>
        <v>0.34908999252454942</v>
      </c>
      <c r="AP122" s="93">
        <f t="shared" si="52"/>
        <v>0.48154730450368377</v>
      </c>
      <c r="AQ122" s="93">
        <f t="shared" si="53"/>
        <v>-0.13245731197913435</v>
      </c>
      <c r="AR122" s="52"/>
    </row>
    <row r="123" spans="1:44" hidden="1" x14ac:dyDescent="0.2">
      <c r="A123" s="182">
        <v>41821</v>
      </c>
      <c r="B123" s="27"/>
      <c r="C123" s="93">
        <f>Data!D116+'Economic Model'!C$65</f>
        <v>2.0961363636363632</v>
      </c>
      <c r="D123" s="95">
        <f>Data!E116+'Economic Model'!C$66</f>
        <v>129.56818181818181</v>
      </c>
      <c r="E123" s="323"/>
      <c r="F123" s="93">
        <f>Data!G116+'Economic Model'!C$68</f>
        <v>3.7986363636363638</v>
      </c>
      <c r="G123" s="96">
        <f>Data!H116+'Economic Model'!C$69</f>
        <v>7.6</v>
      </c>
      <c r="H123" s="85"/>
      <c r="I123" s="16"/>
      <c r="J123" s="93">
        <f t="shared" si="41"/>
        <v>2.0961363636363632</v>
      </c>
      <c r="K123" s="93">
        <f>D123/2000*('Economic Model'!C$32+0.5)/'Economic Model'!C$30</f>
        <v>0.38415829346092495</v>
      </c>
      <c r="L123" s="319"/>
      <c r="M123" s="93">
        <f t="shared" si="42"/>
        <v>2.4802946570972884</v>
      </c>
      <c r="N123" s="110"/>
      <c r="O123" s="108"/>
      <c r="P123" s="93">
        <f>F123/'Economic Model'!C$30</f>
        <v>1.3328548644338118</v>
      </c>
      <c r="Q123" s="93">
        <f>G123/1000*'Economic Model'!C$34</f>
        <v>0.22800000000000001</v>
      </c>
      <c r="R123" s="93">
        <f>('Economic Model'!H$44+'Economic Model'!H$53)/100</f>
        <v>0.21939999999999998</v>
      </c>
      <c r="S123" s="93">
        <f t="shared" si="43"/>
        <v>1.7802548644338119</v>
      </c>
      <c r="T123" s="93">
        <f>'Economic Model'!H$60/100</f>
        <v>0.19624601212121212</v>
      </c>
      <c r="U123" s="93">
        <f t="shared" si="44"/>
        <v>1.976500876555024</v>
      </c>
      <c r="V123" s="93">
        <f t="shared" si="40"/>
        <v>1.5923425830940992</v>
      </c>
      <c r="W123" s="105"/>
      <c r="X123" s="93"/>
      <c r="Y123" s="93">
        <f>M123-P123-Q123-('Economic Model'!H$50/100)</f>
        <v>0.88093979266347655</v>
      </c>
      <c r="Z123" s="93">
        <f t="shared" si="45"/>
        <v>0.70003979266347649</v>
      </c>
      <c r="AA123" s="93">
        <f t="shared" si="46"/>
        <v>0.50379378054226431</v>
      </c>
      <c r="AB123" s="80"/>
      <c r="AC123" s="15"/>
      <c r="AD123" s="81"/>
      <c r="AE123" s="93">
        <f>'Returns per Bu.'!AD123/'Economic Model'!C$30</f>
        <v>0.57766367137355579</v>
      </c>
      <c r="AF123" s="93">
        <f t="shared" si="47"/>
        <v>1.1173855370132646</v>
      </c>
      <c r="AG123" s="93">
        <f>'Returns per Bu.'!AF123/'Economic Model'!C$30</f>
        <v>1.6950492083868205</v>
      </c>
      <c r="AH123" s="93"/>
      <c r="AI123" s="104"/>
      <c r="AJ123" s="93">
        <f t="shared" si="48"/>
        <v>2.1424492083868203</v>
      </c>
      <c r="AK123" s="93">
        <f t="shared" si="49"/>
        <v>2.3386952205080322</v>
      </c>
      <c r="AL123" s="105"/>
      <c r="AM123" s="93"/>
      <c r="AN123" s="93">
        <f t="shared" si="50"/>
        <v>0.33784544871046807</v>
      </c>
      <c r="AO123" s="93">
        <f t="shared" si="51"/>
        <v>0.14159943658925611</v>
      </c>
      <c r="AP123" s="93">
        <f t="shared" si="52"/>
        <v>0.50379378054226476</v>
      </c>
      <c r="AQ123" s="93">
        <f t="shared" si="53"/>
        <v>-0.36219434395300865</v>
      </c>
      <c r="AR123" s="52"/>
    </row>
    <row r="124" spans="1:44" hidden="1" x14ac:dyDescent="0.2">
      <c r="A124" s="182">
        <v>41852</v>
      </c>
      <c r="B124" s="27"/>
      <c r="C124" s="93">
        <f>Data!D117+'Economic Model'!C$65</f>
        <v>2.0964285714285715</v>
      </c>
      <c r="D124" s="95">
        <f>Data!E117+'Economic Model'!C$66</f>
        <v>107.91666666666667</v>
      </c>
      <c r="E124" s="323"/>
      <c r="F124" s="93">
        <f>Data!G117+'Economic Model'!C$68</f>
        <v>3.5396428571428582</v>
      </c>
      <c r="G124" s="96">
        <f>Data!H117+'Economic Model'!C$69</f>
        <v>8</v>
      </c>
      <c r="H124" s="85"/>
      <c r="I124" s="16"/>
      <c r="J124" s="93">
        <f t="shared" si="41"/>
        <v>2.0964285714285715</v>
      </c>
      <c r="K124" s="93">
        <f>D124/2000*('Economic Model'!C$32+0.5)/'Economic Model'!C$30</f>
        <v>0.31996345029239764</v>
      </c>
      <c r="L124" s="319"/>
      <c r="M124" s="93">
        <f t="shared" si="42"/>
        <v>2.4163920217209691</v>
      </c>
      <c r="N124" s="110"/>
      <c r="O124" s="108"/>
      <c r="P124" s="93">
        <f>F124/'Economic Model'!C$30</f>
        <v>1.2419799498746871</v>
      </c>
      <c r="Q124" s="93">
        <f>G124/1000*'Economic Model'!C$34</f>
        <v>0.24</v>
      </c>
      <c r="R124" s="93">
        <f>('Economic Model'!H$44+'Economic Model'!H$53)/100</f>
        <v>0.21939999999999998</v>
      </c>
      <c r="S124" s="93">
        <f t="shared" si="43"/>
        <v>1.7013799498746871</v>
      </c>
      <c r="T124" s="93">
        <f>'Economic Model'!H$60/100</f>
        <v>0.19624601212121212</v>
      </c>
      <c r="U124" s="93">
        <f t="shared" si="44"/>
        <v>1.8976259619958993</v>
      </c>
      <c r="V124" s="93">
        <f t="shared" si="40"/>
        <v>1.5776625117035017</v>
      </c>
      <c r="W124" s="105"/>
      <c r="X124" s="93"/>
      <c r="Y124" s="93">
        <f>M124-P124-Q124-('Economic Model'!H$50/100)</f>
        <v>0.89591207184628208</v>
      </c>
      <c r="Z124" s="93">
        <f t="shared" si="45"/>
        <v>0.71501207184628202</v>
      </c>
      <c r="AA124" s="93">
        <f t="shared" si="46"/>
        <v>0.51876605972506984</v>
      </c>
      <c r="AB124" s="80"/>
      <c r="AC124" s="15"/>
      <c r="AD124" s="81"/>
      <c r="AE124" s="93">
        <f>'Returns per Bu.'!AD124/'Economic Model'!C$30</f>
        <v>0.57766367137355579</v>
      </c>
      <c r="AF124" s="93">
        <f t="shared" si="47"/>
        <v>1.1173855370132646</v>
      </c>
      <c r="AG124" s="93">
        <f>'Returns per Bu.'!AF124/'Economic Model'!C$30</f>
        <v>1.6950492083868205</v>
      </c>
      <c r="AH124" s="93"/>
      <c r="AI124" s="104"/>
      <c r="AJ124" s="93">
        <f t="shared" si="48"/>
        <v>2.1544492083868203</v>
      </c>
      <c r="AK124" s="93">
        <f t="shared" si="49"/>
        <v>2.3506952205080323</v>
      </c>
      <c r="AL124" s="105"/>
      <c r="AM124" s="93"/>
      <c r="AN124" s="93">
        <f t="shared" si="50"/>
        <v>0.26194281333414882</v>
      </c>
      <c r="AO124" s="93">
        <f t="shared" si="51"/>
        <v>6.5696801212936862E-2</v>
      </c>
      <c r="AP124" s="93">
        <f t="shared" si="52"/>
        <v>0.51876605972507028</v>
      </c>
      <c r="AQ124" s="93">
        <f t="shared" si="53"/>
        <v>-0.45306925851213342</v>
      </c>
      <c r="AR124" s="52"/>
    </row>
    <row r="125" spans="1:44" hidden="1" x14ac:dyDescent="0.2">
      <c r="A125" s="182">
        <v>41883</v>
      </c>
      <c r="B125" s="27"/>
      <c r="C125" s="93">
        <f>Data!D118+'Economic Model'!C$65</f>
        <v>1.8397727272727267</v>
      </c>
      <c r="D125" s="95">
        <f>Data!E118+'Economic Model'!C$66</f>
        <v>121.72619047619048</v>
      </c>
      <c r="E125" s="323"/>
      <c r="F125" s="93">
        <f>Data!G118+'Economic Model'!C$68</f>
        <v>3.3420357142857129</v>
      </c>
      <c r="G125" s="96">
        <f>Data!H118+'Economic Model'!C$69</f>
        <v>7.8</v>
      </c>
      <c r="H125" s="85"/>
      <c r="I125" s="16"/>
      <c r="J125" s="93">
        <f t="shared" si="41"/>
        <v>1.8397727272727267</v>
      </c>
      <c r="K125" s="93">
        <f>D125/2000*('Economic Model'!C$32+0.5)/'Economic Model'!C$30</f>
        <v>0.36090747702589804</v>
      </c>
      <c r="L125" s="319"/>
      <c r="M125" s="93">
        <f t="shared" si="42"/>
        <v>2.2006802042986249</v>
      </c>
      <c r="N125" s="110"/>
      <c r="O125" s="108"/>
      <c r="P125" s="93">
        <f>F125/'Economic Model'!C$30</f>
        <v>1.1726441102756886</v>
      </c>
      <c r="Q125" s="93">
        <f>G125/1000*'Economic Model'!C$34</f>
        <v>0.23399999999999999</v>
      </c>
      <c r="R125" s="93">
        <f>('Economic Model'!H$44+'Economic Model'!H$53)/100</f>
        <v>0.21939999999999998</v>
      </c>
      <c r="S125" s="93">
        <f t="shared" si="43"/>
        <v>1.6260441102756886</v>
      </c>
      <c r="T125" s="93">
        <f>'Economic Model'!H$60/100</f>
        <v>0.19624601212121212</v>
      </c>
      <c r="U125" s="93">
        <f t="shared" si="44"/>
        <v>1.8222901223969008</v>
      </c>
      <c r="V125" s="93">
        <f t="shared" si="40"/>
        <v>1.4613826453710028</v>
      </c>
      <c r="W125" s="105"/>
      <c r="X125" s="93"/>
      <c r="Y125" s="93">
        <f>M125-P125-Q125-('Economic Model'!H$50/100)</f>
        <v>0.75553609402293631</v>
      </c>
      <c r="Z125" s="93">
        <f t="shared" si="45"/>
        <v>0.57463609402293625</v>
      </c>
      <c r="AA125" s="93">
        <f t="shared" si="46"/>
        <v>0.37839008190172407</v>
      </c>
      <c r="AB125" s="80"/>
      <c r="AC125" s="15"/>
      <c r="AD125" s="81"/>
      <c r="AE125" s="93">
        <f>'Returns per Bu.'!AD125/'Economic Model'!C$30</f>
        <v>0.51251724817662137</v>
      </c>
      <c r="AF125" s="93">
        <f t="shared" si="47"/>
        <v>0.99393356987975556</v>
      </c>
      <c r="AG125" s="93">
        <f>'Returns per Bu.'!AF125/'Economic Model'!C$30</f>
        <v>1.5064508180563769</v>
      </c>
      <c r="AH125" s="93"/>
      <c r="AI125" s="104"/>
      <c r="AJ125" s="93">
        <f t="shared" si="48"/>
        <v>1.959850818056377</v>
      </c>
      <c r="AK125" s="93">
        <f t="shared" si="49"/>
        <v>2.1560968301775891</v>
      </c>
      <c r="AL125" s="105"/>
      <c r="AM125" s="93"/>
      <c r="AN125" s="93">
        <f t="shared" si="50"/>
        <v>0.24082938624224792</v>
      </c>
      <c r="AO125" s="93">
        <f t="shared" si="51"/>
        <v>4.4583374121035746E-2</v>
      </c>
      <c r="AP125" s="93">
        <f t="shared" si="52"/>
        <v>0.37839008190172407</v>
      </c>
      <c r="AQ125" s="93">
        <f t="shared" si="53"/>
        <v>-0.33380670778068833</v>
      </c>
      <c r="AR125" s="52"/>
    </row>
    <row r="126" spans="1:44" hidden="1" x14ac:dyDescent="0.2">
      <c r="A126" s="182">
        <v>41913</v>
      </c>
      <c r="B126" s="27"/>
      <c r="C126" s="93">
        <f>Data!D119+'Economic Model'!C$65</f>
        <v>1.5606521739130437</v>
      </c>
      <c r="D126" s="95">
        <f>Data!E119+'Economic Model'!C$66</f>
        <v>102.86363636363636</v>
      </c>
      <c r="E126" s="323"/>
      <c r="F126" s="93">
        <f>Data!G119+'Economic Model'!C$68</f>
        <v>3.2640909090909087</v>
      </c>
      <c r="G126" s="96">
        <f>Data!H119+'Economic Model'!C$69</f>
        <v>6.67</v>
      </c>
      <c r="H126" s="85"/>
      <c r="I126" s="16"/>
      <c r="J126" s="93">
        <f t="shared" si="41"/>
        <v>1.5606521739130437</v>
      </c>
      <c r="K126" s="93">
        <f>D126/2000*('Economic Model'!C$32+0.5)/'Economic Model'!C$30</f>
        <v>0.30498165869218502</v>
      </c>
      <c r="L126" s="319"/>
      <c r="M126" s="93">
        <f t="shared" si="42"/>
        <v>1.8656338326052286</v>
      </c>
      <c r="N126" s="110"/>
      <c r="O126" s="108"/>
      <c r="P126" s="93">
        <f>F126/'Economic Model'!C$30</f>
        <v>1.1452950558213715</v>
      </c>
      <c r="Q126" s="93">
        <f>G126/1000*'Economic Model'!C$34</f>
        <v>0.2001</v>
      </c>
      <c r="R126" s="93">
        <f>('Economic Model'!H$44+'Economic Model'!H$53)/100</f>
        <v>0.21939999999999998</v>
      </c>
      <c r="S126" s="93">
        <f t="shared" si="43"/>
        <v>1.5647950558213715</v>
      </c>
      <c r="T126" s="93">
        <f>'Economic Model'!H$60/100</f>
        <v>0.19624601212121212</v>
      </c>
      <c r="U126" s="93">
        <f t="shared" si="44"/>
        <v>1.7610410679425836</v>
      </c>
      <c r="V126" s="93">
        <f t="shared" si="40"/>
        <v>1.4560594092503987</v>
      </c>
      <c r="W126" s="105"/>
      <c r="X126" s="93"/>
      <c r="Y126" s="93">
        <f>M126-P126-Q126-('Economic Model'!H$50/100)</f>
        <v>0.48173877678385724</v>
      </c>
      <c r="Z126" s="93">
        <f t="shared" si="45"/>
        <v>0.30083877678385718</v>
      </c>
      <c r="AA126" s="93">
        <f t="shared" si="46"/>
        <v>0.104592764662645</v>
      </c>
      <c r="AB126" s="80"/>
      <c r="AC126" s="15"/>
      <c r="AD126" s="81"/>
      <c r="AE126" s="93">
        <f>'Returns per Bu.'!AD126/'Economic Model'!C$30</f>
        <v>0.51251724817662137</v>
      </c>
      <c r="AF126" s="93">
        <f t="shared" si="47"/>
        <v>0.99393356987975556</v>
      </c>
      <c r="AG126" s="93">
        <f>'Returns per Bu.'!AF126/'Economic Model'!C$30</f>
        <v>1.5064508180563769</v>
      </c>
      <c r="AH126" s="93"/>
      <c r="AI126" s="104"/>
      <c r="AJ126" s="93">
        <f t="shared" si="48"/>
        <v>1.9259508180563769</v>
      </c>
      <c r="AK126" s="93">
        <f t="shared" si="49"/>
        <v>2.1221968301775891</v>
      </c>
      <c r="AL126" s="105"/>
      <c r="AM126" s="93"/>
      <c r="AN126" s="93">
        <f t="shared" si="50"/>
        <v>-6.0316985451148275E-2</v>
      </c>
      <c r="AO126" s="93">
        <f t="shared" si="51"/>
        <v>-0.25656299757236045</v>
      </c>
      <c r="AP126" s="93">
        <f t="shared" si="52"/>
        <v>0.104592764662645</v>
      </c>
      <c r="AQ126" s="93">
        <f t="shared" si="53"/>
        <v>-0.36115576223500545</v>
      </c>
      <c r="AR126" s="52"/>
    </row>
    <row r="127" spans="1:44" hidden="1" x14ac:dyDescent="0.2">
      <c r="A127" s="182">
        <v>41944</v>
      </c>
      <c r="B127" s="27"/>
      <c r="C127" s="93">
        <f>Data!D120+'Economic Model'!C$65</f>
        <v>2.0038888888888886</v>
      </c>
      <c r="D127" s="95">
        <f>Data!E120+'Economic Model'!C$66</f>
        <v>108.33823529411765</v>
      </c>
      <c r="E127" s="323"/>
      <c r="F127" s="93">
        <f>Data!G120+'Economic Model'!C$68</f>
        <v>3.5112500000000004</v>
      </c>
      <c r="G127" s="96">
        <f>Data!H120+'Economic Model'!C$69</f>
        <v>6.49</v>
      </c>
      <c r="H127" s="85"/>
      <c r="I127" s="16"/>
      <c r="J127" s="93">
        <f t="shared" si="41"/>
        <v>2.0038888888888886</v>
      </c>
      <c r="K127" s="93">
        <f>D127/2000*('Economic Model'!C$32+0.5)/'Economic Model'!C$30</f>
        <v>0.32121336429308561</v>
      </c>
      <c r="L127" s="319"/>
      <c r="M127" s="93">
        <f t="shared" si="42"/>
        <v>2.3251022531819743</v>
      </c>
      <c r="N127" s="110"/>
      <c r="O127" s="108"/>
      <c r="P127" s="93">
        <f>F127/'Economic Model'!C$30</f>
        <v>1.2320175438596492</v>
      </c>
      <c r="Q127" s="93">
        <f>G127/1000*'Economic Model'!C$34</f>
        <v>0.19470000000000001</v>
      </c>
      <c r="R127" s="93">
        <f>('Economic Model'!H$44+'Economic Model'!H$53)/100</f>
        <v>0.21939999999999998</v>
      </c>
      <c r="S127" s="93">
        <f t="shared" si="43"/>
        <v>1.6461175438596494</v>
      </c>
      <c r="T127" s="93">
        <f>'Economic Model'!H$60/100</f>
        <v>0.19624601212121212</v>
      </c>
      <c r="U127" s="93">
        <f t="shared" si="44"/>
        <v>1.8423635559808615</v>
      </c>
      <c r="V127" s="93">
        <f t="shared" si="40"/>
        <v>1.5211501916877759</v>
      </c>
      <c r="W127" s="105"/>
      <c r="X127" s="93"/>
      <c r="Y127" s="93">
        <f>M127-P127-Q127-('Economic Model'!H$50/100)</f>
        <v>0.85988470932232508</v>
      </c>
      <c r="Z127" s="93">
        <f t="shared" si="45"/>
        <v>0.67898470932232491</v>
      </c>
      <c r="AA127" s="93">
        <f t="shared" si="46"/>
        <v>0.48273869720111273</v>
      </c>
      <c r="AB127" s="80"/>
      <c r="AC127" s="15"/>
      <c r="AD127" s="81"/>
      <c r="AE127" s="93">
        <f>'Returns per Bu.'!AD127/'Economic Model'!C$30</f>
        <v>0.51251724817662137</v>
      </c>
      <c r="AF127" s="93">
        <f t="shared" si="47"/>
        <v>0.99393356987975556</v>
      </c>
      <c r="AG127" s="93">
        <f>'Returns per Bu.'!AF127/'Economic Model'!C$30</f>
        <v>1.5064508180563769</v>
      </c>
      <c r="AH127" s="93"/>
      <c r="AI127" s="104"/>
      <c r="AJ127" s="93">
        <f t="shared" si="48"/>
        <v>1.9205508180563771</v>
      </c>
      <c r="AK127" s="93">
        <f t="shared" si="49"/>
        <v>2.1167968301775892</v>
      </c>
      <c r="AL127" s="105"/>
      <c r="AM127" s="93"/>
      <c r="AN127" s="93">
        <f t="shared" si="50"/>
        <v>0.40455143512559721</v>
      </c>
      <c r="AO127" s="93">
        <f t="shared" si="51"/>
        <v>0.20830542300438504</v>
      </c>
      <c r="AP127" s="93">
        <f t="shared" si="52"/>
        <v>0.48273869720111273</v>
      </c>
      <c r="AQ127" s="93">
        <f t="shared" si="53"/>
        <v>-0.27443327419672769</v>
      </c>
      <c r="AR127" s="52"/>
    </row>
    <row r="128" spans="1:44" hidden="1" x14ac:dyDescent="0.2">
      <c r="A128" s="68">
        <v>41974</v>
      </c>
      <c r="B128" s="29"/>
      <c r="C128" s="97">
        <f>Data!D121+'Economic Model'!C$65</f>
        <v>2.0152380952380944</v>
      </c>
      <c r="D128" s="99">
        <f>Data!E121+'Economic Model'!C$66</f>
        <v>138.26190476190476</v>
      </c>
      <c r="E128" s="324"/>
      <c r="F128" s="97">
        <f>Data!G121+'Economic Model'!C$68</f>
        <v>3.774791666666665</v>
      </c>
      <c r="G128" s="100">
        <f>Data!H121+'Economic Model'!C$69</f>
        <v>6.91</v>
      </c>
      <c r="H128" s="87"/>
      <c r="I128" s="71"/>
      <c r="J128" s="97">
        <f t="shared" si="41"/>
        <v>2.0152380952380944</v>
      </c>
      <c r="K128" s="97">
        <f>D128/2000*('Economic Model'!C$32+0.5)/'Economic Model'!C$30</f>
        <v>0.40993441938178776</v>
      </c>
      <c r="L128" s="320"/>
      <c r="M128" s="97">
        <f t="shared" si="42"/>
        <v>2.4251725146198821</v>
      </c>
      <c r="N128" s="113"/>
      <c r="O128" s="111"/>
      <c r="P128" s="97">
        <f>F128/'Economic Model'!C$30</f>
        <v>1.3244883040935667</v>
      </c>
      <c r="Q128" s="97">
        <f>G128/1000*'Economic Model'!C$34</f>
        <v>0.20730000000000001</v>
      </c>
      <c r="R128" s="97">
        <f>('Economic Model'!H$44+'Economic Model'!H$53)/100</f>
        <v>0.21939999999999998</v>
      </c>
      <c r="S128" s="97">
        <f t="shared" si="43"/>
        <v>1.7511883040935667</v>
      </c>
      <c r="T128" s="97">
        <f>'Economic Model'!H$60/100</f>
        <v>0.19624601212121212</v>
      </c>
      <c r="U128" s="97">
        <f t="shared" si="44"/>
        <v>1.9474343162147789</v>
      </c>
      <c r="V128" s="97">
        <f t="shared" si="40"/>
        <v>1.5374998968329912</v>
      </c>
      <c r="W128" s="107"/>
      <c r="X128" s="97"/>
      <c r="Y128" s="97">
        <f>M128-P128-Q128-('Economic Model'!H$50/100)</f>
        <v>0.85488421052631547</v>
      </c>
      <c r="Z128" s="97">
        <f t="shared" si="45"/>
        <v>0.67398421052631541</v>
      </c>
      <c r="AA128" s="97">
        <f t="shared" si="46"/>
        <v>0.47773819840510323</v>
      </c>
      <c r="AB128" s="82"/>
      <c r="AC128" s="65"/>
      <c r="AD128" s="83"/>
      <c r="AE128" s="97">
        <f>'Returns per Bu.'!AD128/'Economic Model'!C$30</f>
        <v>0.51251724817662137</v>
      </c>
      <c r="AF128" s="97">
        <f t="shared" si="47"/>
        <v>0.99393356987975556</v>
      </c>
      <c r="AG128" s="97">
        <f>'Returns per Bu.'!AF128/'Economic Model'!C$30</f>
        <v>1.5064508180563769</v>
      </c>
      <c r="AH128" s="97"/>
      <c r="AI128" s="106"/>
      <c r="AJ128" s="97">
        <f t="shared" si="48"/>
        <v>1.933150818056377</v>
      </c>
      <c r="AK128" s="97">
        <f t="shared" si="49"/>
        <v>2.1293968301775892</v>
      </c>
      <c r="AL128" s="107"/>
      <c r="AM128" s="97"/>
      <c r="AN128" s="97">
        <f t="shared" si="50"/>
        <v>0.49202169656350514</v>
      </c>
      <c r="AO128" s="97">
        <f t="shared" si="51"/>
        <v>0.29577568444229296</v>
      </c>
      <c r="AP128" s="97">
        <f t="shared" si="52"/>
        <v>0.47773819840510323</v>
      </c>
      <c r="AQ128" s="97">
        <f t="shared" si="53"/>
        <v>-0.18196251396281027</v>
      </c>
      <c r="AR128" s="64"/>
    </row>
    <row r="129" spans="1:44" hidden="1" x14ac:dyDescent="0.2">
      <c r="A129" s="260">
        <v>42005</v>
      </c>
      <c r="B129" s="27"/>
      <c r="C129" s="93">
        <f>Data!D122+'Economic Model'!C$65</f>
        <v>1.3817500000000009</v>
      </c>
      <c r="D129" s="95">
        <f>Data!E122+'Economic Model'!C$66</f>
        <v>172.5625</v>
      </c>
      <c r="E129" s="323"/>
      <c r="F129" s="93">
        <f>Data!G122+'Economic Model'!C$68</f>
        <v>3.7328750000000013</v>
      </c>
      <c r="G129" s="96">
        <f>Data!H122+'Economic Model'!C$69</f>
        <v>6.42</v>
      </c>
      <c r="H129" s="85"/>
      <c r="I129" s="16"/>
      <c r="J129" s="93">
        <f t="shared" si="41"/>
        <v>1.3817500000000009</v>
      </c>
      <c r="K129" s="93">
        <f>D129/2000*('Economic Model'!C$32+0.5)/'Economic Model'!C$30</f>
        <v>0.51163267543859647</v>
      </c>
      <c r="L129" s="319"/>
      <c r="M129" s="93">
        <f t="shared" si="42"/>
        <v>1.8933826754385974</v>
      </c>
      <c r="N129" s="110"/>
      <c r="O129" s="108"/>
      <c r="P129" s="93">
        <f>F129/'Economic Model'!C$30</f>
        <v>1.3097807017543863</v>
      </c>
      <c r="Q129" s="93">
        <f>G129/1000*'Economic Model'!C$34</f>
        <v>0.19260000000000002</v>
      </c>
      <c r="R129" s="93">
        <f>('Economic Model'!H$44+'Economic Model'!H$53)/100</f>
        <v>0.21939999999999998</v>
      </c>
      <c r="S129" s="93">
        <f t="shared" si="43"/>
        <v>1.7217807017543865</v>
      </c>
      <c r="T129" s="93">
        <f>'Economic Model'!H$60/100</f>
        <v>0.19624601212121212</v>
      </c>
      <c r="U129" s="93">
        <f t="shared" si="44"/>
        <v>1.9180267138755986</v>
      </c>
      <c r="V129" s="93">
        <f t="shared" si="40"/>
        <v>1.4063940384370022</v>
      </c>
      <c r="W129" s="105"/>
      <c r="X129" s="93"/>
      <c r="Y129" s="93">
        <f>M129-P129-Q129-('Economic Model'!H$50/100)</f>
        <v>0.3525019736842111</v>
      </c>
      <c r="Z129" s="93">
        <f t="shared" si="45"/>
        <v>0.17160197368421093</v>
      </c>
      <c r="AA129" s="93">
        <f t="shared" si="46"/>
        <v>-2.4644038437001248E-2</v>
      </c>
      <c r="AB129" s="80"/>
      <c r="AC129" s="15"/>
      <c r="AD129" s="81"/>
      <c r="AE129" s="93">
        <f>'Returns per Bu.'!AD129/'Economic Model'!C$30</f>
        <v>0.51251724817662137</v>
      </c>
      <c r="AF129" s="93">
        <f t="shared" si="47"/>
        <v>0.99393356987975556</v>
      </c>
      <c r="AG129" s="93">
        <f>'Returns per Bu.'!AF129/'Economic Model'!C$30</f>
        <v>1.5064508180563769</v>
      </c>
      <c r="AH129" s="93"/>
      <c r="AI129" s="104"/>
      <c r="AJ129" s="93">
        <f t="shared" si="48"/>
        <v>1.9184508180563771</v>
      </c>
      <c r="AK129" s="93">
        <f t="shared" si="49"/>
        <v>2.1146968301775892</v>
      </c>
      <c r="AL129" s="105"/>
      <c r="AM129" s="93"/>
      <c r="AN129" s="93">
        <f t="shared" si="50"/>
        <v>-2.5068142617779676E-2</v>
      </c>
      <c r="AO129" s="93">
        <f t="shared" si="51"/>
        <v>-0.22131415473899185</v>
      </c>
      <c r="AP129" s="93">
        <f t="shared" si="52"/>
        <v>-2.4644038437001248E-2</v>
      </c>
      <c r="AQ129" s="93">
        <f t="shared" si="53"/>
        <v>-0.19667011630199061</v>
      </c>
      <c r="AR129" s="52"/>
    </row>
    <row r="130" spans="1:44" hidden="1" x14ac:dyDescent="0.2">
      <c r="A130" s="182">
        <v>42036</v>
      </c>
      <c r="B130" s="27"/>
      <c r="C130" s="93">
        <f>Data!D123+'Economic Model'!C$65</f>
        <v>1.3131578947368425</v>
      </c>
      <c r="D130" s="95">
        <f>Data!E123+'Economic Model'!C$66</f>
        <v>170.98684210526315</v>
      </c>
      <c r="E130" s="323"/>
      <c r="F130" s="93">
        <f>Data!G123+'Economic Model'!C$68</f>
        <v>3.7432894736842113</v>
      </c>
      <c r="G130" s="96">
        <f>Data!H123+'Economic Model'!C$69</f>
        <v>5.65</v>
      </c>
      <c r="H130" s="85"/>
      <c r="I130" s="16"/>
      <c r="J130" s="93">
        <f t="shared" si="41"/>
        <v>1.3131578947368425</v>
      </c>
      <c r="K130" s="93">
        <f>D130/2000*('Economic Model'!C$32+0.5)/'Economic Model'!C$30</f>
        <v>0.50696098799630651</v>
      </c>
      <c r="L130" s="319"/>
      <c r="M130" s="93">
        <f t="shared" si="42"/>
        <v>1.8201188827331491</v>
      </c>
      <c r="N130" s="110"/>
      <c r="O130" s="108"/>
      <c r="P130" s="93">
        <f>F130/'Economic Model'!C$30</f>
        <v>1.3134349030470915</v>
      </c>
      <c r="Q130" s="93">
        <f>G130/1000*'Economic Model'!C$34</f>
        <v>0.16950000000000001</v>
      </c>
      <c r="R130" s="93">
        <f>('Economic Model'!H$44+'Economic Model'!H$53)/100</f>
        <v>0.21939999999999998</v>
      </c>
      <c r="S130" s="93">
        <f t="shared" si="43"/>
        <v>1.7023349030470916</v>
      </c>
      <c r="T130" s="93">
        <f>'Economic Model'!H$60/100</f>
        <v>0.19624601212121212</v>
      </c>
      <c r="U130" s="93">
        <f t="shared" si="44"/>
        <v>1.8985809151683037</v>
      </c>
      <c r="V130" s="93">
        <f t="shared" si="40"/>
        <v>1.3916199271719973</v>
      </c>
      <c r="W130" s="105"/>
      <c r="X130" s="93"/>
      <c r="Y130" s="93">
        <f>M130-P130-Q130-('Economic Model'!H$50/100)</f>
        <v>0.29868397968605764</v>
      </c>
      <c r="Z130" s="93">
        <f t="shared" si="45"/>
        <v>0.11778397968605758</v>
      </c>
      <c r="AA130" s="93">
        <f t="shared" si="46"/>
        <v>-7.8462032435154594E-2</v>
      </c>
      <c r="AB130" s="80"/>
      <c r="AC130" s="15"/>
      <c r="AD130" s="81"/>
      <c r="AE130" s="93">
        <f>'Returns per Bu.'!AD130/'Economic Model'!C$30</f>
        <v>0.51251724817662137</v>
      </c>
      <c r="AF130" s="93">
        <f t="shared" si="47"/>
        <v>0.99393356987975556</v>
      </c>
      <c r="AG130" s="93">
        <f>'Returns per Bu.'!AF130/'Economic Model'!C$30</f>
        <v>1.5064508180563769</v>
      </c>
      <c r="AH130" s="93"/>
      <c r="AI130" s="104"/>
      <c r="AJ130" s="93">
        <f t="shared" si="48"/>
        <v>1.895350818056377</v>
      </c>
      <c r="AK130" s="93">
        <f t="shared" si="49"/>
        <v>2.0915968301775889</v>
      </c>
      <c r="AL130" s="105"/>
      <c r="AM130" s="93"/>
      <c r="AN130" s="93">
        <f t="shared" si="50"/>
        <v>-7.5231935323227805E-2</v>
      </c>
      <c r="AO130" s="93">
        <f t="shared" si="51"/>
        <v>-0.27147794744443976</v>
      </c>
      <c r="AP130" s="93">
        <f t="shared" si="52"/>
        <v>-7.8462032435154372E-2</v>
      </c>
      <c r="AQ130" s="93">
        <f t="shared" si="53"/>
        <v>-0.19301591500928539</v>
      </c>
      <c r="AR130" s="52"/>
    </row>
    <row r="131" spans="1:44" hidden="1" x14ac:dyDescent="0.2">
      <c r="A131" s="182">
        <v>42064</v>
      </c>
      <c r="B131" s="27"/>
      <c r="C131" s="93">
        <f>Data!D124+'Economic Model'!C$65</f>
        <v>1.3863636363636365</v>
      </c>
      <c r="D131" s="95">
        <f>Data!E124+'Economic Model'!C$66</f>
        <v>174.5</v>
      </c>
      <c r="E131" s="323"/>
      <c r="F131" s="93">
        <f>Data!G124+'Economic Model'!C$68</f>
        <v>3.7748011363636351</v>
      </c>
      <c r="G131" s="96">
        <f>Data!H124+'Economic Model'!C$69</f>
        <v>5.69</v>
      </c>
      <c r="H131" s="85"/>
      <c r="I131" s="16"/>
      <c r="J131" s="93">
        <f t="shared" si="41"/>
        <v>1.3863636363636365</v>
      </c>
      <c r="K131" s="93">
        <f>D131/2000*('Economic Model'!C$32+0.5)/'Economic Model'!C$30</f>
        <v>0.5173771929824561</v>
      </c>
      <c r="L131" s="319"/>
      <c r="M131" s="93">
        <f t="shared" si="42"/>
        <v>1.9037408293460927</v>
      </c>
      <c r="N131" s="110"/>
      <c r="O131" s="108"/>
      <c r="P131" s="93">
        <f>F131/'Economic Model'!C$30</f>
        <v>1.3244916267942579</v>
      </c>
      <c r="Q131" s="93">
        <f>G131/1000*'Economic Model'!C$34</f>
        <v>0.17070000000000002</v>
      </c>
      <c r="R131" s="93">
        <f>('Economic Model'!H$44+'Economic Model'!H$53)/100</f>
        <v>0.21939999999999998</v>
      </c>
      <c r="S131" s="93">
        <f t="shared" si="43"/>
        <v>1.714591626794258</v>
      </c>
      <c r="T131" s="93">
        <f>'Economic Model'!H$60/100</f>
        <v>0.19624601212121212</v>
      </c>
      <c r="U131" s="93">
        <f t="shared" si="44"/>
        <v>1.9108376389154702</v>
      </c>
      <c r="V131" s="93">
        <f t="shared" si="40"/>
        <v>1.3934604459330142</v>
      </c>
      <c r="W131" s="105"/>
      <c r="X131" s="93"/>
      <c r="Y131" s="93">
        <f>M131-P131-Q131-('Economic Model'!H$50/100)</f>
        <v>0.37004920255183477</v>
      </c>
      <c r="Z131" s="93">
        <f t="shared" si="45"/>
        <v>0.18914920255183465</v>
      </c>
      <c r="AA131" s="93">
        <f t="shared" si="46"/>
        <v>-7.0968095693775268E-3</v>
      </c>
      <c r="AB131" s="80"/>
      <c r="AC131" s="15"/>
      <c r="AD131" s="81"/>
      <c r="AE131" s="93">
        <f>'Returns per Bu.'!AD131/'Economic Model'!C$30</f>
        <v>0.51251724817662137</v>
      </c>
      <c r="AF131" s="93">
        <f t="shared" si="47"/>
        <v>0.99393356987975556</v>
      </c>
      <c r="AG131" s="93">
        <f>'Returns per Bu.'!AF131/'Economic Model'!C$30</f>
        <v>1.5064508180563769</v>
      </c>
      <c r="AH131" s="93"/>
      <c r="AI131" s="104"/>
      <c r="AJ131" s="93">
        <f t="shared" si="48"/>
        <v>1.896550818056377</v>
      </c>
      <c r="AK131" s="93">
        <f t="shared" si="49"/>
        <v>2.0927968301775892</v>
      </c>
      <c r="AL131" s="105"/>
      <c r="AM131" s="93"/>
      <c r="AN131" s="93">
        <f t="shared" si="50"/>
        <v>7.1900112897156365E-3</v>
      </c>
      <c r="AO131" s="93">
        <f t="shared" si="51"/>
        <v>-0.18905600083149654</v>
      </c>
      <c r="AP131" s="93">
        <f t="shared" si="52"/>
        <v>-7.0968095693775268E-3</v>
      </c>
      <c r="AQ131" s="93">
        <f t="shared" si="53"/>
        <v>-0.18195919126211901</v>
      </c>
      <c r="AR131" s="52"/>
    </row>
    <row r="132" spans="1:44" hidden="1" x14ac:dyDescent="0.2">
      <c r="A132" s="182">
        <v>42095</v>
      </c>
      <c r="B132" s="27"/>
      <c r="C132" s="93">
        <f>Data!D125+'Economic Model'!C$65</f>
        <v>1.4792857142857136</v>
      </c>
      <c r="D132" s="95">
        <f>Data!E125+'Economic Model'!C$66</f>
        <v>180.5</v>
      </c>
      <c r="E132" s="323"/>
      <c r="F132" s="93">
        <f>Data!G125+'Economic Model'!C$68</f>
        <v>3.68485119047619</v>
      </c>
      <c r="G132" s="96">
        <f>Data!H125+'Economic Model'!C$69</f>
        <v>4.4800000000000004</v>
      </c>
      <c r="H132" s="85"/>
      <c r="I132" s="16"/>
      <c r="J132" s="93">
        <f t="shared" si="41"/>
        <v>1.4792857142857136</v>
      </c>
      <c r="K132" s="93">
        <f>D132/2000*('Economic Model'!C$32+0.5)/'Economic Model'!C$30</f>
        <v>0.53516666666666657</v>
      </c>
      <c r="L132" s="319"/>
      <c r="M132" s="93">
        <f t="shared" si="42"/>
        <v>2.0144523809523802</v>
      </c>
      <c r="N132" s="110"/>
      <c r="O132" s="108"/>
      <c r="P132" s="93">
        <f>F132/'Economic Model'!C$30</f>
        <v>1.2929302422723474</v>
      </c>
      <c r="Q132" s="93">
        <f>G132/1000*'Economic Model'!C$34</f>
        <v>0.13440000000000002</v>
      </c>
      <c r="R132" s="93">
        <f>('Economic Model'!H$44+'Economic Model'!H$53)/100</f>
        <v>0.21939999999999998</v>
      </c>
      <c r="S132" s="93">
        <f t="shared" si="43"/>
        <v>1.6467302422723475</v>
      </c>
      <c r="T132" s="93">
        <f>'Economic Model'!H$60/100</f>
        <v>0.19624601212121212</v>
      </c>
      <c r="U132" s="93">
        <f t="shared" si="44"/>
        <v>1.8429762543935597</v>
      </c>
      <c r="V132" s="93">
        <f t="shared" si="40"/>
        <v>1.3078095877268932</v>
      </c>
      <c r="W132" s="105"/>
      <c r="X132" s="93"/>
      <c r="Y132" s="93">
        <f>M132-P132-Q132-('Economic Model'!H$50/100)</f>
        <v>0.54862213868003273</v>
      </c>
      <c r="Z132" s="93">
        <f t="shared" si="45"/>
        <v>0.36772213868003267</v>
      </c>
      <c r="AA132" s="93">
        <f t="shared" si="46"/>
        <v>0.1714761265588205</v>
      </c>
      <c r="AB132" s="80"/>
      <c r="AC132" s="15"/>
      <c r="AD132" s="81"/>
      <c r="AE132" s="93">
        <f>'Returns per Bu.'!AD132/'Economic Model'!C$30</f>
        <v>0.51251724817662137</v>
      </c>
      <c r="AF132" s="93">
        <f t="shared" si="47"/>
        <v>0.99393356987975556</v>
      </c>
      <c r="AG132" s="93">
        <f>'Returns per Bu.'!AF132/'Economic Model'!C$30</f>
        <v>1.5064508180563769</v>
      </c>
      <c r="AH132" s="93"/>
      <c r="AI132" s="104"/>
      <c r="AJ132" s="93">
        <f t="shared" si="48"/>
        <v>1.860250818056377</v>
      </c>
      <c r="AK132" s="93">
        <f t="shared" si="49"/>
        <v>2.056496830177589</v>
      </c>
      <c r="AL132" s="105"/>
      <c r="AM132" s="93"/>
      <c r="AN132" s="93">
        <f t="shared" si="50"/>
        <v>0.15420156289600317</v>
      </c>
      <c r="AO132" s="93">
        <f t="shared" si="51"/>
        <v>-4.204444922520878E-2</v>
      </c>
      <c r="AP132" s="93">
        <f t="shared" si="52"/>
        <v>0.17147612655882072</v>
      </c>
      <c r="AQ132" s="93">
        <f t="shared" si="53"/>
        <v>-0.2135205757840295</v>
      </c>
      <c r="AR132" s="52"/>
    </row>
    <row r="133" spans="1:44" hidden="1" x14ac:dyDescent="0.2">
      <c r="A133" s="182">
        <v>42125</v>
      </c>
      <c r="B133" s="27"/>
      <c r="C133" s="93">
        <f>Data!D126+'Economic Model'!C$65</f>
        <v>1.5679999999999994</v>
      </c>
      <c r="D133" s="95">
        <f>Data!E126+'Economic Model'!C$66</f>
        <v>169.0625</v>
      </c>
      <c r="E133" s="323"/>
      <c r="F133" s="93">
        <f>Data!G126+'Economic Model'!C$68</f>
        <v>3.5542500000000006</v>
      </c>
      <c r="G133" s="96">
        <f>Data!H126+'Economic Model'!C$69</f>
        <v>4.7699999999999996</v>
      </c>
      <c r="H133" s="85"/>
      <c r="I133" s="16"/>
      <c r="J133" s="93">
        <f t="shared" si="41"/>
        <v>1.5679999999999994</v>
      </c>
      <c r="K133" s="93">
        <f>D133/2000*('Economic Model'!C$32+0.5)/'Economic Model'!C$30</f>
        <v>0.50125548245614027</v>
      </c>
      <c r="L133" s="319"/>
      <c r="M133" s="93">
        <f t="shared" si="42"/>
        <v>2.0692554824561395</v>
      </c>
      <c r="N133" s="110"/>
      <c r="O133" s="108"/>
      <c r="P133" s="93">
        <f>F133/'Economic Model'!C$30</f>
        <v>1.2471052631578949</v>
      </c>
      <c r="Q133" s="93">
        <f>G133/1000*'Economic Model'!C$34</f>
        <v>0.1431</v>
      </c>
      <c r="R133" s="93">
        <f>('Economic Model'!H$44+'Economic Model'!H$53)/100</f>
        <v>0.21939999999999998</v>
      </c>
      <c r="S133" s="93">
        <f t="shared" si="43"/>
        <v>1.609605263157895</v>
      </c>
      <c r="T133" s="93">
        <f>'Economic Model'!H$60/100</f>
        <v>0.19624601212121212</v>
      </c>
      <c r="U133" s="93">
        <f t="shared" si="44"/>
        <v>1.8058512752791072</v>
      </c>
      <c r="V133" s="93">
        <f t="shared" si="40"/>
        <v>1.3045957928229668</v>
      </c>
      <c r="W133" s="105"/>
      <c r="X133" s="93"/>
      <c r="Y133" s="93">
        <f>M133-P133-Q133-('Economic Model'!H$50/100)</f>
        <v>0.64055021929824463</v>
      </c>
      <c r="Z133" s="93">
        <f t="shared" si="45"/>
        <v>0.45965021929824457</v>
      </c>
      <c r="AA133" s="93">
        <f t="shared" si="46"/>
        <v>0.26340420717703239</v>
      </c>
      <c r="AB133" s="80"/>
      <c r="AC133" s="15"/>
      <c r="AD133" s="81"/>
      <c r="AE133" s="93">
        <f>'Returns per Bu.'!AD133/'Economic Model'!C$30</f>
        <v>0.51251724817662137</v>
      </c>
      <c r="AF133" s="93">
        <f t="shared" si="47"/>
        <v>0.99393356987975556</v>
      </c>
      <c r="AG133" s="93">
        <f>'Returns per Bu.'!AF133/'Economic Model'!C$30</f>
        <v>1.5064508180563769</v>
      </c>
      <c r="AH133" s="93"/>
      <c r="AI133" s="104"/>
      <c r="AJ133" s="93">
        <f t="shared" si="48"/>
        <v>1.868950818056377</v>
      </c>
      <c r="AK133" s="93">
        <f t="shared" si="49"/>
        <v>2.0651968301775891</v>
      </c>
      <c r="AL133" s="105"/>
      <c r="AM133" s="93"/>
      <c r="AN133" s="93">
        <f t="shared" si="50"/>
        <v>0.20030466439976258</v>
      </c>
      <c r="AO133" s="93">
        <f t="shared" si="51"/>
        <v>4.0586522785504009E-3</v>
      </c>
      <c r="AP133" s="93">
        <f t="shared" si="52"/>
        <v>0.26340420717703239</v>
      </c>
      <c r="AQ133" s="93">
        <f t="shared" si="53"/>
        <v>-0.25934555489848199</v>
      </c>
      <c r="AR133" s="52"/>
    </row>
    <row r="134" spans="1:44" hidden="1" x14ac:dyDescent="0.2">
      <c r="A134" s="182">
        <v>42156</v>
      </c>
      <c r="B134" s="27"/>
      <c r="C134" s="93">
        <f>Data!D127+'Economic Model'!C$65</f>
        <v>1.4402272727272736</v>
      </c>
      <c r="D134" s="95">
        <f>Data!E127+'Economic Model'!C$66</f>
        <v>148.25</v>
      </c>
      <c r="E134" s="323"/>
      <c r="F134" s="93">
        <f>Data!G127+'Economic Model'!C$68</f>
        <v>3.5038715909090898</v>
      </c>
      <c r="G134" s="96">
        <f>Data!H127+'Economic Model'!C$69</f>
        <v>4.78</v>
      </c>
      <c r="H134" s="85"/>
      <c r="I134" s="16"/>
      <c r="J134" s="93">
        <f t="shared" si="41"/>
        <v>1.4402272727272736</v>
      </c>
      <c r="K134" s="93">
        <f>D134/2000*('Economic Model'!C$32+0.5)/'Economic Model'!C$30</f>
        <v>0.43954824561403505</v>
      </c>
      <c r="L134" s="319"/>
      <c r="M134" s="93">
        <f t="shared" si="42"/>
        <v>1.8797755183413085</v>
      </c>
      <c r="N134" s="110"/>
      <c r="O134" s="108"/>
      <c r="P134" s="93">
        <f>F134/'Economic Model'!C$30</f>
        <v>1.2294286283891542</v>
      </c>
      <c r="Q134" s="93">
        <f>G134/1000*'Economic Model'!C$34</f>
        <v>0.1434</v>
      </c>
      <c r="R134" s="93">
        <f>('Economic Model'!H$44+'Economic Model'!H$53)/100</f>
        <v>0.21939999999999998</v>
      </c>
      <c r="S134" s="93">
        <f t="shared" si="43"/>
        <v>1.5922286283891542</v>
      </c>
      <c r="T134" s="93">
        <f>'Economic Model'!H$60/100</f>
        <v>0.19624601212121212</v>
      </c>
      <c r="U134" s="93">
        <f t="shared" si="44"/>
        <v>1.7884746405103664</v>
      </c>
      <c r="V134" s="93">
        <f t="shared" si="40"/>
        <v>1.3489263948963313</v>
      </c>
      <c r="W134" s="105"/>
      <c r="X134" s="93"/>
      <c r="Y134" s="93">
        <f>M134-P134-Q134-('Economic Model'!H$50/100)</f>
        <v>0.46844688995215433</v>
      </c>
      <c r="Z134" s="93">
        <f t="shared" si="45"/>
        <v>0.28754688995215427</v>
      </c>
      <c r="AA134" s="93">
        <f t="shared" si="46"/>
        <v>9.1300877830942095E-2</v>
      </c>
      <c r="AB134" s="80"/>
      <c r="AC134" s="15"/>
      <c r="AD134" s="81"/>
      <c r="AE134" s="93">
        <f>'Returns per Bu.'!AD134/'Economic Model'!C$30</f>
        <v>0.51251724817662137</v>
      </c>
      <c r="AF134" s="93">
        <f t="shared" si="47"/>
        <v>0.99393356987975556</v>
      </c>
      <c r="AG134" s="93">
        <f>'Returns per Bu.'!AF134/'Economic Model'!C$30</f>
        <v>1.5064508180563769</v>
      </c>
      <c r="AH134" s="93"/>
      <c r="AI134" s="104"/>
      <c r="AJ134" s="93">
        <f t="shared" si="48"/>
        <v>1.8692508180563769</v>
      </c>
      <c r="AK134" s="93">
        <f t="shared" si="49"/>
        <v>2.0654968301775889</v>
      </c>
      <c r="AL134" s="105"/>
      <c r="AM134" s="93"/>
      <c r="AN134" s="93">
        <f t="shared" si="50"/>
        <v>1.0524700284931576E-2</v>
      </c>
      <c r="AO134" s="93">
        <f t="shared" si="51"/>
        <v>-0.18572131183628038</v>
      </c>
      <c r="AP134" s="93">
        <f t="shared" si="52"/>
        <v>9.1300877830942317E-2</v>
      </c>
      <c r="AQ134" s="93">
        <f t="shared" si="53"/>
        <v>-0.2770221896672227</v>
      </c>
      <c r="AR134" s="52"/>
    </row>
    <row r="135" spans="1:44" hidden="1" x14ac:dyDescent="0.2">
      <c r="A135" s="182">
        <v>42186</v>
      </c>
      <c r="B135" s="27"/>
      <c r="C135" s="93">
        <f>Data!D128+'Economic Model'!C$65</f>
        <v>1.4927272727272729</v>
      </c>
      <c r="D135" s="95">
        <f>Data!E128+'Economic Model'!C$66</f>
        <v>141.97727272727272</v>
      </c>
      <c r="E135" s="323"/>
      <c r="F135" s="93">
        <f>Data!G128+'Economic Model'!C$68</f>
        <v>3.812727272727273</v>
      </c>
      <c r="G135" s="96">
        <f>Data!H128+'Economic Model'!C$69</f>
        <v>5.46</v>
      </c>
      <c r="H135" s="85"/>
      <c r="I135" s="16"/>
      <c r="J135" s="93">
        <f t="shared" si="41"/>
        <v>1.4927272727272729</v>
      </c>
      <c r="K135" s="93">
        <f>D135/2000*('Economic Model'!C$32+0.5)/'Economic Model'!C$30</f>
        <v>0.42095015948963316</v>
      </c>
      <c r="L135" s="319"/>
      <c r="M135" s="93">
        <f t="shared" si="42"/>
        <v>1.9136774322169061</v>
      </c>
      <c r="N135" s="110"/>
      <c r="O135" s="108"/>
      <c r="P135" s="93">
        <f>F135/'Economic Model'!C$30</f>
        <v>1.3377990430622011</v>
      </c>
      <c r="Q135" s="93">
        <f>G135/1000*'Economic Model'!C$34</f>
        <v>0.1638</v>
      </c>
      <c r="R135" s="93">
        <f>('Economic Model'!H$44+'Economic Model'!H$53)/100</f>
        <v>0.21939999999999998</v>
      </c>
      <c r="S135" s="93">
        <f t="shared" si="43"/>
        <v>1.7209990430622011</v>
      </c>
      <c r="T135" s="93">
        <f>'Economic Model'!H$60/100</f>
        <v>0.19624601212121212</v>
      </c>
      <c r="U135" s="93">
        <f t="shared" si="44"/>
        <v>1.9172450551834133</v>
      </c>
      <c r="V135" s="93">
        <f t="shared" si="40"/>
        <v>1.49629489569378</v>
      </c>
      <c r="W135" s="105"/>
      <c r="X135" s="93"/>
      <c r="Y135" s="93">
        <f>M135-P135-Q135-('Economic Model'!H$50/100)</f>
        <v>0.37357838915470504</v>
      </c>
      <c r="Z135" s="93">
        <f t="shared" si="45"/>
        <v>0.19267838915470503</v>
      </c>
      <c r="AA135" s="93">
        <f t="shared" si="46"/>
        <v>-3.5676229665071446E-3</v>
      </c>
      <c r="AB135" s="80"/>
      <c r="AC135" s="15"/>
      <c r="AD135" s="81"/>
      <c r="AE135" s="93">
        <f>'Returns per Bu.'!AD135/'Economic Model'!C$30</f>
        <v>0.51251724817662137</v>
      </c>
      <c r="AF135" s="93">
        <f t="shared" si="47"/>
        <v>0.99393356987975556</v>
      </c>
      <c r="AG135" s="93">
        <f>'Returns per Bu.'!AF135/'Economic Model'!C$30</f>
        <v>1.5064508180563769</v>
      </c>
      <c r="AH135" s="93"/>
      <c r="AI135" s="104"/>
      <c r="AJ135" s="93">
        <f t="shared" si="48"/>
        <v>1.8896508180563769</v>
      </c>
      <c r="AK135" s="93">
        <f t="shared" si="49"/>
        <v>2.0858968301775889</v>
      </c>
      <c r="AL135" s="105"/>
      <c r="AM135" s="93"/>
      <c r="AN135" s="93">
        <f t="shared" si="50"/>
        <v>2.4026614160529203E-2</v>
      </c>
      <c r="AO135" s="93">
        <f t="shared" si="51"/>
        <v>-0.17221939796068275</v>
      </c>
      <c r="AP135" s="93">
        <f t="shared" si="52"/>
        <v>-3.5676229665069226E-3</v>
      </c>
      <c r="AQ135" s="93">
        <f t="shared" si="53"/>
        <v>-0.16865177499417583</v>
      </c>
      <c r="AR135" s="52"/>
    </row>
    <row r="136" spans="1:44" hidden="1" x14ac:dyDescent="0.2">
      <c r="A136" s="182">
        <v>42217</v>
      </c>
      <c r="B136" s="27"/>
      <c r="C136" s="93">
        <f>Data!D129+'Economic Model'!C$65</f>
        <v>1.4154761904761906</v>
      </c>
      <c r="D136" s="95">
        <f>Data!E129+'Economic Model'!C$66</f>
        <v>144.75</v>
      </c>
      <c r="E136" s="323"/>
      <c r="F136" s="93">
        <f>Data!G129+'Economic Model'!C$68</f>
        <v>3.5095833333333326</v>
      </c>
      <c r="G136" s="96">
        <f>Data!H129+'Economic Model'!C$69</f>
        <v>5.13</v>
      </c>
      <c r="H136" s="85"/>
      <c r="I136" s="16"/>
      <c r="J136" s="93">
        <f t="shared" si="41"/>
        <v>1.4154761904761906</v>
      </c>
      <c r="K136" s="93">
        <f>D136/2000*('Economic Model'!C$32+0.5)/'Economic Model'!C$30</f>
        <v>0.42917105263157884</v>
      </c>
      <c r="L136" s="319"/>
      <c r="M136" s="93">
        <f t="shared" si="42"/>
        <v>1.8446472431077694</v>
      </c>
      <c r="N136" s="110"/>
      <c r="O136" s="108"/>
      <c r="P136" s="93">
        <f>F136/'Economic Model'!C$30</f>
        <v>1.2314327485380114</v>
      </c>
      <c r="Q136" s="93">
        <f>G136/1000*'Economic Model'!C$34</f>
        <v>0.15390000000000001</v>
      </c>
      <c r="R136" s="93">
        <f>('Economic Model'!H$44+'Economic Model'!H$53)/100</f>
        <v>0.21939999999999998</v>
      </c>
      <c r="S136" s="93">
        <f t="shared" si="43"/>
        <v>1.6047327485380114</v>
      </c>
      <c r="T136" s="93">
        <f>'Economic Model'!H$60/100</f>
        <v>0.19624601212121212</v>
      </c>
      <c r="U136" s="93">
        <f t="shared" si="44"/>
        <v>1.8009787606592236</v>
      </c>
      <c r="V136" s="93">
        <f t="shared" si="40"/>
        <v>1.3718077080276447</v>
      </c>
      <c r="W136" s="105"/>
      <c r="X136" s="93"/>
      <c r="Y136" s="93">
        <f>M136-P136-Q136-('Economic Model'!H$50/100)</f>
        <v>0.42081449456975795</v>
      </c>
      <c r="Z136" s="93">
        <f t="shared" si="45"/>
        <v>0.239914494569758</v>
      </c>
      <c r="AA136" s="93">
        <f t="shared" si="46"/>
        <v>4.366848244854582E-2</v>
      </c>
      <c r="AB136" s="80"/>
      <c r="AC136" s="15"/>
      <c r="AD136" s="81"/>
      <c r="AE136" s="93">
        <f>'Returns per Bu.'!AD136/'Economic Model'!C$30</f>
        <v>0.51251724817662137</v>
      </c>
      <c r="AF136" s="93">
        <f t="shared" si="47"/>
        <v>0.99393356987975556</v>
      </c>
      <c r="AG136" s="93">
        <f>'Returns per Bu.'!AF136/'Economic Model'!C$30</f>
        <v>1.5064508180563769</v>
      </c>
      <c r="AH136" s="93"/>
      <c r="AI136" s="104"/>
      <c r="AJ136" s="93">
        <f t="shared" si="48"/>
        <v>1.8797508180563769</v>
      </c>
      <c r="AK136" s="93">
        <f t="shared" si="49"/>
        <v>2.0759968301775888</v>
      </c>
      <c r="AL136" s="105"/>
      <c r="AM136" s="93"/>
      <c r="AN136" s="93">
        <f t="shared" si="50"/>
        <v>-3.5103574948607497E-2</v>
      </c>
      <c r="AO136" s="93">
        <f t="shared" si="51"/>
        <v>-0.23134958706981945</v>
      </c>
      <c r="AP136" s="93">
        <f t="shared" si="52"/>
        <v>4.3668482448546042E-2</v>
      </c>
      <c r="AQ136" s="93">
        <f t="shared" si="53"/>
        <v>-0.27501806951836549</v>
      </c>
      <c r="AR136" s="52"/>
    </row>
    <row r="137" spans="1:44" hidden="1" x14ac:dyDescent="0.2">
      <c r="A137" s="182">
        <v>42248</v>
      </c>
      <c r="B137" s="27"/>
      <c r="C137" s="93">
        <f>Data!D130+'Economic Model'!C$65</f>
        <v>1.4080952380952378</v>
      </c>
      <c r="D137" s="95">
        <f>Data!E130+'Economic Model'!C$66</f>
        <v>130.26190476190476</v>
      </c>
      <c r="E137" s="323"/>
      <c r="F137" s="93">
        <f>Data!G130+'Economic Model'!C$68</f>
        <v>3.5240476190476202</v>
      </c>
      <c r="G137" s="96">
        <f>Data!H130+'Economic Model'!C$69</f>
        <v>6.19</v>
      </c>
      <c r="H137" s="85"/>
      <c r="I137" s="16"/>
      <c r="J137" s="93">
        <f t="shared" ref="J137:J168" si="54">C137</f>
        <v>1.4080952380952378</v>
      </c>
      <c r="K137" s="93">
        <f>D137/2000*('Economic Model'!C$32+0.5)/'Economic Model'!C$30</f>
        <v>0.38621512113617368</v>
      </c>
      <c r="L137" s="319"/>
      <c r="M137" s="93">
        <f t="shared" si="42"/>
        <v>1.7943103592314116</v>
      </c>
      <c r="N137" s="110"/>
      <c r="O137" s="108"/>
      <c r="P137" s="93">
        <f>F137/'Economic Model'!C$30</f>
        <v>1.2365079365079368</v>
      </c>
      <c r="Q137" s="93">
        <f>G137/1000*'Economic Model'!C$34</f>
        <v>0.1857</v>
      </c>
      <c r="R137" s="93">
        <f>('Economic Model'!H$44+'Economic Model'!H$53)/100</f>
        <v>0.21939999999999998</v>
      </c>
      <c r="S137" s="93">
        <f t="shared" ref="S137:S168" si="55">P137+Q137+R137</f>
        <v>1.6416079365079368</v>
      </c>
      <c r="T137" s="93">
        <f>'Economic Model'!H$60/100</f>
        <v>0.19624601212121212</v>
      </c>
      <c r="U137" s="93">
        <f t="shared" ref="U137:U168" si="56">S137+T137</f>
        <v>1.837853948629149</v>
      </c>
      <c r="V137" s="93">
        <f t="shared" si="40"/>
        <v>1.4516388274929752</v>
      </c>
      <c r="W137" s="105"/>
      <c r="X137" s="93"/>
      <c r="Y137" s="93">
        <f>M137-P137-Q137-('Economic Model'!H$50/100)</f>
        <v>0.33360242272347485</v>
      </c>
      <c r="Z137" s="93">
        <f t="shared" ref="Z137:Z168" si="57">M137-S137</f>
        <v>0.15270242272347478</v>
      </c>
      <c r="AA137" s="93">
        <f t="shared" ref="AA137:AA168" si="58">M137-U137</f>
        <v>-4.3543589397737392E-2</v>
      </c>
      <c r="AB137" s="80"/>
      <c r="AC137" s="15"/>
      <c r="AD137" s="81"/>
      <c r="AE137" s="93">
        <f>'Returns per Bu.'!AD137/'Economic Model'!C$30</f>
        <v>0.44956140350877194</v>
      </c>
      <c r="AF137" s="93">
        <f t="shared" ref="AF137:AF168" si="59">AG137-AE137</f>
        <v>0.93870614035087707</v>
      </c>
      <c r="AG137" s="93">
        <f>'Returns per Bu.'!AF137/'Economic Model'!C$30</f>
        <v>1.388267543859649</v>
      </c>
      <c r="AH137" s="93"/>
      <c r="AI137" s="104"/>
      <c r="AJ137" s="93">
        <f t="shared" ref="AJ137:AJ168" si="60">AG137+Q137+R137</f>
        <v>1.793367543859649</v>
      </c>
      <c r="AK137" s="93">
        <f t="shared" ref="AK137:AK168" si="61">T137+AJ137</f>
        <v>1.9896135559808612</v>
      </c>
      <c r="AL137" s="105"/>
      <c r="AM137" s="93"/>
      <c r="AN137" s="93">
        <f t="shared" ref="AN137:AN168" si="62">M137-AJ137</f>
        <v>9.4281537176255092E-4</v>
      </c>
      <c r="AO137" s="93">
        <f t="shared" ref="AO137:AO168" si="63">M137-AK137</f>
        <v>-0.19530319674944963</v>
      </c>
      <c r="AP137" s="93">
        <f t="shared" ref="AP137:AP168" si="64">AO137-AQ137</f>
        <v>-4.3543589397737392E-2</v>
      </c>
      <c r="AQ137" s="93">
        <f t="shared" ref="AQ137:AQ168" si="65">P137-AG137</f>
        <v>-0.15175960735171223</v>
      </c>
      <c r="AR137" s="52"/>
    </row>
    <row r="138" spans="1:44" hidden="1" x14ac:dyDescent="0.2">
      <c r="A138" s="182">
        <v>42278</v>
      </c>
      <c r="B138" s="27"/>
      <c r="C138" s="93">
        <f>Data!D131+'Economic Model'!C$65</f>
        <v>1.4723809523809526</v>
      </c>
      <c r="D138" s="95">
        <f>Data!E131+'Economic Model'!C$66</f>
        <v>110.61904761904762</v>
      </c>
      <c r="E138" s="323"/>
      <c r="F138" s="93">
        <f>Data!G131+'Economic Model'!C$68</f>
        <v>3.5657142857142854</v>
      </c>
      <c r="G138" s="96">
        <f>Data!H131+'Economic Model'!C$69</f>
        <v>4.57</v>
      </c>
      <c r="H138" s="85"/>
      <c r="I138" s="16"/>
      <c r="J138" s="93">
        <f t="shared" si="54"/>
        <v>1.4723809523809526</v>
      </c>
      <c r="K138" s="93">
        <f>D138/2000*('Economic Model'!C$32+0.5)/'Economic Model'!C$30</f>
        <v>0.32797577276524642</v>
      </c>
      <c r="L138" s="319"/>
      <c r="M138" s="93">
        <f t="shared" si="42"/>
        <v>1.8003567251461989</v>
      </c>
      <c r="N138" s="110"/>
      <c r="O138" s="108"/>
      <c r="P138" s="93">
        <f>F138/'Economic Model'!C$30</f>
        <v>1.251127819548872</v>
      </c>
      <c r="Q138" s="93">
        <f>G138/1000*'Economic Model'!C$34</f>
        <v>0.1371</v>
      </c>
      <c r="R138" s="93">
        <f>('Economic Model'!H$44+'Economic Model'!H$53)/100</f>
        <v>0.21939999999999998</v>
      </c>
      <c r="S138" s="93">
        <f t="shared" si="55"/>
        <v>1.607627819548872</v>
      </c>
      <c r="T138" s="93">
        <f>'Economic Model'!H$60/100</f>
        <v>0.19624601212121212</v>
      </c>
      <c r="U138" s="93">
        <f t="shared" si="56"/>
        <v>1.8038738316700842</v>
      </c>
      <c r="V138" s="93">
        <f t="shared" ref="V138:V201" si="66">U138-K138-L138</f>
        <v>1.4758980589048378</v>
      </c>
      <c r="W138" s="105"/>
      <c r="X138" s="93"/>
      <c r="Y138" s="93">
        <f>M138-P138-Q138-('Economic Model'!H$50/100)</f>
        <v>0.37362890559732698</v>
      </c>
      <c r="Z138" s="93">
        <f t="shared" si="57"/>
        <v>0.19272890559732692</v>
      </c>
      <c r="AA138" s="93">
        <f t="shared" si="58"/>
        <v>-3.5171065238852606E-3</v>
      </c>
      <c r="AB138" s="80"/>
      <c r="AC138" s="15"/>
      <c r="AD138" s="81"/>
      <c r="AE138" s="93">
        <f>'Returns per Bu.'!AD138/'Economic Model'!C$30</f>
        <v>0.44956140350877194</v>
      </c>
      <c r="AF138" s="93">
        <f t="shared" si="59"/>
        <v>0.93870614035087707</v>
      </c>
      <c r="AG138" s="93">
        <f>'Returns per Bu.'!AF138/'Economic Model'!C$30</f>
        <v>1.388267543859649</v>
      </c>
      <c r="AH138" s="93"/>
      <c r="AI138" s="104"/>
      <c r="AJ138" s="93">
        <f t="shared" si="60"/>
        <v>1.7447675438596491</v>
      </c>
      <c r="AK138" s="93">
        <f t="shared" si="61"/>
        <v>1.9410135559808612</v>
      </c>
      <c r="AL138" s="105"/>
      <c r="AM138" s="93"/>
      <c r="AN138" s="93">
        <f t="shared" si="62"/>
        <v>5.5589181286549882E-2</v>
      </c>
      <c r="AO138" s="93">
        <f t="shared" si="63"/>
        <v>-0.14065683083466229</v>
      </c>
      <c r="AP138" s="93">
        <f t="shared" si="64"/>
        <v>-3.5171065238852606E-3</v>
      </c>
      <c r="AQ138" s="93">
        <f t="shared" si="65"/>
        <v>-0.13713972431077703</v>
      </c>
      <c r="AR138" s="52"/>
    </row>
    <row r="139" spans="1:44" hidden="1" x14ac:dyDescent="0.2">
      <c r="A139" s="182">
        <v>42309</v>
      </c>
      <c r="B139" s="27"/>
      <c r="C139" s="93">
        <f>Data!D132+'Economic Model'!C$65</f>
        <v>1.4250000000000007</v>
      </c>
      <c r="D139" s="95">
        <f>Data!E132+'Economic Model'!C$66</f>
        <v>116.05</v>
      </c>
      <c r="E139" s="323"/>
      <c r="F139" s="93">
        <f>Data!G132+'Economic Model'!C$68</f>
        <v>3.4855312500000002</v>
      </c>
      <c r="G139" s="96">
        <f>Data!H132+'Economic Model'!C$69</f>
        <v>5.28</v>
      </c>
      <c r="H139" s="85"/>
      <c r="I139" s="16"/>
      <c r="J139" s="93">
        <f t="shared" si="54"/>
        <v>1.4250000000000007</v>
      </c>
      <c r="K139" s="93">
        <f>D139/2000*('Economic Model'!C$32+0.5)/'Economic Model'!C$30</f>
        <v>0.34407807017543857</v>
      </c>
      <c r="L139" s="319"/>
      <c r="M139" s="93">
        <f t="shared" si="42"/>
        <v>1.7690780701754392</v>
      </c>
      <c r="N139" s="110"/>
      <c r="O139" s="108"/>
      <c r="P139" s="93">
        <f>F139/'Economic Model'!C$30</f>
        <v>1.2229934210526316</v>
      </c>
      <c r="Q139" s="93">
        <f>G139/1000*'Economic Model'!C$34</f>
        <v>0.15839999999999999</v>
      </c>
      <c r="R139" s="93">
        <f>('Economic Model'!H$44+'Economic Model'!H$53)/100</f>
        <v>0.21939999999999998</v>
      </c>
      <c r="S139" s="93">
        <f t="shared" si="55"/>
        <v>1.6007934210526316</v>
      </c>
      <c r="T139" s="93">
        <f>'Economic Model'!H$60/100</f>
        <v>0.19624601212121212</v>
      </c>
      <c r="U139" s="93">
        <f t="shared" si="56"/>
        <v>1.7970394331738437</v>
      </c>
      <c r="V139" s="93">
        <f t="shared" si="66"/>
        <v>1.4529613629984053</v>
      </c>
      <c r="W139" s="105"/>
      <c r="X139" s="93"/>
      <c r="Y139" s="93">
        <f>M139-P139-Q139-('Economic Model'!H$50/100)</f>
        <v>0.34918464912280756</v>
      </c>
      <c r="Z139" s="93">
        <f t="shared" si="57"/>
        <v>0.16828464912280761</v>
      </c>
      <c r="AA139" s="93">
        <f t="shared" si="58"/>
        <v>-2.7961362998404571E-2</v>
      </c>
      <c r="AB139" s="80"/>
      <c r="AC139" s="15"/>
      <c r="AD139" s="81"/>
      <c r="AE139" s="93">
        <f>'Returns per Bu.'!AD139/'Economic Model'!C$30</f>
        <v>0.44956140350877194</v>
      </c>
      <c r="AF139" s="93">
        <f t="shared" si="59"/>
        <v>0.93870614035087707</v>
      </c>
      <c r="AG139" s="93">
        <f>'Returns per Bu.'!AF139/'Economic Model'!C$30</f>
        <v>1.388267543859649</v>
      </c>
      <c r="AH139" s="93"/>
      <c r="AI139" s="104"/>
      <c r="AJ139" s="93">
        <f t="shared" si="60"/>
        <v>1.7660675438596491</v>
      </c>
      <c r="AK139" s="93">
        <f t="shared" si="61"/>
        <v>1.9623135559808613</v>
      </c>
      <c r="AL139" s="105"/>
      <c r="AM139" s="93"/>
      <c r="AN139" s="93">
        <f t="shared" si="62"/>
        <v>3.0105263157900186E-3</v>
      </c>
      <c r="AO139" s="93">
        <f t="shared" si="63"/>
        <v>-0.19323548580542216</v>
      </c>
      <c r="AP139" s="93">
        <f t="shared" si="64"/>
        <v>-2.7961362998404793E-2</v>
      </c>
      <c r="AQ139" s="93">
        <f t="shared" si="65"/>
        <v>-0.16527412280701737</v>
      </c>
      <c r="AR139" s="52"/>
    </row>
    <row r="140" spans="1:44" hidden="1" x14ac:dyDescent="0.2">
      <c r="A140" s="68">
        <v>42339</v>
      </c>
      <c r="B140" s="29"/>
      <c r="C140" s="97">
        <f>Data!D133+'Economic Model'!C$65</f>
        <v>1.3475000000000001</v>
      </c>
      <c r="D140" s="99">
        <f>Data!E133+'Economic Model'!C$66</f>
        <v>120.23863636363636</v>
      </c>
      <c r="E140" s="324"/>
      <c r="F140" s="97">
        <f>Data!G133+'Economic Model'!C$68</f>
        <v>3.5268181818181814</v>
      </c>
      <c r="G140" s="100">
        <f>Data!H133+'Economic Model'!C$69</f>
        <v>4.62</v>
      </c>
      <c r="H140" s="87"/>
      <c r="I140" s="71"/>
      <c r="J140" s="97">
        <f t="shared" si="54"/>
        <v>1.3475000000000001</v>
      </c>
      <c r="K140" s="97">
        <f>D140/2000*('Economic Model'!C$32+0.5)/'Economic Model'!C$30</f>
        <v>0.35649700956937791</v>
      </c>
      <c r="L140" s="320"/>
      <c r="M140" s="97">
        <f t="shared" si="42"/>
        <v>1.7039970095693779</v>
      </c>
      <c r="N140" s="113"/>
      <c r="O140" s="111"/>
      <c r="P140" s="97">
        <f>F140/'Economic Model'!C$30</f>
        <v>1.2374800637958532</v>
      </c>
      <c r="Q140" s="97">
        <f>G140/1000*'Economic Model'!C$34</f>
        <v>0.1386</v>
      </c>
      <c r="R140" s="97">
        <f>('Economic Model'!H$44+'Economic Model'!H$53)/100</f>
        <v>0.21939999999999998</v>
      </c>
      <c r="S140" s="97">
        <f t="shared" si="55"/>
        <v>1.5954800637958533</v>
      </c>
      <c r="T140" s="97">
        <f>'Economic Model'!H$60/100</f>
        <v>0.19624601212121212</v>
      </c>
      <c r="U140" s="97">
        <f t="shared" si="56"/>
        <v>1.7917260759170655</v>
      </c>
      <c r="V140" s="97">
        <f t="shared" si="66"/>
        <v>1.4352290663476874</v>
      </c>
      <c r="W140" s="107"/>
      <c r="X140" s="97"/>
      <c r="Y140" s="97">
        <f>M140-P140-Q140-('Economic Model'!H$50/100)</f>
        <v>0.28941694577352478</v>
      </c>
      <c r="Z140" s="97">
        <f t="shared" si="57"/>
        <v>0.10851694577352466</v>
      </c>
      <c r="AA140" s="97">
        <f t="shared" si="58"/>
        <v>-8.7729066347687512E-2</v>
      </c>
      <c r="AB140" s="82"/>
      <c r="AC140" s="65"/>
      <c r="AD140" s="83"/>
      <c r="AE140" s="97">
        <f>'Returns per Bu.'!AD140/'Economic Model'!C$30</f>
        <v>0.44956140350877194</v>
      </c>
      <c r="AF140" s="97">
        <f t="shared" si="59"/>
        <v>0.93870614035087707</v>
      </c>
      <c r="AG140" s="97">
        <f>'Returns per Bu.'!AF140/'Economic Model'!C$30</f>
        <v>1.388267543859649</v>
      </c>
      <c r="AH140" s="97"/>
      <c r="AI140" s="106"/>
      <c r="AJ140" s="97">
        <f t="shared" si="60"/>
        <v>1.7462675438596491</v>
      </c>
      <c r="AK140" s="97">
        <f t="shared" si="61"/>
        <v>1.9425135559808613</v>
      </c>
      <c r="AL140" s="107"/>
      <c r="AM140" s="97"/>
      <c r="AN140" s="97">
        <f t="shared" si="62"/>
        <v>-4.2270534290271167E-2</v>
      </c>
      <c r="AO140" s="97">
        <f t="shared" si="63"/>
        <v>-0.23851654641148334</v>
      </c>
      <c r="AP140" s="97">
        <f t="shared" si="64"/>
        <v>-8.7729066347687512E-2</v>
      </c>
      <c r="AQ140" s="97">
        <f t="shared" si="65"/>
        <v>-0.15078748006379583</v>
      </c>
      <c r="AR140" s="64"/>
    </row>
    <row r="141" spans="1:44" s="27" customFormat="1" x14ac:dyDescent="0.2">
      <c r="A141" s="260">
        <v>42370</v>
      </c>
      <c r="C141" s="93">
        <f>Data!D134+'Economic Model'!C$65</f>
        <v>1.2348157845798291</v>
      </c>
      <c r="D141" s="95">
        <f>Data!E134+'Economic Model'!C$66</f>
        <v>121.73684210526316</v>
      </c>
      <c r="E141" s="319">
        <f>Data!F134+'Economic Model'!C$67</f>
        <v>0.2429</v>
      </c>
      <c r="F141" s="93">
        <f>Data!G134+'Economic Model'!C$68</f>
        <v>3.4529276250538077</v>
      </c>
      <c r="G141" s="96">
        <f>Data!H134+'Economic Model'!C$69</f>
        <v>5.01</v>
      </c>
      <c r="H141" s="85"/>
      <c r="I141" s="16"/>
      <c r="J141" s="93">
        <f t="shared" si="54"/>
        <v>1.2348157845798291</v>
      </c>
      <c r="K141" s="93">
        <f>D141/2000*'Economic Model'!C$32/'Economic Model'!C$30</f>
        <v>0.35026038781163438</v>
      </c>
      <c r="L141" s="319">
        <f>E141*'Economic Model'!C$33/'Economic Model'!C$30</f>
        <v>5.5398245614035085E-2</v>
      </c>
      <c r="M141" s="93">
        <f t="shared" ref="M141:M176" si="67">J141+K141+L141</f>
        <v>1.6404744180054986</v>
      </c>
      <c r="N141" s="110"/>
      <c r="O141" s="108"/>
      <c r="P141" s="93">
        <f>F141/'Economic Model'!C$30</f>
        <v>1.2115535526504588</v>
      </c>
      <c r="Q141" s="93">
        <f>G141/1000*'Economic Model'!C$34</f>
        <v>0.15029999999999999</v>
      </c>
      <c r="R141" s="93">
        <f>('Economic Model'!H$44+'Economic Model'!H$53)/100</f>
        <v>0.21939999999999998</v>
      </c>
      <c r="S141" s="93">
        <f t="shared" si="55"/>
        <v>1.5812535526504587</v>
      </c>
      <c r="T141" s="93">
        <f>'Economic Model'!H$60/100</f>
        <v>0.19624601212121212</v>
      </c>
      <c r="U141" s="93">
        <f t="shared" si="56"/>
        <v>1.7774995647716709</v>
      </c>
      <c r="V141" s="93">
        <f t="shared" si="66"/>
        <v>1.3718409313460014</v>
      </c>
      <c r="W141" s="105"/>
      <c r="X141" s="93"/>
      <c r="Y141" s="93">
        <f>M141-P141-Q141-('Economic Model'!H$50/100)</f>
        <v>0.24012086535503982</v>
      </c>
      <c r="Z141" s="93">
        <f t="shared" si="57"/>
        <v>5.9220865355039898E-2</v>
      </c>
      <c r="AA141" s="93">
        <f t="shared" si="58"/>
        <v>-0.13702514676617228</v>
      </c>
      <c r="AB141" s="80"/>
      <c r="AC141" s="17"/>
      <c r="AD141" s="81"/>
      <c r="AE141" s="93">
        <f>'Returns per Bu.'!AD141/'Economic Model'!C$30</f>
        <v>0.44956140350877194</v>
      </c>
      <c r="AF141" s="93">
        <f t="shared" si="59"/>
        <v>0.93870614035087707</v>
      </c>
      <c r="AG141" s="93">
        <f>'Returns per Bu.'!AF141/'Economic Model'!C$30</f>
        <v>1.388267543859649</v>
      </c>
      <c r="AH141" s="93"/>
      <c r="AI141" s="104"/>
      <c r="AJ141" s="93">
        <f t="shared" si="60"/>
        <v>1.7579675438596489</v>
      </c>
      <c r="AK141" s="93">
        <f t="shared" si="61"/>
        <v>1.9542135559808611</v>
      </c>
      <c r="AL141" s="105"/>
      <c r="AM141" s="93"/>
      <c r="AN141" s="93">
        <f t="shared" si="62"/>
        <v>-0.11749312585415028</v>
      </c>
      <c r="AO141" s="93">
        <f t="shared" si="63"/>
        <v>-0.31373913797536246</v>
      </c>
      <c r="AP141" s="93">
        <f t="shared" si="64"/>
        <v>-0.13702514676617228</v>
      </c>
      <c r="AQ141" s="93">
        <f t="shared" si="65"/>
        <v>-0.17671399120919018</v>
      </c>
      <c r="AR141" s="52"/>
    </row>
    <row r="142" spans="1:44" x14ac:dyDescent="0.2">
      <c r="A142" s="182">
        <v>42401</v>
      </c>
      <c r="B142" s="27"/>
      <c r="C142" s="93">
        <f>Data!D135+'Economic Model'!C$65</f>
        <v>1.3037500083446503</v>
      </c>
      <c r="D142" s="95">
        <f>Data!E135+'Economic Model'!C$66</f>
        <v>122.6</v>
      </c>
      <c r="E142" s="319">
        <f>Data!F135+'Economic Model'!C$67</f>
        <v>0.255</v>
      </c>
      <c r="F142" s="93">
        <f>Data!G135+'Economic Model'!C$68</f>
        <v>3.4756249994039536</v>
      </c>
      <c r="G142" s="96">
        <f>Data!H135+'Economic Model'!C$69</f>
        <v>4.3600000000000003</v>
      </c>
      <c r="H142" s="85"/>
      <c r="I142" s="16"/>
      <c r="J142" s="93">
        <f t="shared" si="54"/>
        <v>1.3037500083446503</v>
      </c>
      <c r="K142" s="93">
        <f>D142/2000*'Economic Model'!C$32/'Economic Model'!C$30</f>
        <v>0.3527438596491228</v>
      </c>
      <c r="L142" s="319">
        <f>E142*'Economic Model'!C$33/'Economic Model'!C$30</f>
        <v>5.815789473684211E-2</v>
      </c>
      <c r="M142" s="93">
        <f t="shared" si="67"/>
        <v>1.7146517627306153</v>
      </c>
      <c r="N142" s="110"/>
      <c r="O142" s="108"/>
      <c r="P142" s="93">
        <f>F142/'Economic Model'!C$30</f>
        <v>1.2195175436505099</v>
      </c>
      <c r="Q142" s="93">
        <f>G142/1000*'Economic Model'!C$34</f>
        <v>0.1308</v>
      </c>
      <c r="R142" s="93">
        <f>('Economic Model'!H$44+'Economic Model'!H$53)/100</f>
        <v>0.21939999999999998</v>
      </c>
      <c r="S142" s="93">
        <f t="shared" si="55"/>
        <v>1.56971754365051</v>
      </c>
      <c r="T142" s="93">
        <f>'Economic Model'!H$60/100</f>
        <v>0.19624601212121212</v>
      </c>
      <c r="U142" s="93">
        <f t="shared" si="56"/>
        <v>1.7659635557717221</v>
      </c>
      <c r="V142" s="93">
        <f t="shared" si="66"/>
        <v>1.3550618013857572</v>
      </c>
      <c r="W142" s="105"/>
      <c r="X142" s="93"/>
      <c r="Y142" s="93">
        <f>M142-P142-Q142-('Economic Model'!H$50/100)</f>
        <v>0.32583421908010535</v>
      </c>
      <c r="Z142" s="93">
        <f t="shared" si="57"/>
        <v>0.14493421908010529</v>
      </c>
      <c r="AA142" s="93">
        <f t="shared" si="58"/>
        <v>-5.131179304110689E-2</v>
      </c>
      <c r="AB142" s="80"/>
      <c r="AC142" s="15"/>
      <c r="AD142" s="81"/>
      <c r="AE142" s="93">
        <f>'Returns per Bu.'!AD142/'Economic Model'!C$30</f>
        <v>0.44956140350877194</v>
      </c>
      <c r="AF142" s="93">
        <f t="shared" si="59"/>
        <v>0.93870614035087707</v>
      </c>
      <c r="AG142" s="93">
        <f>'Returns per Bu.'!AF142/'Economic Model'!C$30</f>
        <v>1.388267543859649</v>
      </c>
      <c r="AH142" s="93"/>
      <c r="AI142" s="104"/>
      <c r="AJ142" s="93">
        <f t="shared" si="60"/>
        <v>1.7384675438596491</v>
      </c>
      <c r="AK142" s="93">
        <f t="shared" si="61"/>
        <v>1.9347135559808613</v>
      </c>
      <c r="AL142" s="105"/>
      <c r="AM142" s="93"/>
      <c r="AN142" s="93">
        <f t="shared" si="62"/>
        <v>-2.3815781129033819E-2</v>
      </c>
      <c r="AO142" s="93">
        <f t="shared" si="63"/>
        <v>-0.220061793250246</v>
      </c>
      <c r="AP142" s="93">
        <f t="shared" si="64"/>
        <v>-5.131179304110689E-2</v>
      </c>
      <c r="AQ142" s="93">
        <f t="shared" si="65"/>
        <v>-0.16875000020913911</v>
      </c>
      <c r="AR142" s="52"/>
    </row>
    <row r="143" spans="1:44" x14ac:dyDescent="0.2">
      <c r="A143" s="182">
        <v>42430</v>
      </c>
      <c r="B143" s="27"/>
      <c r="C143" s="93">
        <f>Data!D136+'Economic Model'!C$65</f>
        <v>1.272826085401618</v>
      </c>
      <c r="D143" s="95">
        <f>Data!E136+'Economic Model'!C$66</f>
        <v>123.98913043478261</v>
      </c>
      <c r="E143" s="319">
        <f>Data!F136+'Economic Model'!C$67</f>
        <v>0.27989999999999998</v>
      </c>
      <c r="F143" s="93">
        <f>Data!G136+'Economic Model'!C$68</f>
        <v>3.4381521688336911</v>
      </c>
      <c r="G143" s="96">
        <f>Data!H136+'Economic Model'!C$69</f>
        <v>4.8600000000000003</v>
      </c>
      <c r="H143" s="85"/>
      <c r="I143" s="16"/>
      <c r="J143" s="93">
        <f t="shared" si="54"/>
        <v>1.272826085401618</v>
      </c>
      <c r="K143" s="93">
        <f>D143/2000*'Economic Model'!C$32/'Economic Model'!C$30</f>
        <v>0.35674065598779559</v>
      </c>
      <c r="L143" s="319">
        <f>E143*'Economic Model'!C$33/'Economic Model'!C$30</f>
        <v>6.383684210526315E-2</v>
      </c>
      <c r="M143" s="93">
        <f t="shared" si="67"/>
        <v>1.6934035834946766</v>
      </c>
      <c r="N143" s="110"/>
      <c r="O143" s="108"/>
      <c r="P143" s="93">
        <f>F143/'Economic Model'!C$30</f>
        <v>1.2063691820469091</v>
      </c>
      <c r="Q143" s="93">
        <f>G143/1000*'Economic Model'!C$34</f>
        <v>0.14580000000000001</v>
      </c>
      <c r="R143" s="93">
        <f>('Economic Model'!H$44+'Economic Model'!H$53)/100</f>
        <v>0.21939999999999998</v>
      </c>
      <c r="S143" s="93">
        <f t="shared" si="55"/>
        <v>1.5715691820469091</v>
      </c>
      <c r="T143" s="93">
        <f>'Economic Model'!H$60/100</f>
        <v>0.19624601212121212</v>
      </c>
      <c r="U143" s="93">
        <f t="shared" si="56"/>
        <v>1.7678151941681213</v>
      </c>
      <c r="V143" s="93">
        <f t="shared" si="66"/>
        <v>1.3472376960750627</v>
      </c>
      <c r="W143" s="105"/>
      <c r="X143" s="93"/>
      <c r="Y143" s="93">
        <f>M143-P143-Q143-('Economic Model'!H$50/100)</f>
        <v>0.30273440144776742</v>
      </c>
      <c r="Z143" s="93">
        <f t="shared" si="57"/>
        <v>0.12183440144776747</v>
      </c>
      <c r="AA143" s="93">
        <f t="shared" si="58"/>
        <v>-7.4411610673444706E-2</v>
      </c>
      <c r="AB143" s="80"/>
      <c r="AC143" s="15"/>
      <c r="AD143" s="81"/>
      <c r="AE143" s="93">
        <f>'Returns per Bu.'!AD143/'Economic Model'!C$30</f>
        <v>0.44956140350877194</v>
      </c>
      <c r="AF143" s="93">
        <f t="shared" si="59"/>
        <v>0.93870614035087707</v>
      </c>
      <c r="AG143" s="93">
        <f>'Returns per Bu.'!AF143/'Economic Model'!C$30</f>
        <v>1.388267543859649</v>
      </c>
      <c r="AH143" s="93"/>
      <c r="AI143" s="104"/>
      <c r="AJ143" s="93">
        <f t="shared" si="60"/>
        <v>1.753467543859649</v>
      </c>
      <c r="AK143" s="93">
        <f t="shared" si="61"/>
        <v>1.9497135559808612</v>
      </c>
      <c r="AL143" s="105"/>
      <c r="AM143" s="93"/>
      <c r="AN143" s="93">
        <f t="shared" si="62"/>
        <v>-6.0063960364972413E-2</v>
      </c>
      <c r="AO143" s="93">
        <f t="shared" si="63"/>
        <v>-0.25630997248618459</v>
      </c>
      <c r="AP143" s="93">
        <f t="shared" si="64"/>
        <v>-7.4411610673444706E-2</v>
      </c>
      <c r="AQ143" s="93">
        <f t="shared" si="65"/>
        <v>-0.18189836181273988</v>
      </c>
      <c r="AR143" s="52"/>
    </row>
    <row r="144" spans="1:44" x14ac:dyDescent="0.2">
      <c r="A144" s="182">
        <v>42461</v>
      </c>
      <c r="B144" s="27"/>
      <c r="C144" s="93">
        <f>Data!D137+'Economic Model'!C$65</f>
        <v>1.4169047531627474</v>
      </c>
      <c r="D144" s="95">
        <f>Data!E137+'Economic Model'!C$66</f>
        <v>115.80952380952381</v>
      </c>
      <c r="E144" s="319">
        <f>Data!F137+'Economic Model'!C$67</f>
        <v>0.30049999999999999</v>
      </c>
      <c r="F144" s="93">
        <f>Data!G137+'Economic Model'!C$68</f>
        <v>3.4765476158687045</v>
      </c>
      <c r="G144" s="96">
        <f>Data!H137+'Economic Model'!C$69</f>
        <v>4.4400000000000004</v>
      </c>
      <c r="H144" s="85"/>
      <c r="I144" s="16"/>
      <c r="J144" s="93">
        <f t="shared" si="54"/>
        <v>1.4169047531627474</v>
      </c>
      <c r="K144" s="93">
        <f>D144/2000*'Economic Model'!C$32/'Economic Model'!C$30</f>
        <v>0.33320634920634917</v>
      </c>
      <c r="L144" s="319">
        <f>E144*'Economic Model'!C$33/'Economic Model'!C$30</f>
        <v>6.8535087719298241E-2</v>
      </c>
      <c r="M144" s="93">
        <f t="shared" si="67"/>
        <v>1.818646190088395</v>
      </c>
      <c r="N144" s="110"/>
      <c r="O144" s="108"/>
      <c r="P144" s="93">
        <f>F144/'Economic Model'!C$30</f>
        <v>1.2198412687258613</v>
      </c>
      <c r="Q144" s="93">
        <f>G144/1000*'Economic Model'!C$34</f>
        <v>0.13320000000000001</v>
      </c>
      <c r="R144" s="93">
        <f>('Economic Model'!H$44+'Economic Model'!H$53)/100</f>
        <v>0.21939999999999998</v>
      </c>
      <c r="S144" s="93">
        <f t="shared" si="55"/>
        <v>1.5724412687258613</v>
      </c>
      <c r="T144" s="93">
        <f>'Economic Model'!H$60/100</f>
        <v>0.19624601212121212</v>
      </c>
      <c r="U144" s="93">
        <f t="shared" si="56"/>
        <v>1.7686872808470735</v>
      </c>
      <c r="V144" s="93">
        <f t="shared" si="66"/>
        <v>1.3669458439214259</v>
      </c>
      <c r="W144" s="105"/>
      <c r="X144" s="93"/>
      <c r="Y144" s="93">
        <f>M144-P144-Q144-('Economic Model'!H$50/100)</f>
        <v>0.42710492136253375</v>
      </c>
      <c r="Z144" s="93">
        <f t="shared" si="57"/>
        <v>0.24620492136253369</v>
      </c>
      <c r="AA144" s="93">
        <f t="shared" si="58"/>
        <v>4.9958909241321514E-2</v>
      </c>
      <c r="AB144" s="80"/>
      <c r="AC144" s="15"/>
      <c r="AD144" s="81"/>
      <c r="AE144" s="93">
        <f>'Returns per Bu.'!AD144/'Economic Model'!C$30</f>
        <v>0.44956140350877194</v>
      </c>
      <c r="AF144" s="93">
        <f t="shared" si="59"/>
        <v>0.93870614035087707</v>
      </c>
      <c r="AG144" s="93">
        <f>'Returns per Bu.'!AF144/'Economic Model'!C$30</f>
        <v>1.388267543859649</v>
      </c>
      <c r="AH144" s="93"/>
      <c r="AI144" s="104"/>
      <c r="AJ144" s="93">
        <f t="shared" si="60"/>
        <v>1.740867543859649</v>
      </c>
      <c r="AK144" s="93">
        <f t="shared" si="61"/>
        <v>1.9371135559808612</v>
      </c>
      <c r="AL144" s="105"/>
      <c r="AM144" s="93"/>
      <c r="AN144" s="93">
        <f t="shared" si="62"/>
        <v>7.7778646228745973E-2</v>
      </c>
      <c r="AO144" s="93">
        <f t="shared" si="63"/>
        <v>-0.1184673658924662</v>
      </c>
      <c r="AP144" s="93">
        <f t="shared" si="64"/>
        <v>4.9958909241321514E-2</v>
      </c>
      <c r="AQ144" s="93">
        <f t="shared" si="65"/>
        <v>-0.16842627513378772</v>
      </c>
      <c r="AR144" s="52"/>
    </row>
    <row r="145" spans="1:44" x14ac:dyDescent="0.2">
      <c r="A145" s="182">
        <v>42491</v>
      </c>
      <c r="B145" s="27"/>
      <c r="C145" s="93">
        <f>Data!D138+'Economic Model'!C$65</f>
        <v>1.4661904602959042</v>
      </c>
      <c r="D145" s="95">
        <f>Data!E138+'Economic Model'!C$66</f>
        <v>132.0952380952381</v>
      </c>
      <c r="E145" s="319">
        <f>Data!F138+'Economic Model'!C$67</f>
        <v>0.30760000000000004</v>
      </c>
      <c r="F145" s="93">
        <f>Data!G138+'Economic Model'!C$68</f>
        <v>3.607440488792601</v>
      </c>
      <c r="G145" s="96">
        <f>Data!H138+'Economic Model'!C$69</f>
        <v>4.07</v>
      </c>
      <c r="H145" s="85"/>
      <c r="I145" s="16"/>
      <c r="J145" s="93">
        <f t="shared" si="54"/>
        <v>1.4661904602959042</v>
      </c>
      <c r="K145" s="93">
        <f>D145/2000*'Economic Model'!C$32/'Economic Model'!C$30</f>
        <v>0.38006349206349205</v>
      </c>
      <c r="L145" s="319">
        <f>E145*'Economic Model'!C$33/'Economic Model'!C$30</f>
        <v>7.0154385964912289E-2</v>
      </c>
      <c r="M145" s="93">
        <f t="shared" si="67"/>
        <v>1.9164083383243085</v>
      </c>
      <c r="N145" s="110"/>
      <c r="O145" s="108"/>
      <c r="P145" s="93">
        <f>F145/'Economic Model'!C$30</f>
        <v>1.2657685925588074</v>
      </c>
      <c r="Q145" s="93">
        <f>G145/1000*'Economic Model'!C$34</f>
        <v>0.12210000000000001</v>
      </c>
      <c r="R145" s="93">
        <f>('Economic Model'!H$44+'Economic Model'!H$53)/100</f>
        <v>0.21939999999999998</v>
      </c>
      <c r="S145" s="93">
        <f t="shared" si="55"/>
        <v>1.6072685925588075</v>
      </c>
      <c r="T145" s="93">
        <f>'Economic Model'!H$60/100</f>
        <v>0.19624601212121212</v>
      </c>
      <c r="U145" s="93">
        <f t="shared" si="56"/>
        <v>1.8035146046800197</v>
      </c>
      <c r="V145" s="93">
        <f t="shared" si="66"/>
        <v>1.3532967266516154</v>
      </c>
      <c r="W145" s="105"/>
      <c r="X145" s="93"/>
      <c r="Y145" s="93">
        <f>M145-P145-Q145-('Economic Model'!H$50/100)</f>
        <v>0.49003974576550113</v>
      </c>
      <c r="Z145" s="93">
        <f t="shared" si="57"/>
        <v>0.30913974576550096</v>
      </c>
      <c r="AA145" s="93">
        <f t="shared" si="58"/>
        <v>0.11289373364428879</v>
      </c>
      <c r="AB145" s="80"/>
      <c r="AC145" s="15"/>
      <c r="AD145" s="81"/>
      <c r="AE145" s="93">
        <f>'Returns per Bu.'!AD145/'Economic Model'!C$30</f>
        <v>0.44956140350877194</v>
      </c>
      <c r="AF145" s="93">
        <f t="shared" si="59"/>
        <v>0.93870614035087707</v>
      </c>
      <c r="AG145" s="93">
        <f>'Returns per Bu.'!AF145/'Economic Model'!C$30</f>
        <v>1.388267543859649</v>
      </c>
      <c r="AH145" s="93"/>
      <c r="AI145" s="104"/>
      <c r="AJ145" s="93">
        <f t="shared" si="60"/>
        <v>1.7297675438596491</v>
      </c>
      <c r="AK145" s="93">
        <f t="shared" si="61"/>
        <v>1.9260135559808613</v>
      </c>
      <c r="AL145" s="105"/>
      <c r="AM145" s="93"/>
      <c r="AN145" s="93">
        <f t="shared" si="62"/>
        <v>0.18664079446465931</v>
      </c>
      <c r="AO145" s="93">
        <f t="shared" si="63"/>
        <v>-9.6052176565528669E-3</v>
      </c>
      <c r="AP145" s="93">
        <f t="shared" si="64"/>
        <v>0.11289373364428879</v>
      </c>
      <c r="AQ145" s="93">
        <f t="shared" si="65"/>
        <v>-0.12249895130084165</v>
      </c>
      <c r="AR145" s="52"/>
    </row>
    <row r="146" spans="1:44" x14ac:dyDescent="0.2">
      <c r="A146" s="182">
        <v>42522</v>
      </c>
      <c r="B146" s="27"/>
      <c r="C146" s="93">
        <f>Data!D139+'Economic Model'!C$65</f>
        <v>1.5622727274894714</v>
      </c>
      <c r="D146" s="95">
        <f>Data!E139+'Economic Model'!C$66</f>
        <v>160.67045454545453</v>
      </c>
      <c r="E146" s="319">
        <f>Data!F139+'Economic Model'!C$67</f>
        <v>0.28339999999999999</v>
      </c>
      <c r="F146" s="93">
        <f>Data!G139+'Economic Model'!C$68</f>
        <v>3.7821590792049062</v>
      </c>
      <c r="G146" s="96">
        <f>Data!H139+'Economic Model'!C$69</f>
        <v>4.4400000000000004</v>
      </c>
      <c r="H146" s="85"/>
      <c r="I146" s="16"/>
      <c r="J146" s="93">
        <f t="shared" si="54"/>
        <v>1.5622727274894714</v>
      </c>
      <c r="K146" s="93">
        <f>D146/2000*'Economic Model'!C$32/'Economic Model'!C$30</f>
        <v>0.46227990430622001</v>
      </c>
      <c r="L146" s="319">
        <f>E146*'Economic Model'!C$33/'Economic Model'!C$30</f>
        <v>6.463508771929824E-2</v>
      </c>
      <c r="M146" s="93">
        <f t="shared" si="67"/>
        <v>2.0891877195149893</v>
      </c>
      <c r="N146" s="110"/>
      <c r="O146" s="108"/>
      <c r="P146" s="93">
        <f>F146/'Economic Model'!C$30</f>
        <v>1.3270733611245285</v>
      </c>
      <c r="Q146" s="93">
        <f>G146/1000*'Economic Model'!C$34</f>
        <v>0.13320000000000001</v>
      </c>
      <c r="R146" s="93">
        <f>('Economic Model'!H$44+'Economic Model'!H$53)/100</f>
        <v>0.21939999999999998</v>
      </c>
      <c r="S146" s="93">
        <f t="shared" si="55"/>
        <v>1.6796733611245285</v>
      </c>
      <c r="T146" s="93">
        <f>'Economic Model'!H$60/100</f>
        <v>0.19624601212121212</v>
      </c>
      <c r="U146" s="93">
        <f t="shared" si="56"/>
        <v>1.8759193732457407</v>
      </c>
      <c r="V146" s="93">
        <f t="shared" si="66"/>
        <v>1.3490043812202224</v>
      </c>
      <c r="W146" s="105"/>
      <c r="X146" s="93"/>
      <c r="Y146" s="93">
        <f>M146-P146-Q146-('Economic Model'!H$50/100)</f>
        <v>0.59041435839046086</v>
      </c>
      <c r="Z146" s="93">
        <f t="shared" si="57"/>
        <v>0.4095143583904608</v>
      </c>
      <c r="AA146" s="93">
        <f t="shared" si="58"/>
        <v>0.21326834626924862</v>
      </c>
      <c r="AB146" s="80"/>
      <c r="AC146" s="15"/>
      <c r="AD146" s="81"/>
      <c r="AE146" s="93">
        <f>'Returns per Bu.'!AD146/'Economic Model'!C$30</f>
        <v>0.44956140350877194</v>
      </c>
      <c r="AF146" s="93">
        <f t="shared" si="59"/>
        <v>0.93870614035087707</v>
      </c>
      <c r="AG146" s="93">
        <f>'Returns per Bu.'!AF146/'Economic Model'!C$30</f>
        <v>1.388267543859649</v>
      </c>
      <c r="AH146" s="93"/>
      <c r="AI146" s="104"/>
      <c r="AJ146" s="93">
        <f t="shared" si="60"/>
        <v>1.740867543859649</v>
      </c>
      <c r="AK146" s="93">
        <f t="shared" si="61"/>
        <v>1.9371135559808612</v>
      </c>
      <c r="AL146" s="105"/>
      <c r="AM146" s="93"/>
      <c r="AN146" s="93">
        <f t="shared" si="62"/>
        <v>0.34832017565534024</v>
      </c>
      <c r="AO146" s="93">
        <f t="shared" si="63"/>
        <v>0.15207416353412806</v>
      </c>
      <c r="AP146" s="93">
        <f t="shared" si="64"/>
        <v>0.21326834626924862</v>
      </c>
      <c r="AQ146" s="93">
        <f t="shared" si="65"/>
        <v>-6.1194182735120561E-2</v>
      </c>
      <c r="AR146" s="52"/>
    </row>
    <row r="147" spans="1:44" x14ac:dyDescent="0.2">
      <c r="A147" s="182">
        <v>42552</v>
      </c>
      <c r="B147" s="27"/>
      <c r="C147" s="93">
        <f>Data!D140+'Economic Model'!C$65</f>
        <v>1.4805000245571136</v>
      </c>
      <c r="D147" s="95">
        <f>Data!E140+'Economic Model'!C$66</f>
        <v>140.27500000000001</v>
      </c>
      <c r="E147" s="319">
        <f>Data!F140+'Economic Model'!C$67</f>
        <v>0.26179999999999998</v>
      </c>
      <c r="F147" s="93">
        <f>Data!G140+'Economic Model'!C$68</f>
        <v>3.1680624932050705</v>
      </c>
      <c r="G147" s="96">
        <f>Data!H140+'Economic Model'!C$69</f>
        <v>4.66</v>
      </c>
      <c r="H147" s="85"/>
      <c r="I147" s="16"/>
      <c r="J147" s="93">
        <f t="shared" si="54"/>
        <v>1.4805000245571136</v>
      </c>
      <c r="K147" s="93">
        <f>D147/2000*'Economic Model'!C$32/'Economic Model'!C$30</f>
        <v>0.40359824561403507</v>
      </c>
      <c r="L147" s="319">
        <f>E147*'Economic Model'!C$33/'Economic Model'!C$30</f>
        <v>5.9708771929824558E-2</v>
      </c>
      <c r="M147" s="93">
        <f t="shared" si="67"/>
        <v>1.9438070421009732</v>
      </c>
      <c r="N147" s="110"/>
      <c r="O147" s="108"/>
      <c r="P147" s="93">
        <f>F147/'Economic Model'!C$30</f>
        <v>1.1116008748087967</v>
      </c>
      <c r="Q147" s="93">
        <f>G147/1000*'Economic Model'!C$34</f>
        <v>0.13980000000000001</v>
      </c>
      <c r="R147" s="93">
        <f>('Economic Model'!H$44+'Economic Model'!H$53)/100</f>
        <v>0.21939999999999998</v>
      </c>
      <c r="S147" s="93">
        <f t="shared" si="55"/>
        <v>1.4708008748087966</v>
      </c>
      <c r="T147" s="93">
        <f>'Economic Model'!H$60/100</f>
        <v>0.19624601212121212</v>
      </c>
      <c r="U147" s="93">
        <f t="shared" si="56"/>
        <v>1.6670468869300088</v>
      </c>
      <c r="V147" s="93">
        <f t="shared" si="66"/>
        <v>1.2037398693861492</v>
      </c>
      <c r="W147" s="105"/>
      <c r="X147" s="93"/>
      <c r="Y147" s="93">
        <f>M147-P147-Q147-('Economic Model'!H$50/100)</f>
        <v>0.65390616729217654</v>
      </c>
      <c r="Z147" s="93">
        <f t="shared" si="57"/>
        <v>0.47300616729217659</v>
      </c>
      <c r="AA147" s="93">
        <f t="shared" si="58"/>
        <v>0.27676015517096442</v>
      </c>
      <c r="AB147" s="80"/>
      <c r="AC147" s="15"/>
      <c r="AD147" s="81"/>
      <c r="AE147" s="93">
        <f>'Returns per Bu.'!AD147/'Economic Model'!C$30</f>
        <v>0.44956140350877194</v>
      </c>
      <c r="AF147" s="93">
        <f t="shared" si="59"/>
        <v>0.93870614035087707</v>
      </c>
      <c r="AG147" s="93">
        <f>'Returns per Bu.'!AF147/'Economic Model'!C$30</f>
        <v>1.388267543859649</v>
      </c>
      <c r="AH147" s="93"/>
      <c r="AI147" s="104"/>
      <c r="AJ147" s="93">
        <f t="shared" si="60"/>
        <v>1.747467543859649</v>
      </c>
      <c r="AK147" s="93">
        <f t="shared" si="61"/>
        <v>1.9437135559808612</v>
      </c>
      <c r="AL147" s="105"/>
      <c r="AM147" s="93"/>
      <c r="AN147" s="93">
        <f t="shared" si="62"/>
        <v>0.19633949824132424</v>
      </c>
      <c r="AO147" s="93">
        <f t="shared" si="63"/>
        <v>9.348612011206292E-5</v>
      </c>
      <c r="AP147" s="93">
        <f t="shared" si="64"/>
        <v>0.27676015517096442</v>
      </c>
      <c r="AQ147" s="93">
        <f t="shared" si="65"/>
        <v>-0.27666666905085235</v>
      </c>
      <c r="AR147" s="52"/>
    </row>
    <row r="148" spans="1:44" x14ac:dyDescent="0.2">
      <c r="A148" s="182">
        <v>42583</v>
      </c>
      <c r="B148" s="27"/>
      <c r="C148" s="93">
        <f>Data!D141+'Economic Model'!C$65</f>
        <v>1.3334782486376555</v>
      </c>
      <c r="D148" s="95">
        <f>Data!E141+'Economic Model'!C$66</f>
        <v>118.08695652173913</v>
      </c>
      <c r="E148" s="319">
        <f>Data!F141+'Economic Model'!C$67</f>
        <v>0.26280000000000003</v>
      </c>
      <c r="F148" s="93">
        <f>Data!G141+'Economic Model'!C$68</f>
        <v>3.0150543373564016</v>
      </c>
      <c r="G148" s="96">
        <f>Data!H141+'Economic Model'!C$69</f>
        <v>4.33</v>
      </c>
      <c r="H148" s="85"/>
      <c r="I148" s="16"/>
      <c r="J148" s="93">
        <f t="shared" si="54"/>
        <v>1.3334782486376555</v>
      </c>
      <c r="K148" s="93">
        <f>D148/2000*'Economic Model'!C$32/'Economic Model'!C$30</f>
        <v>0.33975896262395111</v>
      </c>
      <c r="L148" s="319">
        <f>E148*'Economic Model'!C$33/'Economic Model'!C$30</f>
        <v>5.9936842105263163E-2</v>
      </c>
      <c r="M148" s="93">
        <f t="shared" si="67"/>
        <v>1.7331740533668698</v>
      </c>
      <c r="N148" s="110"/>
      <c r="O148" s="108"/>
      <c r="P148" s="93">
        <f>F148/'Economic Model'!C$30</f>
        <v>1.0579138025811936</v>
      </c>
      <c r="Q148" s="93">
        <f>G148/1000*'Economic Model'!C$34</f>
        <v>0.12989999999999999</v>
      </c>
      <c r="R148" s="93">
        <f>('Economic Model'!H$44+'Economic Model'!H$53)/100</f>
        <v>0.21939999999999998</v>
      </c>
      <c r="S148" s="93">
        <f t="shared" si="55"/>
        <v>1.4072138025811936</v>
      </c>
      <c r="T148" s="93">
        <f>'Economic Model'!H$60/100</f>
        <v>0.19624601212121212</v>
      </c>
      <c r="U148" s="93">
        <f t="shared" si="56"/>
        <v>1.6034598147024057</v>
      </c>
      <c r="V148" s="93">
        <f t="shared" si="66"/>
        <v>1.2037640099731914</v>
      </c>
      <c r="W148" s="105"/>
      <c r="X148" s="93"/>
      <c r="Y148" s="93">
        <f>M148-P148-Q148-('Economic Model'!H$50/100)</f>
        <v>0.5068602507856762</v>
      </c>
      <c r="Z148" s="93">
        <f t="shared" si="57"/>
        <v>0.32596025078567625</v>
      </c>
      <c r="AA148" s="93">
        <f t="shared" si="58"/>
        <v>0.12971423866446408</v>
      </c>
      <c r="AB148" s="80"/>
      <c r="AC148" s="15"/>
      <c r="AD148" s="81"/>
      <c r="AE148" s="93">
        <f>'Returns per Bu.'!AD148/'Economic Model'!C$30</f>
        <v>0.44956140350877194</v>
      </c>
      <c r="AF148" s="93">
        <f t="shared" si="59"/>
        <v>0.93870614035087707</v>
      </c>
      <c r="AG148" s="93">
        <f>'Returns per Bu.'!AF148/'Economic Model'!C$30</f>
        <v>1.388267543859649</v>
      </c>
      <c r="AH148" s="93"/>
      <c r="AI148" s="104"/>
      <c r="AJ148" s="93">
        <f t="shared" si="60"/>
        <v>1.737567543859649</v>
      </c>
      <c r="AK148" s="93">
        <f t="shared" si="61"/>
        <v>1.9338135559808611</v>
      </c>
      <c r="AL148" s="105"/>
      <c r="AM148" s="93"/>
      <c r="AN148" s="93">
        <f t="shared" si="62"/>
        <v>-4.3934904927791507E-3</v>
      </c>
      <c r="AO148" s="93">
        <f t="shared" si="63"/>
        <v>-0.20063950261399133</v>
      </c>
      <c r="AP148" s="93">
        <f t="shared" si="64"/>
        <v>0.12971423866446408</v>
      </c>
      <c r="AQ148" s="93">
        <f t="shared" si="65"/>
        <v>-0.3303537412784554</v>
      </c>
      <c r="AR148" s="52"/>
    </row>
    <row r="149" spans="1:44" x14ac:dyDescent="0.2">
      <c r="A149" s="182">
        <v>42614</v>
      </c>
      <c r="B149" s="27"/>
      <c r="C149" s="93">
        <f>Data!D142+'Economic Model'!C$65</f>
        <v>1.4297618909109207</v>
      </c>
      <c r="D149" s="95">
        <f>Data!E142+'Economic Model'!C$66</f>
        <v>111.95238095238095</v>
      </c>
      <c r="E149" s="319">
        <f>Data!F142+'Economic Model'!C$67</f>
        <v>0.27940000000000004</v>
      </c>
      <c r="F149" s="93">
        <f>Data!G142+'Economic Model'!C$68</f>
        <v>3.0030059619176956</v>
      </c>
      <c r="G149" s="96">
        <f>Data!H142+'Economic Model'!C$69</f>
        <v>4.96</v>
      </c>
      <c r="H149" s="85"/>
      <c r="I149" s="16"/>
      <c r="J149" s="93">
        <f t="shared" si="54"/>
        <v>1.4297618909109207</v>
      </c>
      <c r="K149" s="93">
        <f>D149/2000*'Economic Model'!C$32/'Economic Model'!C$30</f>
        <v>0.32210860484544684</v>
      </c>
      <c r="L149" s="319">
        <f>E149*'Economic Model'!C$33/'Economic Model'!C$30</f>
        <v>6.3722807017543862E-2</v>
      </c>
      <c r="M149" s="93">
        <f t="shared" si="67"/>
        <v>1.8155933027739115</v>
      </c>
      <c r="N149" s="110"/>
      <c r="O149" s="108"/>
      <c r="P149" s="93">
        <f>F149/'Economic Model'!C$30</f>
        <v>1.0536863024272616</v>
      </c>
      <c r="Q149" s="93">
        <f>G149/1000*'Economic Model'!C$34</f>
        <v>0.14879999999999999</v>
      </c>
      <c r="R149" s="93">
        <f>('Economic Model'!H$44+'Economic Model'!H$53)/100</f>
        <v>0.21939999999999998</v>
      </c>
      <c r="S149" s="93">
        <f t="shared" si="55"/>
        <v>1.4218863024272617</v>
      </c>
      <c r="T149" s="93">
        <f>'Economic Model'!H$60/100</f>
        <v>0.19624601212121212</v>
      </c>
      <c r="U149" s="93">
        <f t="shared" si="56"/>
        <v>1.6181323145484738</v>
      </c>
      <c r="V149" s="93">
        <f t="shared" si="66"/>
        <v>1.232300902685483</v>
      </c>
      <c r="W149" s="105"/>
      <c r="X149" s="93"/>
      <c r="Y149" s="93">
        <f>M149-P149-Q149-('Economic Model'!H$50/100)</f>
        <v>0.57460700034664991</v>
      </c>
      <c r="Z149" s="93">
        <f t="shared" si="57"/>
        <v>0.39370700034664985</v>
      </c>
      <c r="AA149" s="93">
        <f t="shared" si="58"/>
        <v>0.19746098822543767</v>
      </c>
      <c r="AB149" s="80"/>
      <c r="AC149" s="15"/>
      <c r="AD149" s="81"/>
      <c r="AE149" s="93">
        <f>'Returns per Bu.'!AD149/'Economic Model'!C$30</f>
        <v>0.39754558810820151</v>
      </c>
      <c r="AF149" s="93">
        <f t="shared" si="59"/>
        <v>0.85274911416472232</v>
      </c>
      <c r="AG149" s="93">
        <f>'Returns per Bu.'!AF149/'Economic Model'!C$30</f>
        <v>1.2502947022729238</v>
      </c>
      <c r="AH149" s="93"/>
      <c r="AI149" s="104"/>
      <c r="AJ149" s="93">
        <f t="shared" si="60"/>
        <v>1.6184947022729239</v>
      </c>
      <c r="AK149" s="93">
        <f t="shared" si="61"/>
        <v>1.8147407143941361</v>
      </c>
      <c r="AL149" s="105"/>
      <c r="AM149" s="93"/>
      <c r="AN149" s="93">
        <f t="shared" si="62"/>
        <v>0.1970986005009876</v>
      </c>
      <c r="AO149" s="93">
        <f t="shared" si="63"/>
        <v>8.5258837977542079E-4</v>
      </c>
      <c r="AP149" s="93">
        <f t="shared" si="64"/>
        <v>0.19746098822543767</v>
      </c>
      <c r="AQ149" s="93">
        <f t="shared" si="65"/>
        <v>-0.19660839984566225</v>
      </c>
      <c r="AR149" s="52"/>
    </row>
    <row r="150" spans="1:44" x14ac:dyDescent="0.2">
      <c r="A150" s="182">
        <v>42644</v>
      </c>
      <c r="B150" s="27"/>
      <c r="C150" s="93">
        <f>Data!D143+'Economic Model'!C$65</f>
        <v>1.51714286066237</v>
      </c>
      <c r="D150" s="95">
        <f>Data!E143+'Economic Model'!C$66</f>
        <v>102.96428571428601</v>
      </c>
      <c r="E150" s="319">
        <f>Data!F143+'Economic Model'!C$67</f>
        <v>0.28309999999999996</v>
      </c>
      <c r="F150" s="93">
        <f>Data!G143+'Economic Model'!C$68</f>
        <v>3.1482142891202698</v>
      </c>
      <c r="G150" s="96">
        <f>Data!H143+'Economic Model'!C$69</f>
        <v>4.9400000000000004</v>
      </c>
      <c r="H150" s="85"/>
      <c r="I150" s="16"/>
      <c r="J150" s="93">
        <f t="shared" si="54"/>
        <v>1.51714286066237</v>
      </c>
      <c r="K150" s="93">
        <f>D150/2000*'Economic Model'!C$32/'Economic Model'!C$30</f>
        <v>0.29624812030075265</v>
      </c>
      <c r="L150" s="319">
        <f>E150*'Economic Model'!C$33/'Economic Model'!C$30</f>
        <v>6.4566666666666661E-2</v>
      </c>
      <c r="M150" s="93">
        <f t="shared" si="67"/>
        <v>1.8779576476297895</v>
      </c>
      <c r="N150" s="110"/>
      <c r="O150" s="108"/>
      <c r="P150" s="93">
        <f>F150/'Economic Model'!C$30</f>
        <v>1.1046365926737789</v>
      </c>
      <c r="Q150" s="93">
        <f>G150/1000*'Economic Model'!C$34</f>
        <v>0.14820000000000003</v>
      </c>
      <c r="R150" s="93">
        <f>('Economic Model'!H$44+'Economic Model'!H$53)/100</f>
        <v>0.21939999999999998</v>
      </c>
      <c r="S150" s="93">
        <f t="shared" si="55"/>
        <v>1.472236592673779</v>
      </c>
      <c r="T150" s="93">
        <f>'Economic Model'!H$60/100</f>
        <v>0.19624601212121212</v>
      </c>
      <c r="U150" s="93">
        <f t="shared" si="56"/>
        <v>1.6684826047949912</v>
      </c>
      <c r="V150" s="93">
        <f t="shared" si="66"/>
        <v>1.307667817827572</v>
      </c>
      <c r="W150" s="105"/>
      <c r="X150" s="93"/>
      <c r="Y150" s="93">
        <f>M150-P150-Q150-('Economic Model'!H$50/100)</f>
        <v>0.58662105495601058</v>
      </c>
      <c r="Z150" s="93">
        <f t="shared" si="57"/>
        <v>0.40572105495601041</v>
      </c>
      <c r="AA150" s="93">
        <f t="shared" si="58"/>
        <v>0.20947504283479823</v>
      </c>
      <c r="AB150" s="80"/>
      <c r="AC150" s="15"/>
      <c r="AD150" s="81"/>
      <c r="AE150" s="93">
        <f>'Returns per Bu.'!AD150/'Economic Model'!C$30</f>
        <v>0.39754558810820151</v>
      </c>
      <c r="AF150" s="93">
        <f t="shared" si="59"/>
        <v>0.85274911416472232</v>
      </c>
      <c r="AG150" s="93">
        <f>'Returns per Bu.'!AF150/'Economic Model'!C$30</f>
        <v>1.2502947022729238</v>
      </c>
      <c r="AH150" s="93"/>
      <c r="AI150" s="104"/>
      <c r="AJ150" s="93">
        <f t="shared" si="60"/>
        <v>1.617894702272924</v>
      </c>
      <c r="AK150" s="93">
        <f t="shared" si="61"/>
        <v>1.8141407143941362</v>
      </c>
      <c r="AL150" s="105"/>
      <c r="AM150" s="93"/>
      <c r="AN150" s="93">
        <f t="shared" si="62"/>
        <v>0.26006294535686547</v>
      </c>
      <c r="AO150" s="93">
        <f t="shared" si="63"/>
        <v>6.3816933235653295E-2</v>
      </c>
      <c r="AP150" s="93">
        <f t="shared" si="64"/>
        <v>0.20947504283479823</v>
      </c>
      <c r="AQ150" s="93">
        <f t="shared" si="65"/>
        <v>-0.14565810959914494</v>
      </c>
      <c r="AR150" s="52"/>
    </row>
    <row r="151" spans="1:44" x14ac:dyDescent="0.2">
      <c r="A151" s="182">
        <v>42675</v>
      </c>
      <c r="B151" s="27"/>
      <c r="C151" s="93">
        <f>Data!D144+'Economic Model'!C$65</f>
        <v>1.5450000167</v>
      </c>
      <c r="D151" s="95">
        <f>Data!E144+'Economic Model'!C$66</f>
        <v>102</v>
      </c>
      <c r="E151" s="319">
        <f>Data!F144+'Economic Model'!C$67</f>
        <v>0.28050000000000003</v>
      </c>
      <c r="F151" s="93">
        <f>Data!G144+'Economic Model'!C$68</f>
        <v>3.1478749930999999</v>
      </c>
      <c r="G151" s="96">
        <f>Data!H144+'Economic Model'!C$69</f>
        <v>4.68</v>
      </c>
      <c r="H151" s="85"/>
      <c r="I151" s="16"/>
      <c r="J151" s="93">
        <f t="shared" si="54"/>
        <v>1.5450000167</v>
      </c>
      <c r="K151" s="93">
        <f>D151/2000*'Economic Model'!C$32/'Economic Model'!C$30</f>
        <v>0.29347368421052628</v>
      </c>
      <c r="L151" s="319">
        <f>E151*'Economic Model'!C$33/'Economic Model'!C$30</f>
        <v>6.3973684210526321E-2</v>
      </c>
      <c r="M151" s="93">
        <f t="shared" si="67"/>
        <v>1.9024473851210526</v>
      </c>
      <c r="N151" s="110"/>
      <c r="O151" s="108"/>
      <c r="P151" s="93">
        <f>F151/'Economic Model'!C$30</f>
        <v>1.1045175414385964</v>
      </c>
      <c r="Q151" s="93">
        <f>G151/1000*'Economic Model'!C$34</f>
        <v>0.1404</v>
      </c>
      <c r="R151" s="93">
        <f>('Economic Model'!H$44+'Economic Model'!H$53)/100</f>
        <v>0.21939999999999998</v>
      </c>
      <c r="S151" s="93">
        <f t="shared" si="55"/>
        <v>1.4643175414385965</v>
      </c>
      <c r="T151" s="93">
        <f>'Economic Model'!H$60/100</f>
        <v>0.19624601212121212</v>
      </c>
      <c r="U151" s="93">
        <f t="shared" si="56"/>
        <v>1.6605635535598087</v>
      </c>
      <c r="V151" s="93">
        <f t="shared" si="66"/>
        <v>1.303116185138756</v>
      </c>
      <c r="W151" s="105"/>
      <c r="X151" s="93"/>
      <c r="Y151" s="93">
        <f>M151-P151-Q151-('Economic Model'!H$50/100)</f>
        <v>0.61902984368245628</v>
      </c>
      <c r="Z151" s="93">
        <f t="shared" si="57"/>
        <v>0.43812984368245611</v>
      </c>
      <c r="AA151" s="93">
        <f t="shared" si="58"/>
        <v>0.24188383156124393</v>
      </c>
      <c r="AB151" s="80"/>
      <c r="AC151" s="15"/>
      <c r="AD151" s="81"/>
      <c r="AE151" s="93">
        <f>'Returns per Bu.'!AD151/'Economic Model'!C$30</f>
        <v>0.39754558810820151</v>
      </c>
      <c r="AF151" s="93">
        <f t="shared" si="59"/>
        <v>0.85274911416472232</v>
      </c>
      <c r="AG151" s="93">
        <f>'Returns per Bu.'!AF151/'Economic Model'!C$30</f>
        <v>1.2502947022729238</v>
      </c>
      <c r="AH151" s="93"/>
      <c r="AI151" s="104"/>
      <c r="AJ151" s="93">
        <f t="shared" si="60"/>
        <v>1.6100947022729239</v>
      </c>
      <c r="AK151" s="93">
        <f t="shared" si="61"/>
        <v>1.8063407143941361</v>
      </c>
      <c r="AL151" s="105"/>
      <c r="AM151" s="93"/>
      <c r="AN151" s="93">
        <f t="shared" si="62"/>
        <v>0.29235268284812865</v>
      </c>
      <c r="AO151" s="93">
        <f t="shared" si="63"/>
        <v>9.6106670726916477E-2</v>
      </c>
      <c r="AP151" s="93">
        <f t="shared" si="64"/>
        <v>0.24188383156124393</v>
      </c>
      <c r="AQ151" s="93">
        <f t="shared" si="65"/>
        <v>-0.14577716083432746</v>
      </c>
      <c r="AR151" s="52"/>
    </row>
    <row r="152" spans="1:44" x14ac:dyDescent="0.2">
      <c r="A152" s="68">
        <v>42705</v>
      </c>
      <c r="B152" s="29"/>
      <c r="C152" s="97">
        <f>Data!D145+'Economic Model'!C$65</f>
        <v>1.649285714626</v>
      </c>
      <c r="D152" s="99">
        <f>Data!E145+'Economic Model'!C$66</f>
        <v>99.488095238100001</v>
      </c>
      <c r="E152" s="320">
        <f>Data!F145+'Economic Model'!C$67</f>
        <v>0.26989999999999997</v>
      </c>
      <c r="F152" s="97">
        <f>Data!G145+'Economic Model'!C$68</f>
        <v>3.2467857101985</v>
      </c>
      <c r="G152" s="100">
        <f>Data!H145+'Economic Model'!C$69</f>
        <v>5.15</v>
      </c>
      <c r="H152" s="87"/>
      <c r="I152" s="71"/>
      <c r="J152" s="97">
        <f t="shared" si="54"/>
        <v>1.649285714626</v>
      </c>
      <c r="K152" s="97">
        <f>D152/2000*'Economic Model'!C$32/'Economic Model'!C$30</f>
        <v>0.2862464494569894</v>
      </c>
      <c r="L152" s="320">
        <f>E152*'Economic Model'!C$33/'Economic Model'!C$30</f>
        <v>6.1556140350877184E-2</v>
      </c>
      <c r="M152" s="97">
        <f t="shared" si="67"/>
        <v>1.9970883044338665</v>
      </c>
      <c r="N152" s="113"/>
      <c r="O152" s="111"/>
      <c r="P152" s="97">
        <f>F152/'Economic Model'!C$30</f>
        <v>1.1392230562100001</v>
      </c>
      <c r="Q152" s="97">
        <f>G152/1000*'Economic Model'!C$34</f>
        <v>0.1545</v>
      </c>
      <c r="R152" s="97">
        <f>('Economic Model'!H$44+'Economic Model'!H$53)/100</f>
        <v>0.21939999999999998</v>
      </c>
      <c r="S152" s="97">
        <f t="shared" si="55"/>
        <v>1.5131230562100002</v>
      </c>
      <c r="T152" s="97">
        <f>'Economic Model'!H$60/100</f>
        <v>0.19624601212121212</v>
      </c>
      <c r="U152" s="97">
        <f t="shared" si="56"/>
        <v>1.7093690683312124</v>
      </c>
      <c r="V152" s="97">
        <f t="shared" si="66"/>
        <v>1.3615664785233459</v>
      </c>
      <c r="W152" s="107"/>
      <c r="X152" s="97"/>
      <c r="Y152" s="97">
        <f>M152-P152-Q152-('Economic Model'!H$50/100)</f>
        <v>0.6648652482238665</v>
      </c>
      <c r="Z152" s="97">
        <f t="shared" si="57"/>
        <v>0.48396524822386633</v>
      </c>
      <c r="AA152" s="97">
        <f t="shared" si="58"/>
        <v>0.28771923610265415</v>
      </c>
      <c r="AB152" s="82"/>
      <c r="AC152" s="65"/>
      <c r="AD152" s="83"/>
      <c r="AE152" s="97">
        <f>'Returns per Bu.'!AD152/'Economic Model'!C$30</f>
        <v>0.39754558810820151</v>
      </c>
      <c r="AF152" s="97">
        <f t="shared" si="59"/>
        <v>0.85274911416472232</v>
      </c>
      <c r="AG152" s="97">
        <f>'Returns per Bu.'!AF152/'Economic Model'!C$30</f>
        <v>1.2502947022729238</v>
      </c>
      <c r="AH152" s="97"/>
      <c r="AI152" s="106"/>
      <c r="AJ152" s="97">
        <f t="shared" si="60"/>
        <v>1.624194702272924</v>
      </c>
      <c r="AK152" s="97">
        <f t="shared" si="61"/>
        <v>1.8204407143941361</v>
      </c>
      <c r="AL152" s="107"/>
      <c r="AM152" s="97"/>
      <c r="AN152" s="97">
        <f t="shared" si="62"/>
        <v>0.37289360216094258</v>
      </c>
      <c r="AO152" s="97">
        <f t="shared" si="63"/>
        <v>0.17664759003973041</v>
      </c>
      <c r="AP152" s="97">
        <f t="shared" si="64"/>
        <v>0.28771923610265415</v>
      </c>
      <c r="AQ152" s="97">
        <f t="shared" si="65"/>
        <v>-0.11107164606292375</v>
      </c>
      <c r="AR152" s="64"/>
    </row>
    <row r="153" spans="1:44" x14ac:dyDescent="0.2">
      <c r="A153" s="260">
        <v>42736</v>
      </c>
      <c r="B153" s="27"/>
      <c r="C153" s="93">
        <f>Data!D146+'Economic Model'!C$65</f>
        <v>1.4004999846220001</v>
      </c>
      <c r="D153" s="95">
        <f>Data!E146+'Economic Model'!C$66</f>
        <v>96.95</v>
      </c>
      <c r="E153" s="319">
        <f>Data!F146+'Economic Model'!C$67</f>
        <v>0.2671</v>
      </c>
      <c r="F153" s="93">
        <f>Data!G146+'Economic Model'!C$68</f>
        <v>3.3792499899864001</v>
      </c>
      <c r="G153" s="96">
        <f>Data!H146+'Economic Model'!C$69</f>
        <v>5.22</v>
      </c>
      <c r="H153" s="85"/>
      <c r="I153" s="16"/>
      <c r="J153" s="93">
        <f t="shared" si="54"/>
        <v>1.4004999846220001</v>
      </c>
      <c r="K153" s="93">
        <f>D153/2000*'Economic Model'!C$32/'Economic Model'!C$30</f>
        <v>0.27894385964912277</v>
      </c>
      <c r="L153" s="319">
        <f>E153*'Economic Model'!C$33/'Economic Model'!C$30</f>
        <v>6.0917543859649127E-2</v>
      </c>
      <c r="M153" s="93">
        <f t="shared" si="67"/>
        <v>1.740361388130772</v>
      </c>
      <c r="N153" s="110"/>
      <c r="O153" s="108"/>
      <c r="P153" s="93">
        <f>F153/'Economic Model'!C$30</f>
        <v>1.185701750872421</v>
      </c>
      <c r="Q153" s="93">
        <f>G153/1000*'Economic Model'!C$34</f>
        <v>0.15659999999999999</v>
      </c>
      <c r="R153" s="93">
        <f>('Economic Model'!H$44+'Economic Model'!H$53)/100</f>
        <v>0.21939999999999998</v>
      </c>
      <c r="S153" s="93">
        <f t="shared" si="55"/>
        <v>1.5617017508724211</v>
      </c>
      <c r="T153" s="93">
        <f>'Economic Model'!H$60/100</f>
        <v>0.19624601212121212</v>
      </c>
      <c r="U153" s="93">
        <f t="shared" si="56"/>
        <v>1.7579477629936333</v>
      </c>
      <c r="V153" s="93">
        <f t="shared" si="66"/>
        <v>1.4180863594848614</v>
      </c>
      <c r="W153" s="105"/>
      <c r="X153" s="93"/>
      <c r="Y153" s="93">
        <f>M153-P153-Q153-('Economic Model'!H$50/100)</f>
        <v>0.35955963725835105</v>
      </c>
      <c r="Z153" s="93">
        <f t="shared" si="57"/>
        <v>0.17865963725835088</v>
      </c>
      <c r="AA153" s="93">
        <f t="shared" si="58"/>
        <v>-1.7586374862861298E-2</v>
      </c>
      <c r="AB153" s="80"/>
      <c r="AC153" s="17"/>
      <c r="AD153" s="81"/>
      <c r="AE153" s="93">
        <f>'Returns per Bu.'!AD153/'Economic Model'!C$30</f>
        <v>0.39754558810820151</v>
      </c>
      <c r="AF153" s="93">
        <f t="shared" si="59"/>
        <v>0.85274911416472232</v>
      </c>
      <c r="AG153" s="93">
        <f>'Returns per Bu.'!AF153/'Economic Model'!C$30</f>
        <v>1.2502947022729238</v>
      </c>
      <c r="AH153" s="93"/>
      <c r="AI153" s="104"/>
      <c r="AJ153" s="93">
        <f t="shared" si="60"/>
        <v>1.6262947022729239</v>
      </c>
      <c r="AK153" s="93">
        <f t="shared" si="61"/>
        <v>1.8225407143941361</v>
      </c>
      <c r="AL153" s="105"/>
      <c r="AM153" s="93"/>
      <c r="AN153" s="93">
        <f t="shared" si="62"/>
        <v>0.11406668585784807</v>
      </c>
      <c r="AO153" s="93">
        <f t="shared" si="63"/>
        <v>-8.2179326263364105E-2</v>
      </c>
      <c r="AP153" s="93">
        <f t="shared" si="64"/>
        <v>-1.7586374862861298E-2</v>
      </c>
      <c r="AQ153" s="93">
        <f t="shared" si="65"/>
        <v>-6.4592951400502807E-2</v>
      </c>
      <c r="AR153" s="52"/>
    </row>
    <row r="154" spans="1:44" x14ac:dyDescent="0.2">
      <c r="A154" s="182">
        <v>42767</v>
      </c>
      <c r="B154" s="27"/>
      <c r="C154" s="93">
        <f>Data!D147+'Economic Model'!C$65</f>
        <v>1.3807894556</v>
      </c>
      <c r="D154" s="95">
        <f>Data!E147+'Economic Model'!C$66</f>
        <v>97.144736842100002</v>
      </c>
      <c r="E154" s="319">
        <f>Data!F147+'Economic Model'!C$67</f>
        <v>0.27200000000000002</v>
      </c>
      <c r="F154" s="93">
        <f>Data!G147+'Economic Model'!C$68</f>
        <v>3.4148684143999999</v>
      </c>
      <c r="G154" s="96">
        <f>Data!H147+'Economic Model'!C$69</f>
        <v>5.14</v>
      </c>
      <c r="H154" s="85"/>
      <c r="I154" s="16"/>
      <c r="J154" s="93">
        <f t="shared" si="54"/>
        <v>1.3807894556</v>
      </c>
      <c r="K154" s="93">
        <f>D154/2000*'Economic Model'!C$32/'Economic Model'!C$30</f>
        <v>0.27950415512463855</v>
      </c>
      <c r="L154" s="319">
        <f>E154*'Economic Model'!C$33/'Economic Model'!C$30</f>
        <v>6.2035087719298249E-2</v>
      </c>
      <c r="M154" s="93">
        <f t="shared" si="67"/>
        <v>1.722328698443937</v>
      </c>
      <c r="N154" s="110"/>
      <c r="O154" s="108"/>
      <c r="P154" s="93">
        <f>F154/'Economic Model'!C$30</f>
        <v>1.1981994436491228</v>
      </c>
      <c r="Q154" s="93">
        <f>G154/1000*'Economic Model'!C$34</f>
        <v>0.15419999999999998</v>
      </c>
      <c r="R154" s="93">
        <f>('Economic Model'!H$44+'Economic Model'!H$53)/100</f>
        <v>0.21939999999999998</v>
      </c>
      <c r="S154" s="93">
        <f t="shared" si="55"/>
        <v>1.5717994436491227</v>
      </c>
      <c r="T154" s="93">
        <f>'Economic Model'!H$60/100</f>
        <v>0.19624601212121212</v>
      </c>
      <c r="U154" s="93">
        <f t="shared" si="56"/>
        <v>1.7680454557703349</v>
      </c>
      <c r="V154" s="93">
        <f t="shared" si="66"/>
        <v>1.4265062129263981</v>
      </c>
      <c r="W154" s="105"/>
      <c r="X154" s="93"/>
      <c r="Y154" s="93">
        <f>M154-P154-Q154-('Economic Model'!H$50/100)</f>
        <v>0.33142925479481422</v>
      </c>
      <c r="Z154" s="93">
        <f t="shared" si="57"/>
        <v>0.15052925479481427</v>
      </c>
      <c r="AA154" s="93">
        <f t="shared" si="58"/>
        <v>-4.5716757326397905E-2</v>
      </c>
      <c r="AB154" s="80"/>
      <c r="AC154" s="15"/>
      <c r="AD154" s="81"/>
      <c r="AE154" s="93">
        <f>'Returns per Bu.'!AD154/'Economic Model'!C$30</f>
        <v>0.39754558810820151</v>
      </c>
      <c r="AF154" s="93">
        <f t="shared" si="59"/>
        <v>0.85274911416472232</v>
      </c>
      <c r="AG154" s="93">
        <f>'Returns per Bu.'!AF154/'Economic Model'!C$30</f>
        <v>1.2502947022729238</v>
      </c>
      <c r="AH154" s="93"/>
      <c r="AI154" s="104"/>
      <c r="AJ154" s="93">
        <f t="shared" si="60"/>
        <v>1.6238947022729238</v>
      </c>
      <c r="AK154" s="93">
        <f t="shared" si="61"/>
        <v>1.8201407143941359</v>
      </c>
      <c r="AL154" s="105"/>
      <c r="AM154" s="93"/>
      <c r="AN154" s="93">
        <f t="shared" si="62"/>
        <v>9.8433996171013227E-2</v>
      </c>
      <c r="AO154" s="93">
        <f t="shared" si="63"/>
        <v>-9.7812015950198949E-2</v>
      </c>
      <c r="AP154" s="93">
        <f t="shared" si="64"/>
        <v>-4.5716757326397905E-2</v>
      </c>
      <c r="AQ154" s="93">
        <f t="shared" si="65"/>
        <v>-5.2095258623801044E-2</v>
      </c>
      <c r="AR154" s="52"/>
    </row>
    <row r="155" spans="1:44" x14ac:dyDescent="0.2">
      <c r="A155" s="182">
        <v>42795</v>
      </c>
      <c r="B155" s="27"/>
      <c r="C155" s="93">
        <f>Data!D148+'Economic Model'!C$65</f>
        <v>1.378478273</v>
      </c>
      <c r="D155" s="95">
        <f>Data!E148+'Economic Model'!C$66</f>
        <v>95.706521738999996</v>
      </c>
      <c r="E155" s="319">
        <f>Data!F148+'Economic Model'!C$67</f>
        <v>0.28129999999999999</v>
      </c>
      <c r="F155" s="93">
        <f>Data!G148+'Economic Model'!C$68</f>
        <v>3.340516311</v>
      </c>
      <c r="G155" s="96">
        <f>Data!H148+'Economic Model'!C$69</f>
        <v>4.6900000000000004</v>
      </c>
      <c r="H155" s="85"/>
      <c r="I155" s="16"/>
      <c r="J155" s="93">
        <f t="shared" si="54"/>
        <v>1.378478273</v>
      </c>
      <c r="K155" s="93">
        <f>D155/2000*'Economic Model'!C$32/'Economic Model'!C$30</f>
        <v>0.2753661327227368</v>
      </c>
      <c r="L155" s="319">
        <f>E155*'Economic Model'!C$33/'Economic Model'!C$30</f>
        <v>6.4156140350877189E-2</v>
      </c>
      <c r="M155" s="93">
        <f t="shared" si="67"/>
        <v>1.7180005460736141</v>
      </c>
      <c r="N155" s="110"/>
      <c r="O155" s="108"/>
      <c r="P155" s="93">
        <f>F155/'Economic Model'!C$30</f>
        <v>1.1721109863157895</v>
      </c>
      <c r="Q155" s="93">
        <f>G155/1000*'Economic Model'!C$34</f>
        <v>0.14070000000000002</v>
      </c>
      <c r="R155" s="93">
        <f>('Economic Model'!H$44+'Economic Model'!H$53)/100</f>
        <v>0.21939999999999998</v>
      </c>
      <c r="S155" s="93">
        <f t="shared" si="55"/>
        <v>1.5322109863157896</v>
      </c>
      <c r="T155" s="93">
        <f>'Economic Model'!H$60/100</f>
        <v>0.19624601212121212</v>
      </c>
      <c r="U155" s="93">
        <f t="shared" si="56"/>
        <v>1.7284569984370017</v>
      </c>
      <c r="V155" s="93">
        <f t="shared" si="66"/>
        <v>1.3889347253633877</v>
      </c>
      <c r="W155" s="105"/>
      <c r="X155" s="93"/>
      <c r="Y155" s="93">
        <f>M155-P155-Q155-('Economic Model'!H$50/100)</f>
        <v>0.36668955975782458</v>
      </c>
      <c r="Z155" s="93">
        <f t="shared" si="57"/>
        <v>0.18578955975782452</v>
      </c>
      <c r="AA155" s="93">
        <f t="shared" si="58"/>
        <v>-1.0456452363387658E-2</v>
      </c>
      <c r="AB155" s="80"/>
      <c r="AC155" s="15"/>
      <c r="AD155" s="81"/>
      <c r="AE155" s="93">
        <f>'Returns per Bu.'!AD155/'Economic Model'!C$30</f>
        <v>0.39754558810820151</v>
      </c>
      <c r="AF155" s="93">
        <f t="shared" si="59"/>
        <v>0.85274911416472232</v>
      </c>
      <c r="AG155" s="93">
        <f>'Returns per Bu.'!AF155/'Economic Model'!C$30</f>
        <v>1.2502947022729238</v>
      </c>
      <c r="AH155" s="93"/>
      <c r="AI155" s="104"/>
      <c r="AJ155" s="93">
        <f t="shared" si="60"/>
        <v>1.6103947022729239</v>
      </c>
      <c r="AK155" s="93">
        <f t="shared" si="61"/>
        <v>1.8066407143941361</v>
      </c>
      <c r="AL155" s="105"/>
      <c r="AM155" s="93"/>
      <c r="AN155" s="93">
        <f t="shared" si="62"/>
        <v>0.10760584380069016</v>
      </c>
      <c r="AO155" s="93">
        <f t="shared" si="63"/>
        <v>-8.8640168320522017E-2</v>
      </c>
      <c r="AP155" s="93">
        <f t="shared" si="64"/>
        <v>-1.0456452363387658E-2</v>
      </c>
      <c r="AQ155" s="93">
        <f t="shared" si="65"/>
        <v>-7.8183715957134359E-2</v>
      </c>
      <c r="AR155" s="52"/>
    </row>
    <row r="156" spans="1:44" x14ac:dyDescent="0.2">
      <c r="A156" s="182">
        <v>42826</v>
      </c>
      <c r="B156" s="27"/>
      <c r="C156" s="93">
        <f>Data!D149+'Economic Model'!C$65</f>
        <v>1.541749995947</v>
      </c>
      <c r="D156" s="95">
        <f>Data!E149+'Economic Model'!C$66</f>
        <v>93.4375</v>
      </c>
      <c r="E156" s="319">
        <f>Data!F149+'Economic Model'!C$67</f>
        <v>0.27629999999999999</v>
      </c>
      <c r="F156" s="93">
        <f>Data!G149+'Economic Model'!C$68</f>
        <v>3.363593751192</v>
      </c>
      <c r="G156" s="96">
        <f>Data!H149+'Economic Model'!C$69</f>
        <v>5.0599999999999996</v>
      </c>
      <c r="H156" s="85"/>
      <c r="I156" s="16"/>
      <c r="J156" s="93">
        <f t="shared" si="54"/>
        <v>1.541749995947</v>
      </c>
      <c r="K156" s="93">
        <f>D156/2000*'Economic Model'!C$32/'Economic Model'!C$30</f>
        <v>0.26883771929824563</v>
      </c>
      <c r="L156" s="319">
        <f>E156*'Economic Model'!C$33/'Economic Model'!C$30</f>
        <v>6.3015789473684206E-2</v>
      </c>
      <c r="M156" s="93">
        <f t="shared" si="67"/>
        <v>1.8736035047189299</v>
      </c>
      <c r="N156" s="110"/>
      <c r="O156" s="108"/>
      <c r="P156" s="93">
        <f>F156/'Economic Model'!C$30</f>
        <v>1.180208333751579</v>
      </c>
      <c r="Q156" s="93">
        <f>G156/1000*'Economic Model'!C$34</f>
        <v>0.15179999999999999</v>
      </c>
      <c r="R156" s="93">
        <f>('Economic Model'!H$44+'Economic Model'!H$53)/100</f>
        <v>0.21939999999999998</v>
      </c>
      <c r="S156" s="93">
        <f t="shared" si="55"/>
        <v>1.5514083337515789</v>
      </c>
      <c r="T156" s="93">
        <f>'Economic Model'!H$60/100</f>
        <v>0.19624601212121212</v>
      </c>
      <c r="U156" s="93">
        <f t="shared" si="56"/>
        <v>1.7476543458727911</v>
      </c>
      <c r="V156" s="93">
        <f t="shared" si="66"/>
        <v>1.4158008371008612</v>
      </c>
      <c r="W156" s="105"/>
      <c r="X156" s="93"/>
      <c r="Y156" s="93">
        <f>M156-P156-Q156-('Economic Model'!H$50/100)</f>
        <v>0.50309517096735101</v>
      </c>
      <c r="Z156" s="93">
        <f t="shared" si="57"/>
        <v>0.32219517096735095</v>
      </c>
      <c r="AA156" s="93">
        <f t="shared" si="58"/>
        <v>0.12594915884613878</v>
      </c>
      <c r="AB156" s="80"/>
      <c r="AC156" s="15"/>
      <c r="AD156" s="81"/>
      <c r="AE156" s="93">
        <f>'Returns per Bu.'!AD156/'Economic Model'!C$30</f>
        <v>0.39754558810820151</v>
      </c>
      <c r="AF156" s="93">
        <f t="shared" si="59"/>
        <v>0.85274911416472232</v>
      </c>
      <c r="AG156" s="93">
        <f>'Returns per Bu.'!AF156/'Economic Model'!C$30</f>
        <v>1.2502947022729238</v>
      </c>
      <c r="AH156" s="93"/>
      <c r="AI156" s="104"/>
      <c r="AJ156" s="93">
        <f t="shared" si="60"/>
        <v>1.6214947022729238</v>
      </c>
      <c r="AK156" s="93">
        <f t="shared" si="61"/>
        <v>1.817740714394136</v>
      </c>
      <c r="AL156" s="105"/>
      <c r="AM156" s="93"/>
      <c r="AN156" s="93">
        <f t="shared" si="62"/>
        <v>0.25210880244600609</v>
      </c>
      <c r="AO156" s="93">
        <f t="shared" si="63"/>
        <v>5.5862790324793909E-2</v>
      </c>
      <c r="AP156" s="93">
        <f t="shared" si="64"/>
        <v>0.12594915884613878</v>
      </c>
      <c r="AQ156" s="93">
        <f t="shared" si="65"/>
        <v>-7.0086368521344866E-2</v>
      </c>
      <c r="AR156" s="52"/>
    </row>
    <row r="157" spans="1:44" x14ac:dyDescent="0.2">
      <c r="A157" s="182">
        <v>42856</v>
      </c>
      <c r="B157" s="27"/>
      <c r="C157" s="93">
        <f>Data!D150+'Economic Model'!C$65</f>
        <v>1.4459090828900001</v>
      </c>
      <c r="D157" s="95">
        <f>Data!E150+'Economic Model'!C$66</f>
        <v>93.454545455000002</v>
      </c>
      <c r="E157" s="319">
        <f>Data!F150+'Economic Model'!C$67</f>
        <v>0.29139999999999999</v>
      </c>
      <c r="F157" s="93">
        <f>Data!G150+'Economic Model'!C$68</f>
        <v>3.3967613659100002</v>
      </c>
      <c r="G157" s="96">
        <f>Data!H150+'Economic Model'!C$69</f>
        <v>5.31</v>
      </c>
      <c r="H157" s="85"/>
      <c r="I157" s="16"/>
      <c r="J157" s="93">
        <f t="shared" si="54"/>
        <v>1.4459090828900001</v>
      </c>
      <c r="K157" s="93">
        <f>D157/2000*'Economic Model'!C$32/'Economic Model'!C$30</f>
        <v>0.26888676236175435</v>
      </c>
      <c r="L157" s="319">
        <f>E157*'Economic Model'!C$33/'Economic Model'!C$30</f>
        <v>6.645964912280701E-2</v>
      </c>
      <c r="M157" s="93">
        <f t="shared" si="67"/>
        <v>1.7812554943745615</v>
      </c>
      <c r="N157" s="110"/>
      <c r="O157" s="108"/>
      <c r="P157" s="93">
        <f>F157/'Economic Model'!C$30</f>
        <v>1.1918460933017545</v>
      </c>
      <c r="Q157" s="93">
        <f>G157/1000*'Economic Model'!C$34</f>
        <v>0.1593</v>
      </c>
      <c r="R157" s="93">
        <f>('Economic Model'!H$44+'Economic Model'!H$53)/100</f>
        <v>0.21939999999999998</v>
      </c>
      <c r="S157" s="93">
        <f t="shared" si="55"/>
        <v>1.5705460933017545</v>
      </c>
      <c r="T157" s="93">
        <f>'Economic Model'!H$60/100</f>
        <v>0.19624601212121212</v>
      </c>
      <c r="U157" s="93">
        <f t="shared" si="56"/>
        <v>1.7667921054229667</v>
      </c>
      <c r="V157" s="93">
        <f t="shared" si="66"/>
        <v>1.4314456939384053</v>
      </c>
      <c r="W157" s="105"/>
      <c r="X157" s="93"/>
      <c r="Y157" s="93">
        <f>M157-P157-Q157-('Economic Model'!H$50/100)</f>
        <v>0.39160940107280706</v>
      </c>
      <c r="Z157" s="93">
        <f t="shared" si="57"/>
        <v>0.210709401072807</v>
      </c>
      <c r="AA157" s="93">
        <f t="shared" si="58"/>
        <v>1.4463388951594824E-2</v>
      </c>
      <c r="AB157" s="80"/>
      <c r="AC157" s="15"/>
      <c r="AD157" s="81"/>
      <c r="AE157" s="93">
        <f>'Returns per Bu.'!AD157/'Economic Model'!C$30</f>
        <v>0.39754558810820151</v>
      </c>
      <c r="AF157" s="93">
        <f t="shared" si="59"/>
        <v>0.85274911416472232</v>
      </c>
      <c r="AG157" s="93">
        <f>'Returns per Bu.'!AF157/'Economic Model'!C$30</f>
        <v>1.2502947022729238</v>
      </c>
      <c r="AH157" s="93"/>
      <c r="AI157" s="104"/>
      <c r="AJ157" s="93">
        <f t="shared" si="60"/>
        <v>1.6289947022729239</v>
      </c>
      <c r="AK157" s="93">
        <f t="shared" si="61"/>
        <v>1.825240714394136</v>
      </c>
      <c r="AL157" s="105"/>
      <c r="AM157" s="93"/>
      <c r="AN157" s="93">
        <f t="shared" si="62"/>
        <v>0.15226079210163768</v>
      </c>
      <c r="AO157" s="93">
        <f t="shared" si="63"/>
        <v>-4.39852200195745E-2</v>
      </c>
      <c r="AP157" s="93">
        <f t="shared" si="64"/>
        <v>1.4463388951594824E-2</v>
      </c>
      <c r="AQ157" s="93">
        <f t="shared" si="65"/>
        <v>-5.8448608971169325E-2</v>
      </c>
      <c r="AR157" s="52"/>
    </row>
    <row r="158" spans="1:44" x14ac:dyDescent="0.2">
      <c r="A158" s="182">
        <v>42887</v>
      </c>
      <c r="B158" s="27"/>
      <c r="C158" s="93">
        <f>Data!D151+'Economic Model'!C$65</f>
        <v>1.5050000007</v>
      </c>
      <c r="D158" s="95">
        <f>Data!E151+'Economic Model'!C$66</f>
        <v>99.068181818179994</v>
      </c>
      <c r="E158" s="319">
        <f>Data!F151+'Economic Model'!C$67</f>
        <v>0.29920000000000002</v>
      </c>
      <c r="F158" s="93">
        <f>Data!G151+'Economic Model'!C$68</f>
        <v>3.3717897724000001</v>
      </c>
      <c r="G158" s="96">
        <f>Data!H151+'Economic Model'!C$69</f>
        <v>5.51</v>
      </c>
      <c r="H158" s="85"/>
      <c r="I158" s="16"/>
      <c r="J158" s="93">
        <f t="shared" si="54"/>
        <v>1.5050000007</v>
      </c>
      <c r="K158" s="93">
        <f>D158/2000*'Economic Model'!C$32/'Economic Model'!C$30</f>
        <v>0.28503827751195643</v>
      </c>
      <c r="L158" s="319">
        <f>E158*'Economic Model'!C$33/'Economic Model'!C$30</f>
        <v>6.8238596491228071E-2</v>
      </c>
      <c r="M158" s="93">
        <f t="shared" si="67"/>
        <v>1.8582768747031844</v>
      </c>
      <c r="N158" s="110"/>
      <c r="O158" s="108"/>
      <c r="P158" s="93">
        <f>F158/'Economic Model'!C$30</f>
        <v>1.1830841306666666</v>
      </c>
      <c r="Q158" s="93">
        <f>G158/1000*'Economic Model'!C$34</f>
        <v>0.1653</v>
      </c>
      <c r="R158" s="93">
        <f>('Economic Model'!H$44+'Economic Model'!H$53)/100</f>
        <v>0.21939999999999998</v>
      </c>
      <c r="S158" s="93">
        <f t="shared" si="55"/>
        <v>1.5677841306666667</v>
      </c>
      <c r="T158" s="93">
        <f>'Economic Model'!H$60/100</f>
        <v>0.19624601212121212</v>
      </c>
      <c r="U158" s="93">
        <f t="shared" si="56"/>
        <v>1.7640301427878788</v>
      </c>
      <c r="V158" s="93">
        <f t="shared" si="66"/>
        <v>1.4107532687846944</v>
      </c>
      <c r="W158" s="105"/>
      <c r="X158" s="93"/>
      <c r="Y158" s="93">
        <f>M158-P158-Q158-('Economic Model'!H$50/100)</f>
        <v>0.47139274403651776</v>
      </c>
      <c r="Z158" s="93">
        <f t="shared" si="57"/>
        <v>0.2904927440365177</v>
      </c>
      <c r="AA158" s="93">
        <f t="shared" si="58"/>
        <v>9.4246731915305526E-2</v>
      </c>
      <c r="AB158" s="80"/>
      <c r="AC158" s="15"/>
      <c r="AD158" s="81"/>
      <c r="AE158" s="93">
        <f>'Returns per Bu.'!AD158/'Economic Model'!C$30</f>
        <v>0.39754558810820151</v>
      </c>
      <c r="AF158" s="93">
        <f t="shared" si="59"/>
        <v>0.85274911416472232</v>
      </c>
      <c r="AG158" s="93">
        <f>'Returns per Bu.'!AF158/'Economic Model'!C$30</f>
        <v>1.2502947022729238</v>
      </c>
      <c r="AH158" s="93"/>
      <c r="AI158" s="104"/>
      <c r="AJ158" s="93">
        <f t="shared" si="60"/>
        <v>1.6349947022729239</v>
      </c>
      <c r="AK158" s="93">
        <f t="shared" si="61"/>
        <v>1.831240714394136</v>
      </c>
      <c r="AL158" s="105"/>
      <c r="AM158" s="93"/>
      <c r="AN158" s="93">
        <f t="shared" si="62"/>
        <v>0.22328217243026049</v>
      </c>
      <c r="AO158" s="93">
        <f t="shared" si="63"/>
        <v>2.7036160309048318E-2</v>
      </c>
      <c r="AP158" s="93">
        <f t="shared" si="64"/>
        <v>9.4246731915305526E-2</v>
      </c>
      <c r="AQ158" s="93">
        <f t="shared" si="65"/>
        <v>-6.7210571606257208E-2</v>
      </c>
      <c r="AR158" s="52"/>
    </row>
    <row r="159" spans="1:44" x14ac:dyDescent="0.2">
      <c r="A159" s="182">
        <v>42917</v>
      </c>
      <c r="B159" s="27"/>
      <c r="C159" s="93">
        <f>Data!D152+'Economic Model'!C$65</f>
        <v>1.472249996662</v>
      </c>
      <c r="D159" s="95">
        <f>Data!E152+'Economic Model'!C$66</f>
        <v>103.85</v>
      </c>
      <c r="E159" s="319">
        <f>Data!F152+'Economic Model'!C$67</f>
        <v>0.28010000000000002</v>
      </c>
      <c r="F159" s="93">
        <f>Data!G152+'Economic Model'!C$68</f>
        <v>3.4018750101299999</v>
      </c>
      <c r="G159" s="96">
        <f>Data!H152+'Economic Model'!C$69</f>
        <v>5.43</v>
      </c>
      <c r="H159" s="85"/>
      <c r="I159" s="16"/>
      <c r="J159" s="93">
        <f t="shared" si="54"/>
        <v>1.472249996662</v>
      </c>
      <c r="K159" s="93">
        <f>D159/2000*'Economic Model'!C$32/'Economic Model'!C$30</f>
        <v>0.29879649122807017</v>
      </c>
      <c r="L159" s="319">
        <f>E159*'Economic Model'!C$33/'Economic Model'!C$30</f>
        <v>6.3882456140350874E-2</v>
      </c>
      <c r="M159" s="93">
        <f t="shared" si="67"/>
        <v>1.8349289440304211</v>
      </c>
      <c r="N159" s="110"/>
      <c r="O159" s="108"/>
      <c r="P159" s="93">
        <f>F159/'Economic Model'!C$30</f>
        <v>1.1936403544315788</v>
      </c>
      <c r="Q159" s="93">
        <f>G159/1000*'Economic Model'!C$34</f>
        <v>0.16289999999999999</v>
      </c>
      <c r="R159" s="93">
        <f>('Economic Model'!H$44+'Economic Model'!H$53)/100</f>
        <v>0.21939999999999998</v>
      </c>
      <c r="S159" s="93">
        <f t="shared" si="55"/>
        <v>1.5759403544315789</v>
      </c>
      <c r="T159" s="93">
        <f>'Economic Model'!H$60/100</f>
        <v>0.19624601212121212</v>
      </c>
      <c r="U159" s="93">
        <f t="shared" si="56"/>
        <v>1.772186366552791</v>
      </c>
      <c r="V159" s="93">
        <f t="shared" si="66"/>
        <v>1.4095074191843699</v>
      </c>
      <c r="W159" s="105"/>
      <c r="X159" s="93"/>
      <c r="Y159" s="93">
        <f>M159-P159-Q159-('Economic Model'!H$50/100)</f>
        <v>0.43988858959884231</v>
      </c>
      <c r="Z159" s="93">
        <f t="shared" si="57"/>
        <v>0.25898858959884219</v>
      </c>
      <c r="AA159" s="93">
        <f t="shared" si="58"/>
        <v>6.2742577477630013E-2</v>
      </c>
      <c r="AB159" s="80"/>
      <c r="AC159" s="15"/>
      <c r="AD159" s="81"/>
      <c r="AE159" s="93">
        <f>'Returns per Bu.'!AD159/'Economic Model'!C$30</f>
        <v>0.39754558810820151</v>
      </c>
      <c r="AF159" s="93">
        <f t="shared" si="59"/>
        <v>0.85274911416472232</v>
      </c>
      <c r="AG159" s="93">
        <f>'Returns per Bu.'!AF159/'Economic Model'!C$30</f>
        <v>1.2502947022729238</v>
      </c>
      <c r="AH159" s="93"/>
      <c r="AI159" s="104"/>
      <c r="AJ159" s="93">
        <f t="shared" si="60"/>
        <v>1.6325947022729239</v>
      </c>
      <c r="AK159" s="93">
        <f t="shared" si="61"/>
        <v>1.8288407143941361</v>
      </c>
      <c r="AL159" s="105"/>
      <c r="AM159" s="93"/>
      <c r="AN159" s="93">
        <f t="shared" si="62"/>
        <v>0.20233424175749715</v>
      </c>
      <c r="AO159" s="93">
        <f t="shared" si="63"/>
        <v>6.0882296362849697E-3</v>
      </c>
      <c r="AP159" s="93">
        <f t="shared" si="64"/>
        <v>6.2742577477630013E-2</v>
      </c>
      <c r="AQ159" s="93">
        <f t="shared" si="65"/>
        <v>-5.6654347841345043E-2</v>
      </c>
      <c r="AR159" s="52"/>
    </row>
    <row r="160" spans="1:44" x14ac:dyDescent="0.2">
      <c r="A160" s="182">
        <v>42948</v>
      </c>
      <c r="B160" s="27"/>
      <c r="C160" s="93">
        <f>Data!D153+'Economic Model'!C$65</f>
        <v>1.486136366</v>
      </c>
      <c r="D160" s="95">
        <f>Data!E153+'Economic Model'!C$66</f>
        <v>108.6818181818</v>
      </c>
      <c r="E160" s="319">
        <f>Data!F153+'Economic Model'!C$67</f>
        <v>0.28160000000000002</v>
      </c>
      <c r="F160" s="93">
        <f>Data!G153+'Economic Model'!C$68</f>
        <v>3.1971591061</v>
      </c>
      <c r="G160" s="96">
        <f>Data!H153+'Economic Model'!C$69</f>
        <v>5.18</v>
      </c>
      <c r="H160" s="85"/>
      <c r="I160" s="16"/>
      <c r="J160" s="93">
        <f t="shared" si="54"/>
        <v>1.486136366</v>
      </c>
      <c r="K160" s="93">
        <f>D160/2000*'Economic Model'!C$32/'Economic Model'!C$30</f>
        <v>0.31269856459324907</v>
      </c>
      <c r="L160" s="319">
        <f>E160*'Economic Model'!C$33/'Economic Model'!C$30</f>
        <v>6.4224561403508768E-2</v>
      </c>
      <c r="M160" s="93">
        <f t="shared" si="67"/>
        <v>1.8630594919967578</v>
      </c>
      <c r="N160" s="110"/>
      <c r="O160" s="108"/>
      <c r="P160" s="93">
        <f>F160/'Economic Model'!C$30</f>
        <v>1.1218102126666667</v>
      </c>
      <c r="Q160" s="93">
        <f>G160/1000*'Economic Model'!C$34</f>
        <v>0.15539999999999998</v>
      </c>
      <c r="R160" s="93">
        <f>('Economic Model'!H$44+'Economic Model'!H$53)/100</f>
        <v>0.21939999999999998</v>
      </c>
      <c r="S160" s="93">
        <f t="shared" si="55"/>
        <v>1.4966102126666667</v>
      </c>
      <c r="T160" s="93">
        <f>'Economic Model'!H$60/100</f>
        <v>0.19624601212121212</v>
      </c>
      <c r="U160" s="93">
        <f t="shared" si="56"/>
        <v>1.6928562247878789</v>
      </c>
      <c r="V160" s="93">
        <f t="shared" si="66"/>
        <v>1.3159330987911209</v>
      </c>
      <c r="W160" s="105"/>
      <c r="X160" s="93"/>
      <c r="Y160" s="93">
        <f>M160-P160-Q160-('Economic Model'!H$50/100)</f>
        <v>0.54734927933009114</v>
      </c>
      <c r="Z160" s="93">
        <f t="shared" si="57"/>
        <v>0.36644927933009108</v>
      </c>
      <c r="AA160" s="93">
        <f t="shared" si="58"/>
        <v>0.17020326720887891</v>
      </c>
      <c r="AB160" s="80"/>
      <c r="AC160" s="15"/>
      <c r="AD160" s="81"/>
      <c r="AE160" s="93">
        <f>'Returns per Bu.'!AD160/'Economic Model'!C$30</f>
        <v>0.39754558810820151</v>
      </c>
      <c r="AF160" s="93">
        <f t="shared" si="59"/>
        <v>0.85274911416472232</v>
      </c>
      <c r="AG160" s="93">
        <f>'Returns per Bu.'!AF160/'Economic Model'!C$30</f>
        <v>1.2502947022729238</v>
      </c>
      <c r="AH160" s="93"/>
      <c r="AI160" s="104"/>
      <c r="AJ160" s="93">
        <f t="shared" si="60"/>
        <v>1.6250947022729239</v>
      </c>
      <c r="AK160" s="93">
        <f t="shared" si="61"/>
        <v>1.821340714394136</v>
      </c>
      <c r="AL160" s="105"/>
      <c r="AM160" s="93"/>
      <c r="AN160" s="93">
        <f t="shared" si="62"/>
        <v>0.23796478972383395</v>
      </c>
      <c r="AO160" s="93">
        <f t="shared" si="63"/>
        <v>4.171877760262177E-2</v>
      </c>
      <c r="AP160" s="93">
        <f t="shared" si="64"/>
        <v>0.17020326720887891</v>
      </c>
      <c r="AQ160" s="93">
        <f t="shared" si="65"/>
        <v>-0.12848448960625714</v>
      </c>
      <c r="AR160" s="52"/>
    </row>
    <row r="161" spans="1:45" x14ac:dyDescent="0.2">
      <c r="A161" s="182">
        <v>42979</v>
      </c>
      <c r="B161" s="27"/>
      <c r="C161" s="93">
        <f>Data!D154+'Economic Model'!C$65</f>
        <v>1.5102499812841415</v>
      </c>
      <c r="D161" s="95">
        <f>Data!E154+'Economic Model'!C$66</f>
        <v>104.1125</v>
      </c>
      <c r="E161" s="319">
        <f>Data!F154+'Economic Model'!C$67</f>
        <v>0.28760000000000002</v>
      </c>
      <c r="F161" s="93">
        <f>Data!G154+'Economic Model'!C$68</f>
        <v>3.1779375314712524</v>
      </c>
      <c r="G161" s="96">
        <f>Data!H154+'Economic Model'!C$69</f>
        <v>5.33</v>
      </c>
      <c r="H161" s="85"/>
      <c r="I161" s="16"/>
      <c r="J161" s="93">
        <f t="shared" si="54"/>
        <v>1.5102499812841415</v>
      </c>
      <c r="K161" s="93">
        <f>D161/2000*'Economic Model'!C$32/'Economic Model'!C$30</f>
        <v>0.29955175438596487</v>
      </c>
      <c r="L161" s="319">
        <f>E161*'Economic Model'!C$33/'Economic Model'!C$30</f>
        <v>6.5592982456140356E-2</v>
      </c>
      <c r="M161" s="93">
        <f t="shared" si="67"/>
        <v>1.8753947181262467</v>
      </c>
      <c r="N161" s="110"/>
      <c r="O161" s="108"/>
      <c r="P161" s="93">
        <f>F161/'Economic Model'!C$30</f>
        <v>1.1150658005162288</v>
      </c>
      <c r="Q161" s="93">
        <f>G161/1000*'Economic Model'!C$34</f>
        <v>0.15989999999999999</v>
      </c>
      <c r="R161" s="93">
        <f>('Economic Model'!H$44+'Economic Model'!H$53)/100</f>
        <v>0.21939999999999998</v>
      </c>
      <c r="S161" s="93">
        <f t="shared" si="55"/>
        <v>1.4943658005162288</v>
      </c>
      <c r="T161" s="93">
        <f>'Economic Model'!H$60/100</f>
        <v>0.19624601212121212</v>
      </c>
      <c r="U161" s="93">
        <f t="shared" si="56"/>
        <v>1.690611812637441</v>
      </c>
      <c r="V161" s="93">
        <f t="shared" si="66"/>
        <v>1.3254670757953357</v>
      </c>
      <c r="W161" s="105"/>
      <c r="X161" s="93"/>
      <c r="Y161" s="93">
        <f>M161-P161-Q161-('Economic Model'!H$50/100)</f>
        <v>0.56192891761001795</v>
      </c>
      <c r="Z161" s="93">
        <f t="shared" si="57"/>
        <v>0.38102891761001789</v>
      </c>
      <c r="AA161" s="93">
        <f t="shared" si="58"/>
        <v>0.18478290548880572</v>
      </c>
      <c r="AB161" s="80"/>
      <c r="AC161" s="15"/>
      <c r="AD161" s="81"/>
      <c r="AE161" s="93">
        <f>'Returns per Bu.'!AD161/'Economic Model'!C$30</f>
        <v>0.38040646169880149</v>
      </c>
      <c r="AF161" s="93">
        <f t="shared" si="59"/>
        <v>0.80141566788257768</v>
      </c>
      <c r="AG161" s="93">
        <f>'Returns per Bu.'!AF161/'Economic Model'!C$30</f>
        <v>1.1818221295813791</v>
      </c>
      <c r="AH161" s="93"/>
      <c r="AI161" s="104"/>
      <c r="AJ161" s="93">
        <f t="shared" si="60"/>
        <v>1.5611221295813791</v>
      </c>
      <c r="AK161" s="93">
        <f t="shared" si="61"/>
        <v>1.7573681417025913</v>
      </c>
      <c r="AL161" s="105"/>
      <c r="AM161" s="93"/>
      <c r="AN161" s="93">
        <f t="shared" si="62"/>
        <v>0.31427258854486761</v>
      </c>
      <c r="AO161" s="93">
        <f t="shared" si="63"/>
        <v>0.11802657642365544</v>
      </c>
      <c r="AP161" s="93">
        <f t="shared" si="64"/>
        <v>0.18478290548880572</v>
      </c>
      <c r="AQ161" s="93">
        <f t="shared" si="65"/>
        <v>-6.6756329065150277E-2</v>
      </c>
      <c r="AR161" s="52"/>
    </row>
    <row r="162" spans="1:45" x14ac:dyDescent="0.2">
      <c r="A162" s="182">
        <v>43009</v>
      </c>
      <c r="B162" s="27"/>
      <c r="C162" s="93">
        <f>Data!D155+'Economic Model'!C$65</f>
        <v>1.4045238125891912</v>
      </c>
      <c r="D162" s="95">
        <f>Data!E155+'Economic Model'!C$66</f>
        <v>108.95238095238095</v>
      </c>
      <c r="E162" s="319">
        <f>Data!F155+'Economic Model'!C$67</f>
        <v>0.26850000000000002</v>
      </c>
      <c r="F162" s="93">
        <f>Data!G155+'Economic Model'!C$68</f>
        <v>3.1547619161151705</v>
      </c>
      <c r="G162" s="96">
        <f>Data!H155+'Economic Model'!C$69</f>
        <v>5.0599999999999996</v>
      </c>
      <c r="H162" s="85"/>
      <c r="I162" s="16"/>
      <c r="J162" s="93">
        <f t="shared" si="54"/>
        <v>1.4045238125891912</v>
      </c>
      <c r="K162" s="93">
        <f>D162/2000*'Economic Model'!C$32/'Economic Model'!C$30</f>
        <v>0.31347702589807852</v>
      </c>
      <c r="L162" s="319">
        <f>E162*'Economic Model'!C$33/'Economic Model'!C$30</f>
        <v>6.1236842105263159E-2</v>
      </c>
      <c r="M162" s="93">
        <f t="shared" si="67"/>
        <v>1.779237680592533</v>
      </c>
      <c r="N162" s="110"/>
      <c r="O162" s="108"/>
      <c r="P162" s="93">
        <f>F162/'Economic Model'!C$30</f>
        <v>1.1069340056544457</v>
      </c>
      <c r="Q162" s="93">
        <f>G162/1000*'Economic Model'!C$34</f>
        <v>0.15179999999999999</v>
      </c>
      <c r="R162" s="93">
        <f>('Economic Model'!H$44+'Economic Model'!H$53)/100</f>
        <v>0.21939999999999998</v>
      </c>
      <c r="S162" s="93">
        <f t="shared" si="55"/>
        <v>1.4781340056544456</v>
      </c>
      <c r="T162" s="93">
        <f>'Economic Model'!H$60/100</f>
        <v>0.19624601212121212</v>
      </c>
      <c r="U162" s="93">
        <f t="shared" si="56"/>
        <v>1.6743800177756578</v>
      </c>
      <c r="V162" s="93">
        <f t="shared" si="66"/>
        <v>1.2996661497723161</v>
      </c>
      <c r="W162" s="105"/>
      <c r="X162" s="93"/>
      <c r="Y162" s="93">
        <f>M162-P162-Q162-('Economic Model'!H$50/100)</f>
        <v>0.48200367493808738</v>
      </c>
      <c r="Z162" s="93">
        <f t="shared" si="57"/>
        <v>0.30110367493808732</v>
      </c>
      <c r="AA162" s="93">
        <f t="shared" si="58"/>
        <v>0.10485766281687514</v>
      </c>
      <c r="AB162" s="80"/>
      <c r="AC162" s="15"/>
      <c r="AD162" s="81"/>
      <c r="AE162" s="93">
        <f>'Returns per Bu.'!AD162/'Economic Model'!C$30</f>
        <v>0.38040646169880149</v>
      </c>
      <c r="AF162" s="93">
        <f t="shared" si="59"/>
        <v>0.80141566788257768</v>
      </c>
      <c r="AG162" s="93">
        <f>'Returns per Bu.'!AF162/'Economic Model'!C$30</f>
        <v>1.1818221295813791</v>
      </c>
      <c r="AH162" s="93"/>
      <c r="AI162" s="104"/>
      <c r="AJ162" s="93">
        <f t="shared" si="60"/>
        <v>1.5530221295813791</v>
      </c>
      <c r="AK162" s="93">
        <f t="shared" si="61"/>
        <v>1.7492681417025913</v>
      </c>
      <c r="AL162" s="105"/>
      <c r="AM162" s="93"/>
      <c r="AN162" s="93">
        <f t="shared" si="62"/>
        <v>0.22621555101115387</v>
      </c>
      <c r="AO162" s="93">
        <f t="shared" si="63"/>
        <v>2.9969538889941694E-2</v>
      </c>
      <c r="AP162" s="93">
        <f t="shared" si="64"/>
        <v>0.10485766281687514</v>
      </c>
      <c r="AQ162" s="93">
        <f t="shared" si="65"/>
        <v>-7.4888123926933448E-2</v>
      </c>
      <c r="AR162" s="52"/>
    </row>
    <row r="163" spans="1:45" x14ac:dyDescent="0.2">
      <c r="A163" s="182">
        <v>43040</v>
      </c>
      <c r="B163" s="27"/>
      <c r="C163" s="93">
        <f>Data!D156+'Economic Model'!C$65</f>
        <v>1.3580000162124635</v>
      </c>
      <c r="D163" s="95">
        <f>Data!E156+'Economic Model'!C$66</f>
        <v>116.125</v>
      </c>
      <c r="E163" s="319">
        <f>Data!F156+'Economic Model'!C$67</f>
        <v>0.25940000000000002</v>
      </c>
      <c r="F163" s="93">
        <f>Data!G156+'Economic Model'!C$68</f>
        <v>3.1341874897480011</v>
      </c>
      <c r="G163" s="96">
        <f>Data!H156+'Economic Model'!C$69</f>
        <v>5.12</v>
      </c>
      <c r="H163" s="85"/>
      <c r="I163" s="16"/>
      <c r="J163" s="93">
        <f t="shared" si="54"/>
        <v>1.3580000162124635</v>
      </c>
      <c r="K163" s="93">
        <f>D163/2000*'Economic Model'!C$32/'Economic Model'!C$30</f>
        <v>0.33411403508771931</v>
      </c>
      <c r="L163" s="319">
        <f>E163*'Economic Model'!C$33/'Economic Model'!C$30</f>
        <v>5.9161403508771929E-2</v>
      </c>
      <c r="M163" s="93">
        <f t="shared" si="67"/>
        <v>1.7512754548089549</v>
      </c>
      <c r="N163" s="110"/>
      <c r="O163" s="108"/>
      <c r="P163" s="93">
        <f>F163/'Economic Model'!C$30</f>
        <v>1.0997149086835092</v>
      </c>
      <c r="Q163" s="93">
        <f>G163/1000*'Economic Model'!C$34</f>
        <v>0.15360000000000001</v>
      </c>
      <c r="R163" s="93">
        <f>('Economic Model'!H$44+'Economic Model'!H$53)/100</f>
        <v>0.21939999999999998</v>
      </c>
      <c r="S163" s="93">
        <f t="shared" si="55"/>
        <v>1.4727149086835092</v>
      </c>
      <c r="T163" s="93">
        <f>'Economic Model'!H$60/100</f>
        <v>0.19624601212121212</v>
      </c>
      <c r="U163" s="93">
        <f t="shared" si="56"/>
        <v>1.6689609208047214</v>
      </c>
      <c r="V163" s="93">
        <f t="shared" si="66"/>
        <v>1.2756854822082302</v>
      </c>
      <c r="W163" s="105"/>
      <c r="X163" s="93"/>
      <c r="Y163" s="93">
        <f>M163-P163-Q163-('Economic Model'!H$50/100)</f>
        <v>0.45946054612544568</v>
      </c>
      <c r="Z163" s="93">
        <f t="shared" si="57"/>
        <v>0.27856054612544567</v>
      </c>
      <c r="AA163" s="93">
        <f t="shared" si="58"/>
        <v>8.2314534004233497E-2</v>
      </c>
      <c r="AB163" s="80"/>
      <c r="AC163" s="15"/>
      <c r="AD163" s="81"/>
      <c r="AE163" s="93">
        <f>'Returns per Bu.'!AD163/'Economic Model'!C$30</f>
        <v>0.38040646169880149</v>
      </c>
      <c r="AF163" s="93">
        <f t="shared" si="59"/>
        <v>0.80141566788257768</v>
      </c>
      <c r="AG163" s="93">
        <f>'Returns per Bu.'!AF163/'Economic Model'!C$30</f>
        <v>1.1818221295813791</v>
      </c>
      <c r="AH163" s="93"/>
      <c r="AI163" s="104"/>
      <c r="AJ163" s="93">
        <f t="shared" si="60"/>
        <v>1.5548221295813791</v>
      </c>
      <c r="AK163" s="93">
        <f t="shared" si="61"/>
        <v>1.7510681417025913</v>
      </c>
      <c r="AL163" s="105"/>
      <c r="AM163" s="93"/>
      <c r="AN163" s="93">
        <f t="shared" si="62"/>
        <v>0.19645332522757575</v>
      </c>
      <c r="AO163" s="93">
        <f t="shared" si="63"/>
        <v>2.0731310636357136E-4</v>
      </c>
      <c r="AP163" s="93">
        <f t="shared" si="64"/>
        <v>8.2314534004233497E-2</v>
      </c>
      <c r="AQ163" s="93">
        <f t="shared" si="65"/>
        <v>-8.2107220897869926E-2</v>
      </c>
      <c r="AR163" s="52"/>
    </row>
    <row r="164" spans="1:45" x14ac:dyDescent="0.2">
      <c r="A164" s="68">
        <v>43070</v>
      </c>
      <c r="B164" s="29"/>
      <c r="C164" s="93">
        <f>Data!D157+'Economic Model'!C$65</f>
        <v>1.2672500282526016</v>
      </c>
      <c r="D164" s="95">
        <f>Data!E157+'Economic Model'!C$66</f>
        <v>125.15</v>
      </c>
      <c r="E164" s="320">
        <f>Data!F157+'Economic Model'!C$67</f>
        <v>0.22500000000000001</v>
      </c>
      <c r="F164" s="93">
        <f>Data!G157+'Economic Model'!C$68</f>
        <v>3.2322500169277193</v>
      </c>
      <c r="G164" s="96">
        <f>Data!H157+'Economic Model'!C$69</f>
        <v>5.55</v>
      </c>
      <c r="H164" s="87"/>
      <c r="I164" s="71"/>
      <c r="J164" s="97">
        <f t="shared" si="54"/>
        <v>1.2672500282526016</v>
      </c>
      <c r="K164" s="97">
        <f>D164/2000*'Economic Model'!C$32/'Economic Model'!C$30</f>
        <v>0.36008070175438595</v>
      </c>
      <c r="L164" s="320">
        <f>E164*'Economic Model'!C$33/'Economic Model'!C$30</f>
        <v>5.1315789473684217E-2</v>
      </c>
      <c r="M164" s="97">
        <f t="shared" si="67"/>
        <v>1.6786465194806717</v>
      </c>
      <c r="N164" s="113"/>
      <c r="O164" s="111"/>
      <c r="P164" s="97">
        <f>F164/'Economic Model'!C$30</f>
        <v>1.1341228129570944</v>
      </c>
      <c r="Q164" s="97">
        <f>G164/1000*'Economic Model'!C$34</f>
        <v>0.16650000000000001</v>
      </c>
      <c r="R164" s="97">
        <f>('Economic Model'!H$44+'Economic Model'!H$53)/100</f>
        <v>0.21939999999999998</v>
      </c>
      <c r="S164" s="97">
        <f t="shared" si="55"/>
        <v>1.5200228129570945</v>
      </c>
      <c r="T164" s="97">
        <f>'Economic Model'!H$60/100</f>
        <v>0.19624601212121212</v>
      </c>
      <c r="U164" s="97">
        <f t="shared" si="56"/>
        <v>1.7162688250783067</v>
      </c>
      <c r="V164" s="97">
        <f t="shared" si="66"/>
        <v>1.3048723338502366</v>
      </c>
      <c r="W164" s="107"/>
      <c r="X164" s="97"/>
      <c r="Y164" s="97">
        <f>M164-P164-Q164-('Economic Model'!H$50/100)</f>
        <v>0.33952370652357733</v>
      </c>
      <c r="Z164" s="97">
        <f t="shared" si="57"/>
        <v>0.15862370652357716</v>
      </c>
      <c r="AA164" s="97">
        <f t="shared" si="58"/>
        <v>-3.762230559763502E-2</v>
      </c>
      <c r="AB164" s="82"/>
      <c r="AC164" s="294"/>
      <c r="AD164" s="83"/>
      <c r="AE164" s="97">
        <f>'Returns per Bu.'!AD164/'Economic Model'!C$30</f>
        <v>0.38040646169880149</v>
      </c>
      <c r="AF164" s="97">
        <f t="shared" si="59"/>
        <v>0.80141566788257768</v>
      </c>
      <c r="AG164" s="97">
        <f>'Returns per Bu.'!AF164/'Economic Model'!C$30</f>
        <v>1.1818221295813791</v>
      </c>
      <c r="AH164" s="97"/>
      <c r="AI164" s="106"/>
      <c r="AJ164" s="97">
        <f t="shared" si="60"/>
        <v>1.5677221295813792</v>
      </c>
      <c r="AK164" s="97">
        <f t="shared" si="61"/>
        <v>1.7639681417025914</v>
      </c>
      <c r="AL164" s="107"/>
      <c r="AM164" s="97"/>
      <c r="AN164" s="97">
        <f t="shared" si="62"/>
        <v>0.11092438989929243</v>
      </c>
      <c r="AO164" s="97">
        <f t="shared" si="63"/>
        <v>-8.5321622221919746E-2</v>
      </c>
      <c r="AP164" s="97">
        <f t="shared" si="64"/>
        <v>-3.762230559763502E-2</v>
      </c>
      <c r="AQ164" s="97">
        <f t="shared" si="65"/>
        <v>-4.7699316624284727E-2</v>
      </c>
      <c r="AR164" s="64"/>
    </row>
    <row r="165" spans="1:45" x14ac:dyDescent="0.2">
      <c r="A165" s="292">
        <v>43101</v>
      </c>
      <c r="B165" s="62"/>
      <c r="C165" s="101">
        <f>Data!D158+'Economic Model'!C$65</f>
        <v>1.2700000206629436</v>
      </c>
      <c r="D165" s="103">
        <f>Data!E158+'Economic Model'!C$66</f>
        <v>134.85714285714286</v>
      </c>
      <c r="E165" s="319">
        <f>Data!F158+'Economic Model'!C$67</f>
        <v>0.22070000000000001</v>
      </c>
      <c r="F165" s="101">
        <f>Data!G158+'Economic Model'!C$68</f>
        <v>3.2836904667672657</v>
      </c>
      <c r="G165" s="90">
        <f>Data!H158+'Economic Model'!C$69</f>
        <v>5.55</v>
      </c>
      <c r="H165" s="88"/>
      <c r="I165" s="73"/>
      <c r="J165" s="101">
        <f t="shared" si="54"/>
        <v>1.2700000206629436</v>
      </c>
      <c r="K165" s="101">
        <f>D165/2000*'Economic Model'!C$32/'Economic Model'!C$30</f>
        <v>0.38801002506265664</v>
      </c>
      <c r="L165" s="319">
        <f>E165*'Economic Model'!C$33/'Economic Model'!C$30</f>
        <v>5.0335087719298247E-2</v>
      </c>
      <c r="M165" s="101">
        <f t="shared" si="67"/>
        <v>1.7083451334448985</v>
      </c>
      <c r="N165" s="115"/>
      <c r="O165" s="114"/>
      <c r="P165" s="101">
        <f>F165/'Economic Model'!C$30</f>
        <v>1.1521720936025492</v>
      </c>
      <c r="Q165" s="101">
        <f>G165/1000*'Economic Model'!C$34</f>
        <v>0.16650000000000001</v>
      </c>
      <c r="R165" s="101">
        <f>('Economic Model'!H$44+'Economic Model'!H$53)/100</f>
        <v>0.21939999999999998</v>
      </c>
      <c r="S165" s="101">
        <f t="shared" si="55"/>
        <v>1.5380720936025494</v>
      </c>
      <c r="T165" s="101">
        <f>'Economic Model'!H$60/100</f>
        <v>0.19624601212121212</v>
      </c>
      <c r="U165" s="101">
        <f t="shared" si="56"/>
        <v>1.7343181057237615</v>
      </c>
      <c r="V165" s="101">
        <f t="shared" si="66"/>
        <v>1.2959729929418067</v>
      </c>
      <c r="W165" s="116"/>
      <c r="X165" s="101"/>
      <c r="Y165" s="101">
        <f>M165-P165-Q165-('Economic Model'!H$50/100)</f>
        <v>0.35117303984234927</v>
      </c>
      <c r="Z165" s="101">
        <f t="shared" si="57"/>
        <v>0.17027303984234909</v>
      </c>
      <c r="AA165" s="101">
        <f t="shared" si="58"/>
        <v>-2.5972972278863082E-2</v>
      </c>
      <c r="AB165" s="293"/>
      <c r="AC165" s="293"/>
      <c r="AD165" s="288"/>
      <c r="AE165" s="101">
        <f>'Returns per Bu.'!AD165/'Economic Model'!C$30</f>
        <v>0.38040646169880149</v>
      </c>
      <c r="AF165" s="101">
        <f t="shared" si="59"/>
        <v>0.80141566788257768</v>
      </c>
      <c r="AG165" s="101">
        <f>'Returns per Bu.'!AF165/'Economic Model'!C$30</f>
        <v>1.1818221295813791</v>
      </c>
      <c r="AH165" s="116"/>
      <c r="AI165" s="101"/>
      <c r="AJ165" s="101">
        <f t="shared" si="60"/>
        <v>1.5677221295813792</v>
      </c>
      <c r="AK165" s="101">
        <f t="shared" si="61"/>
        <v>1.7639681417025914</v>
      </c>
      <c r="AL165" s="101"/>
      <c r="AM165" s="117"/>
      <c r="AN165" s="101">
        <f>M165-AJ165</f>
        <v>0.14062300386351922</v>
      </c>
      <c r="AO165" s="101">
        <f t="shared" si="63"/>
        <v>-5.5623008257692952E-2</v>
      </c>
      <c r="AP165" s="101">
        <f t="shared" si="64"/>
        <v>-2.5972972278863082E-2</v>
      </c>
      <c r="AQ165" s="101">
        <f t="shared" si="65"/>
        <v>-2.965003597882987E-2</v>
      </c>
      <c r="AR165" s="62"/>
    </row>
    <row r="166" spans="1:45" x14ac:dyDescent="0.2">
      <c r="A166" s="182">
        <v>43132</v>
      </c>
      <c r="B166" s="52"/>
      <c r="C166" s="93">
        <f>Data!D159+'Economic Model'!C$65</f>
        <v>1.3376315926250659</v>
      </c>
      <c r="D166" s="95">
        <f>Data!E159+'Economic Model'!C$66</f>
        <v>143.15789473684211</v>
      </c>
      <c r="E166" s="319">
        <f>Data!F159+'Economic Model'!C$67</f>
        <v>0.22219999999999998</v>
      </c>
      <c r="F166" s="93">
        <f>Data!G159+'Economic Model'!C$68</f>
        <v>3.393486854277159</v>
      </c>
      <c r="G166" s="96">
        <f>Data!H159+'Economic Model'!C$69</f>
        <v>6.08</v>
      </c>
      <c r="H166" s="85"/>
      <c r="I166" s="16"/>
      <c r="J166" s="93">
        <f t="shared" si="54"/>
        <v>1.3376315926250659</v>
      </c>
      <c r="K166" s="93">
        <f>D166/2000*'Economic Model'!C$32/'Economic Model'!C$30</f>
        <v>0.41189289012003694</v>
      </c>
      <c r="L166" s="319">
        <f>E166*'Economic Model'!C$33/'Economic Model'!C$30</f>
        <v>5.067719298245614E-2</v>
      </c>
      <c r="M166" s="93">
        <f t="shared" si="67"/>
        <v>1.800201675727559</v>
      </c>
      <c r="N166" s="110"/>
      <c r="O166" s="108"/>
      <c r="P166" s="93">
        <f>F166/'Economic Model'!C$30</f>
        <v>1.1906971418516348</v>
      </c>
      <c r="Q166" s="93">
        <f>G166/1000*'Economic Model'!C$34</f>
        <v>0.18240000000000001</v>
      </c>
      <c r="R166" s="93">
        <f>('Economic Model'!H$44+'Economic Model'!H$53)/100</f>
        <v>0.21939999999999998</v>
      </c>
      <c r="S166" s="93">
        <f t="shared" si="55"/>
        <v>1.5924971418516349</v>
      </c>
      <c r="T166" s="93">
        <f>'Economic Model'!H$60/100</f>
        <v>0.19624601212121212</v>
      </c>
      <c r="U166" s="93">
        <f t="shared" si="56"/>
        <v>1.7887431539728471</v>
      </c>
      <c r="V166" s="93">
        <f t="shared" si="66"/>
        <v>1.3261730708703541</v>
      </c>
      <c r="W166" s="105"/>
      <c r="X166" s="93"/>
      <c r="Y166" s="93">
        <f>M166-P166-Q166-('Economic Model'!H$50/100)</f>
        <v>0.3886045338759242</v>
      </c>
      <c r="Z166" s="93">
        <f t="shared" si="57"/>
        <v>0.20770453387592402</v>
      </c>
      <c r="AA166" s="93">
        <f t="shared" si="58"/>
        <v>1.1458521754711848E-2</v>
      </c>
      <c r="AB166" s="80"/>
      <c r="AC166" s="80"/>
      <c r="AD166" s="17"/>
      <c r="AE166" s="93">
        <f>'Returns per Bu.'!AD166/'Economic Model'!C$30</f>
        <v>0.38040646169880149</v>
      </c>
      <c r="AF166" s="93">
        <f t="shared" si="59"/>
        <v>0.80141566788257768</v>
      </c>
      <c r="AG166" s="93">
        <f>'Returns per Bu.'!AF166/'Economic Model'!C$30</f>
        <v>1.1818221295813791</v>
      </c>
      <c r="AH166" s="105"/>
      <c r="AI166" s="93"/>
      <c r="AJ166" s="93">
        <f t="shared" si="60"/>
        <v>1.5836221295813793</v>
      </c>
      <c r="AK166" s="93">
        <f t="shared" si="61"/>
        <v>1.7798681417025914</v>
      </c>
      <c r="AL166" s="93"/>
      <c r="AM166" s="104"/>
      <c r="AN166" s="93">
        <f t="shared" si="62"/>
        <v>0.21657954614617969</v>
      </c>
      <c r="AO166" s="93">
        <f t="shared" si="63"/>
        <v>2.0333534024967514E-2</v>
      </c>
      <c r="AP166" s="93">
        <f t="shared" si="64"/>
        <v>1.1458521754711848E-2</v>
      </c>
      <c r="AQ166" s="93">
        <f t="shared" si="65"/>
        <v>8.8750122702556666E-3</v>
      </c>
      <c r="AR166" s="52"/>
    </row>
    <row r="167" spans="1:45" x14ac:dyDescent="0.2">
      <c r="A167" s="182">
        <v>43160</v>
      </c>
      <c r="B167" s="52"/>
      <c r="C167" s="93">
        <f>Data!D160+'Economic Model'!C$65</f>
        <v>1.408181827176701</v>
      </c>
      <c r="D167" s="95">
        <f>Data!E160+'Economic Model'!C$66</f>
        <v>147.21590909090909</v>
      </c>
      <c r="E167" s="319">
        <f>Data!F160+'Economic Model'!C$67</f>
        <v>0.22760000000000002</v>
      </c>
      <c r="F167" s="93">
        <f>Data!G160+'Economic Model'!C$68</f>
        <v>3.4911931753158569</v>
      </c>
      <c r="G167" s="96">
        <f>Data!H160+'Economic Model'!C$69</f>
        <v>5.28</v>
      </c>
      <c r="H167" s="85"/>
      <c r="I167" s="16"/>
      <c r="J167" s="93">
        <f t="shared" si="54"/>
        <v>1.408181827176701</v>
      </c>
      <c r="K167" s="93">
        <f>D167/2000*'Economic Model'!C$32/'Economic Model'!C$30</f>
        <v>0.42356858054226471</v>
      </c>
      <c r="L167" s="319">
        <f>E167*'Economic Model'!C$33/'Economic Model'!C$30</f>
        <v>5.1908771929824564E-2</v>
      </c>
      <c r="M167" s="93">
        <f t="shared" si="67"/>
        <v>1.8836591796487903</v>
      </c>
      <c r="N167" s="110"/>
      <c r="O167" s="108"/>
      <c r="P167" s="93">
        <f>F167/'Economic Model'!C$30</f>
        <v>1.2249800615143358</v>
      </c>
      <c r="Q167" s="93">
        <f>G167/1000*'Economic Model'!C$34</f>
        <v>0.15839999999999999</v>
      </c>
      <c r="R167" s="93">
        <f>('Economic Model'!H$44+'Economic Model'!H$53)/100</f>
        <v>0.21939999999999998</v>
      </c>
      <c r="S167" s="93">
        <f t="shared" si="55"/>
        <v>1.6027800615143357</v>
      </c>
      <c r="T167" s="93">
        <f>'Economic Model'!H$60/100</f>
        <v>0.19624601212121212</v>
      </c>
      <c r="U167" s="93">
        <f t="shared" si="56"/>
        <v>1.7990260736355479</v>
      </c>
      <c r="V167" s="93">
        <f t="shared" si="66"/>
        <v>1.3235487211634587</v>
      </c>
      <c r="W167" s="105"/>
      <c r="X167" s="93"/>
      <c r="Y167" s="93">
        <f>M167-P167-Q167-('Economic Model'!H$50/100)</f>
        <v>0.46177911813445449</v>
      </c>
      <c r="Z167" s="93">
        <f t="shared" si="57"/>
        <v>0.28087911813445454</v>
      </c>
      <c r="AA167" s="93">
        <f t="shared" si="58"/>
        <v>8.4633106013242365E-2</v>
      </c>
      <c r="AB167" s="80"/>
      <c r="AC167" s="80"/>
      <c r="AD167" s="17"/>
      <c r="AE167" s="93">
        <f>'Returns per Bu.'!AD167/'Economic Model'!C$30</f>
        <v>0.38040646169880149</v>
      </c>
      <c r="AF167" s="93">
        <f t="shared" si="59"/>
        <v>0.80141566788257768</v>
      </c>
      <c r="AG167" s="93">
        <f>'Returns per Bu.'!AF167/'Economic Model'!C$30</f>
        <v>1.1818221295813791</v>
      </c>
      <c r="AH167" s="105"/>
      <c r="AI167" s="93"/>
      <c r="AJ167" s="93">
        <f t="shared" si="60"/>
        <v>1.5596221295813792</v>
      </c>
      <c r="AK167" s="93">
        <f t="shared" si="61"/>
        <v>1.7558681417025914</v>
      </c>
      <c r="AL167" s="93"/>
      <c r="AM167" s="104"/>
      <c r="AN167" s="93">
        <f t="shared" si="62"/>
        <v>0.32403705006741101</v>
      </c>
      <c r="AO167" s="93">
        <f t="shared" si="63"/>
        <v>0.12779103794619884</v>
      </c>
      <c r="AP167" s="93">
        <f t="shared" si="64"/>
        <v>8.4633106013242143E-2</v>
      </c>
      <c r="AQ167" s="93">
        <f t="shared" si="65"/>
        <v>4.3157931932956695E-2</v>
      </c>
      <c r="AR167" s="52"/>
    </row>
    <row r="168" spans="1:45" x14ac:dyDescent="0.2">
      <c r="A168" s="182">
        <v>43191</v>
      </c>
      <c r="B168" s="52"/>
      <c r="C168" s="93">
        <f>Data!D161+'Economic Model'!C$65</f>
        <v>1.429090903563933</v>
      </c>
      <c r="D168" s="95">
        <f>Data!E161+'Economic Model'!C$66</f>
        <v>156.875</v>
      </c>
      <c r="E168" s="319">
        <f>Data!F161+'Economic Model'!C$67</f>
        <v>0.23449999999999999</v>
      </c>
      <c r="F168" s="93">
        <f>Data!G161+'Economic Model'!C$68</f>
        <v>3.5705681903795763</v>
      </c>
      <c r="G168" s="96">
        <f>Data!H161+'Economic Model'!C$69</f>
        <v>5.18</v>
      </c>
      <c r="H168" s="85"/>
      <c r="I168" s="16"/>
      <c r="J168" s="93">
        <f t="shared" si="54"/>
        <v>1.429090903563933</v>
      </c>
      <c r="K168" s="93">
        <f>D168/2000*'Economic Model'!C$32/'Economic Model'!C$30</f>
        <v>0.45135964912280696</v>
      </c>
      <c r="L168" s="319">
        <f>E168*'Economic Model'!C$33/'Economic Model'!C$30</f>
        <v>5.3482456140350874E-2</v>
      </c>
      <c r="M168" s="93">
        <f t="shared" si="67"/>
        <v>1.9339330088270907</v>
      </c>
      <c r="N168" s="110"/>
      <c r="O168" s="108"/>
      <c r="P168" s="93">
        <f>F168/'Economic Model'!C$30</f>
        <v>1.2528309439928338</v>
      </c>
      <c r="Q168" s="93">
        <f>G168/1000*'Economic Model'!C$34</f>
        <v>0.15539999999999998</v>
      </c>
      <c r="R168" s="93">
        <f>('Economic Model'!H$44+'Economic Model'!H$53)/100</f>
        <v>0.21939999999999998</v>
      </c>
      <c r="S168" s="93">
        <f t="shared" si="55"/>
        <v>1.6276309439928338</v>
      </c>
      <c r="T168" s="93">
        <f>'Economic Model'!H$60/100</f>
        <v>0.19624601212121212</v>
      </c>
      <c r="U168" s="93">
        <f t="shared" si="56"/>
        <v>1.823876956114046</v>
      </c>
      <c r="V168" s="93">
        <f t="shared" si="66"/>
        <v>1.3190348508508882</v>
      </c>
      <c r="W168" s="105"/>
      <c r="X168" s="93"/>
      <c r="Y168" s="93">
        <f>M168-P168-Q168-('Economic Model'!H$50/100)</f>
        <v>0.48720206483425699</v>
      </c>
      <c r="Z168" s="93">
        <f t="shared" si="57"/>
        <v>0.30630206483425693</v>
      </c>
      <c r="AA168" s="93">
        <f t="shared" si="58"/>
        <v>0.11005605271304475</v>
      </c>
      <c r="AB168" s="80"/>
      <c r="AC168" s="80"/>
      <c r="AD168" s="17"/>
      <c r="AE168" s="93">
        <f>'Returns per Bu.'!AD168/'Economic Model'!C$30</f>
        <v>0.38040646169880149</v>
      </c>
      <c r="AF168" s="93">
        <f t="shared" si="59"/>
        <v>0.80141566788257768</v>
      </c>
      <c r="AG168" s="93">
        <f>'Returns per Bu.'!AF168/'Economic Model'!C$30</f>
        <v>1.1818221295813791</v>
      </c>
      <c r="AH168" s="105"/>
      <c r="AI168" s="93"/>
      <c r="AJ168" s="93">
        <f t="shared" si="60"/>
        <v>1.5566221295813791</v>
      </c>
      <c r="AK168" s="93">
        <f t="shared" si="61"/>
        <v>1.7528681417025913</v>
      </c>
      <c r="AL168" s="93"/>
      <c r="AM168" s="104"/>
      <c r="AN168" s="93">
        <f t="shared" si="62"/>
        <v>0.37731087924571161</v>
      </c>
      <c r="AO168" s="93">
        <f t="shared" si="63"/>
        <v>0.18106486712449943</v>
      </c>
      <c r="AP168" s="93">
        <f t="shared" si="64"/>
        <v>0.11005605271304475</v>
      </c>
      <c r="AQ168" s="93">
        <f t="shared" si="65"/>
        <v>7.1008814411454679E-2</v>
      </c>
      <c r="AR168" s="52"/>
    </row>
    <row r="169" spans="1:45" x14ac:dyDescent="0.2">
      <c r="A169" s="182">
        <v>43221</v>
      </c>
      <c r="B169" s="52"/>
      <c r="C169" s="93">
        <f>Data!D162+'Economic Model'!C$65</f>
        <v>1.3965909101746299</v>
      </c>
      <c r="D169" s="95">
        <f>Data!E162+'Economic Model'!C$66</f>
        <v>175.05681818181819</v>
      </c>
      <c r="E169" s="319">
        <f>Data!F162+'Economic Model'!C$67</f>
        <v>0.24030000000000001</v>
      </c>
      <c r="F169" s="93">
        <f>Data!G162+'Economic Model'!C$68</f>
        <v>3.6963352371345866</v>
      </c>
      <c r="G169" s="96">
        <f>Data!H162+'Economic Model'!C$69</f>
        <v>4.37</v>
      </c>
      <c r="H169" s="85"/>
      <c r="I169" s="16"/>
      <c r="J169" s="93">
        <f t="shared" ref="J169:J180" si="68">C169</f>
        <v>1.3965909101746299</v>
      </c>
      <c r="K169" s="93">
        <f>D169/2000*'Economic Model'!C$32/'Economic Model'!C$30</f>
        <v>0.50367224880382766</v>
      </c>
      <c r="L169" s="319">
        <f>E169*'Economic Model'!C$33/'Economic Model'!C$30</f>
        <v>5.4805263157894732E-2</v>
      </c>
      <c r="M169" s="93">
        <f t="shared" si="67"/>
        <v>1.9550684221363523</v>
      </c>
      <c r="N169" s="110"/>
      <c r="O169" s="108"/>
      <c r="P169" s="93">
        <f>F169/'Economic Model'!C$30</f>
        <v>1.2969597323279252</v>
      </c>
      <c r="Q169" s="93">
        <f>G169/1000*'Economic Model'!C$34</f>
        <v>0.13109999999999999</v>
      </c>
      <c r="R169" s="93">
        <f>('Economic Model'!H$44+'Economic Model'!H$53)/100</f>
        <v>0.21939999999999998</v>
      </c>
      <c r="S169" s="93">
        <f t="shared" ref="S169:S180" si="69">P169+Q169+R169</f>
        <v>1.6474597323279252</v>
      </c>
      <c r="T169" s="93">
        <f>'Economic Model'!H$60/100</f>
        <v>0.19624601212121212</v>
      </c>
      <c r="U169" s="93">
        <f t="shared" ref="U169:U180" si="70">S169+T169</f>
        <v>1.8437057444491374</v>
      </c>
      <c r="V169" s="93">
        <f t="shared" si="66"/>
        <v>1.2852282324874149</v>
      </c>
      <c r="W169" s="105"/>
      <c r="X169" s="93"/>
      <c r="Y169" s="93">
        <f>M169-P169-Q169-('Economic Model'!H$50/100)</f>
        <v>0.48850868980842721</v>
      </c>
      <c r="Z169" s="93">
        <f t="shared" ref="Z169:Z180" si="71">M169-S169</f>
        <v>0.30760868980842715</v>
      </c>
      <c r="AA169" s="93">
        <f t="shared" ref="AA169:AA180" si="72">M169-U169</f>
        <v>0.11136267768721497</v>
      </c>
      <c r="AB169" s="80"/>
      <c r="AC169" s="80"/>
      <c r="AD169" s="17"/>
      <c r="AE169" s="93">
        <f>'Returns per Bu.'!AD169/'Economic Model'!C$30</f>
        <v>0.38040646169880149</v>
      </c>
      <c r="AF169" s="93">
        <f t="shared" ref="AF169:AF180" si="73">AG169-AE169</f>
        <v>0.80141566788257768</v>
      </c>
      <c r="AG169" s="93">
        <f>'Returns per Bu.'!AF169/'Economic Model'!C$30</f>
        <v>1.1818221295813791</v>
      </c>
      <c r="AH169" s="105"/>
      <c r="AI169" s="93"/>
      <c r="AJ169" s="93">
        <f t="shared" ref="AJ169:AJ180" si="74">AG169+Q169+R169</f>
        <v>1.5323221295813791</v>
      </c>
      <c r="AK169" s="93">
        <f t="shared" ref="AK169:AK180" si="75">T169+AJ169</f>
        <v>1.7285681417025913</v>
      </c>
      <c r="AL169" s="93"/>
      <c r="AM169" s="104"/>
      <c r="AN169" s="93">
        <f t="shared" ref="AN169:AN180" si="76">M169-AJ169</f>
        <v>0.4227462925549732</v>
      </c>
      <c r="AO169" s="93">
        <f t="shared" ref="AO169:AO180" si="77">M169-AK169</f>
        <v>0.22650028043376103</v>
      </c>
      <c r="AP169" s="93">
        <f t="shared" ref="AP169:AP180" si="78">AO169-AQ169</f>
        <v>0.11136267768721497</v>
      </c>
      <c r="AQ169" s="93">
        <f t="shared" ref="AQ169:AQ180" si="79">P169-AG169</f>
        <v>0.11513760274654605</v>
      </c>
      <c r="AR169" s="52"/>
    </row>
    <row r="170" spans="1:45" x14ac:dyDescent="0.2">
      <c r="A170" s="182">
        <v>43252</v>
      </c>
      <c r="B170" s="52"/>
      <c r="C170" s="93">
        <f>Data!D163+'Economic Model'!C$65</f>
        <v>1.4030952141398476</v>
      </c>
      <c r="D170" s="95">
        <f>Data!E163+'Economic Model'!C$66</f>
        <v>148.95238095238096</v>
      </c>
      <c r="E170" s="319">
        <f>Data!F163+'Economic Model'!C$67</f>
        <v>0.24510000000000001</v>
      </c>
      <c r="F170" s="93">
        <f>Data!G163+'Economic Model'!C$68</f>
        <v>3.3921131037530445</v>
      </c>
      <c r="G170" s="96">
        <f>Data!H163+'Economic Model'!C$69</f>
        <v>4.33</v>
      </c>
      <c r="H170" s="85"/>
      <c r="I170" s="16"/>
      <c r="J170" s="93">
        <f t="shared" si="68"/>
        <v>1.4030952141398476</v>
      </c>
      <c r="K170" s="93">
        <f>D170/2000*'Economic Model'!C$32/'Economic Model'!C$30</f>
        <v>0.4285647451963242</v>
      </c>
      <c r="L170" s="319">
        <f>E170*'Economic Model'!C$33/'Economic Model'!C$30</f>
        <v>5.5900000000000005E-2</v>
      </c>
      <c r="M170" s="93">
        <f t="shared" si="67"/>
        <v>1.8875599593361718</v>
      </c>
      <c r="N170" s="110"/>
      <c r="O170" s="108"/>
      <c r="P170" s="93">
        <f>F170/'Economic Model'!C$30</f>
        <v>1.1902151241238752</v>
      </c>
      <c r="Q170" s="93">
        <f>G170/1000*'Economic Model'!C$34</f>
        <v>0.12989999999999999</v>
      </c>
      <c r="R170" s="93">
        <f>('Economic Model'!H$44+'Economic Model'!H$53)/100</f>
        <v>0.21939999999999998</v>
      </c>
      <c r="S170" s="93">
        <f t="shared" si="69"/>
        <v>1.5395151241238751</v>
      </c>
      <c r="T170" s="93">
        <f>'Economic Model'!H$60/100</f>
        <v>0.19624601212121212</v>
      </c>
      <c r="U170" s="93">
        <f t="shared" si="70"/>
        <v>1.7357611362450873</v>
      </c>
      <c r="V170" s="93">
        <f t="shared" si="66"/>
        <v>1.2512963910487631</v>
      </c>
      <c r="W170" s="105"/>
      <c r="X170" s="93"/>
      <c r="Y170" s="93">
        <f>M170-P170-Q170-('Economic Model'!H$50/100)</f>
        <v>0.52894483521229663</v>
      </c>
      <c r="Z170" s="93">
        <f t="shared" si="71"/>
        <v>0.34804483521229668</v>
      </c>
      <c r="AA170" s="93">
        <f t="shared" si="72"/>
        <v>0.1517988230910845</v>
      </c>
      <c r="AB170" s="80"/>
      <c r="AC170" s="80"/>
      <c r="AD170" s="17"/>
      <c r="AE170" s="93">
        <f>'Returns per Bu.'!AD170/'Economic Model'!C$30</f>
        <v>0.38040646169880149</v>
      </c>
      <c r="AF170" s="93">
        <f t="shared" si="73"/>
        <v>0.80141566788257768</v>
      </c>
      <c r="AG170" s="93">
        <f>'Returns per Bu.'!AF170/'Economic Model'!C$30</f>
        <v>1.1818221295813791</v>
      </c>
      <c r="AH170" s="105"/>
      <c r="AI170" s="93"/>
      <c r="AJ170" s="93">
        <f t="shared" si="74"/>
        <v>1.5311221295813791</v>
      </c>
      <c r="AK170" s="93">
        <f t="shared" si="75"/>
        <v>1.7273681417025912</v>
      </c>
      <c r="AL170" s="93"/>
      <c r="AM170" s="104"/>
      <c r="AN170" s="93">
        <f t="shared" si="76"/>
        <v>0.35643782975479277</v>
      </c>
      <c r="AO170" s="93">
        <f t="shared" si="77"/>
        <v>0.16019181763358059</v>
      </c>
      <c r="AP170" s="93">
        <f t="shared" si="78"/>
        <v>0.1517988230910845</v>
      </c>
      <c r="AQ170" s="93">
        <f t="shared" si="79"/>
        <v>8.3929945424960906E-3</v>
      </c>
      <c r="AR170" s="52"/>
      <c r="AS170" s="27"/>
    </row>
    <row r="171" spans="1:45" x14ac:dyDescent="0.2">
      <c r="A171" s="182">
        <v>43282</v>
      </c>
      <c r="B171" s="52"/>
      <c r="C171" s="93">
        <f>Data!D164+'Economic Model'!C$65</f>
        <v>1.4059523968469529</v>
      </c>
      <c r="D171" s="95">
        <f>Data!E164+'Economic Model'!C$66</f>
        <v>109.77380952380952</v>
      </c>
      <c r="E171" s="319">
        <f>Data!F164+'Economic Model'!C$67</f>
        <v>0.2389</v>
      </c>
      <c r="F171" s="93">
        <f>Data!G164+'Economic Model'!C$68</f>
        <v>3.2088987855684188</v>
      </c>
      <c r="G171" s="96">
        <f>Data!H164+'Economic Model'!C$69</f>
        <v>4.46</v>
      </c>
      <c r="H171" s="85"/>
      <c r="I171" s="16"/>
      <c r="J171" s="93">
        <f t="shared" si="68"/>
        <v>1.4059523968469529</v>
      </c>
      <c r="K171" s="93">
        <f>D171/2000*'Economic Model'!C$32/'Economic Model'!C$30</f>
        <v>0.31584043441938175</v>
      </c>
      <c r="L171" s="319">
        <f>E171*'Economic Model'!C$33/'Economic Model'!C$30</f>
        <v>5.44859649122807E-2</v>
      </c>
      <c r="M171" s="93">
        <f t="shared" si="67"/>
        <v>1.7762787961786153</v>
      </c>
      <c r="N171" s="110"/>
      <c r="O171" s="108"/>
      <c r="P171" s="93">
        <f>F171/'Economic Model'!C$30</f>
        <v>1.1259293984450591</v>
      </c>
      <c r="Q171" s="93">
        <f>G171/1000*'Economic Model'!C$34</f>
        <v>0.13379999999999997</v>
      </c>
      <c r="R171" s="93">
        <f>('Economic Model'!H$44+'Economic Model'!H$53)/100</f>
        <v>0.21939999999999998</v>
      </c>
      <c r="S171" s="93">
        <f t="shared" si="69"/>
        <v>1.4791293984450591</v>
      </c>
      <c r="T171" s="93">
        <f>'Economic Model'!H$60/100</f>
        <v>0.19624601212121212</v>
      </c>
      <c r="U171" s="93">
        <f t="shared" si="70"/>
        <v>1.6753754105662713</v>
      </c>
      <c r="V171" s="93">
        <f t="shared" si="66"/>
        <v>1.3050490112346089</v>
      </c>
      <c r="W171" s="105"/>
      <c r="X171" s="93"/>
      <c r="Y171" s="93">
        <f>M171-P171-Q171-('Economic Model'!H$50/100)</f>
        <v>0.47804939773355626</v>
      </c>
      <c r="Z171" s="93">
        <f t="shared" si="71"/>
        <v>0.2971493977335562</v>
      </c>
      <c r="AA171" s="93">
        <f t="shared" si="72"/>
        <v>0.10090338561234402</v>
      </c>
      <c r="AB171" s="80"/>
      <c r="AC171" s="80"/>
      <c r="AD171" s="17"/>
      <c r="AE171" s="93">
        <f>'Returns per Bu.'!AD171/'Economic Model'!C$30</f>
        <v>0.38040646169880149</v>
      </c>
      <c r="AF171" s="93">
        <f t="shared" si="73"/>
        <v>0.80141566788257768</v>
      </c>
      <c r="AG171" s="93">
        <f>'Returns per Bu.'!AF171/'Economic Model'!C$30</f>
        <v>1.1818221295813791</v>
      </c>
      <c r="AH171" s="105"/>
      <c r="AI171" s="93"/>
      <c r="AJ171" s="93">
        <f t="shared" si="74"/>
        <v>1.5350221295813791</v>
      </c>
      <c r="AK171" s="93">
        <f t="shared" si="75"/>
        <v>1.7312681417025912</v>
      </c>
      <c r="AL171" s="93"/>
      <c r="AM171" s="104"/>
      <c r="AN171" s="93">
        <f t="shared" si="76"/>
        <v>0.24125666659723621</v>
      </c>
      <c r="AO171" s="93">
        <f t="shared" si="77"/>
        <v>4.5010654476024037E-2</v>
      </c>
      <c r="AP171" s="93">
        <f t="shared" si="78"/>
        <v>0.10090338561234402</v>
      </c>
      <c r="AQ171" s="93">
        <f t="shared" si="79"/>
        <v>-5.5892731136319984E-2</v>
      </c>
      <c r="AR171" s="52"/>
      <c r="AS171" s="27"/>
    </row>
    <row r="172" spans="1:45" x14ac:dyDescent="0.2">
      <c r="A172" s="182">
        <v>43313</v>
      </c>
      <c r="B172" s="52"/>
      <c r="C172" s="93">
        <f>Data!D165+'Economic Model'!C$65</f>
        <v>1.3408695718516475</v>
      </c>
      <c r="D172" s="95">
        <f>Data!E165+'Economic Model'!C$66</f>
        <v>131.72826086956522</v>
      </c>
      <c r="E172" s="319">
        <f>Data!F165+'Economic Model'!C$67</f>
        <v>0.2397</v>
      </c>
      <c r="F172" s="93">
        <f>Data!G165+'Economic Model'!C$68</f>
        <v>3.2968913057576055</v>
      </c>
      <c r="G172" s="96">
        <f>Data!H165+'Economic Model'!C$69</f>
        <v>4.79</v>
      </c>
      <c r="H172" s="85"/>
      <c r="I172" s="16"/>
      <c r="J172" s="93">
        <f t="shared" si="68"/>
        <v>1.3408695718516475</v>
      </c>
      <c r="K172" s="93">
        <f>D172/2000*'Economic Model'!C$32/'Economic Model'!C$30</f>
        <v>0.37900762776506475</v>
      </c>
      <c r="L172" s="319">
        <f>E172*'Economic Model'!C$33/'Economic Model'!C$30</f>
        <v>5.4668421052631574E-2</v>
      </c>
      <c r="M172" s="93">
        <f t="shared" si="67"/>
        <v>1.7745456206693437</v>
      </c>
      <c r="N172" s="110"/>
      <c r="O172" s="108"/>
      <c r="P172" s="93">
        <f>F172/'Economic Model'!C$30</f>
        <v>1.1568039669324932</v>
      </c>
      <c r="Q172" s="93">
        <f>G172/1000*'Economic Model'!C$34</f>
        <v>0.14369999999999999</v>
      </c>
      <c r="R172" s="93">
        <f>('Economic Model'!H$44+'Economic Model'!H$53)/100</f>
        <v>0.21939999999999998</v>
      </c>
      <c r="S172" s="93">
        <f t="shared" si="69"/>
        <v>1.5199039669324932</v>
      </c>
      <c r="T172" s="93">
        <f>'Economic Model'!H$60/100</f>
        <v>0.19624601212121212</v>
      </c>
      <c r="U172" s="93">
        <f t="shared" si="70"/>
        <v>1.7161499790537054</v>
      </c>
      <c r="V172" s="93">
        <f t="shared" si="66"/>
        <v>1.2824739302360091</v>
      </c>
      <c r="W172" s="105"/>
      <c r="X172" s="93"/>
      <c r="Y172" s="93">
        <f>M172-P172-Q172-('Economic Model'!H$50/100)</f>
        <v>0.43554165373685055</v>
      </c>
      <c r="Z172" s="93">
        <f t="shared" si="71"/>
        <v>0.25464165373685055</v>
      </c>
      <c r="AA172" s="93">
        <f t="shared" si="72"/>
        <v>5.8395641615638372E-2</v>
      </c>
      <c r="AB172" s="80"/>
      <c r="AC172" s="80"/>
      <c r="AD172" s="17"/>
      <c r="AE172" s="93">
        <f>'Returns per Bu.'!AD172/'Economic Model'!C$30</f>
        <v>0.38040646169880149</v>
      </c>
      <c r="AF172" s="93">
        <f t="shared" si="73"/>
        <v>0.80141566788257768</v>
      </c>
      <c r="AG172" s="93">
        <f>'Returns per Bu.'!AF172/'Economic Model'!C$30</f>
        <v>1.1818221295813791</v>
      </c>
      <c r="AH172" s="105"/>
      <c r="AI172" s="93"/>
      <c r="AJ172" s="93">
        <f t="shared" si="74"/>
        <v>1.5449221295813791</v>
      </c>
      <c r="AK172" s="93">
        <f t="shared" si="75"/>
        <v>1.7411681417025913</v>
      </c>
      <c r="AL172" s="93"/>
      <c r="AM172" s="104"/>
      <c r="AN172" s="93">
        <f t="shared" si="76"/>
        <v>0.22962349108796465</v>
      </c>
      <c r="AO172" s="93">
        <f t="shared" si="77"/>
        <v>3.3377478966752472E-2</v>
      </c>
      <c r="AP172" s="93">
        <f t="shared" si="78"/>
        <v>5.8395641615638372E-2</v>
      </c>
      <c r="AQ172" s="93">
        <f t="shared" si="79"/>
        <v>-2.50181626488859E-2</v>
      </c>
      <c r="AR172" s="52"/>
      <c r="AS172" s="27"/>
    </row>
    <row r="173" spans="1:45" x14ac:dyDescent="0.2">
      <c r="A173" s="182">
        <v>43344</v>
      </c>
      <c r="B173" s="52"/>
      <c r="C173" s="93">
        <f>Data!D166+'Economic Model'!C$65</f>
        <v>1.223750004172325</v>
      </c>
      <c r="D173" s="95">
        <f>Data!E166+'Economic Model'!C$66</f>
        <v>131.11250000000001</v>
      </c>
      <c r="E173" s="319">
        <f>Data!F166+'Economic Model'!C$67</f>
        <v>0.25019999999999998</v>
      </c>
      <c r="F173" s="93">
        <f>Data!G166+'Economic Model'!C$68</f>
        <v>3.1718125075101851</v>
      </c>
      <c r="G173" s="96">
        <f>Data!H166+'Economic Model'!C$69</f>
        <v>5.38</v>
      </c>
      <c r="H173" s="85"/>
      <c r="I173" s="16"/>
      <c r="J173" s="93">
        <f t="shared" si="68"/>
        <v>1.223750004172325</v>
      </c>
      <c r="K173" s="93">
        <f>D173/2000*'Economic Model'!C$32/'Economic Model'!C$30</f>
        <v>0.37723596491228067</v>
      </c>
      <c r="L173" s="319">
        <f>E173*'Economic Model'!C$33/'Economic Model'!C$30</f>
        <v>5.7063157894736836E-2</v>
      </c>
      <c r="M173" s="93">
        <f t="shared" si="67"/>
        <v>1.6580491269793427</v>
      </c>
      <c r="N173" s="110"/>
      <c r="O173" s="108"/>
      <c r="P173" s="93">
        <f>F173/'Economic Model'!C$30</f>
        <v>1.1129166693018193</v>
      </c>
      <c r="Q173" s="93">
        <f>G173/1000*'Economic Model'!C$34</f>
        <v>0.16140000000000002</v>
      </c>
      <c r="R173" s="93">
        <f>('Economic Model'!H$44+'Economic Model'!H$53)/100</f>
        <v>0.21939999999999998</v>
      </c>
      <c r="S173" s="93">
        <f t="shared" si="69"/>
        <v>1.4937166693018193</v>
      </c>
      <c r="T173" s="93">
        <f>'Economic Model'!H$60/100</f>
        <v>0.19624601212121212</v>
      </c>
      <c r="U173" s="93">
        <f t="shared" si="70"/>
        <v>1.6899626814230315</v>
      </c>
      <c r="V173" s="93">
        <f t="shared" si="66"/>
        <v>1.2556635586160139</v>
      </c>
      <c r="W173" s="105"/>
      <c r="X173" s="93"/>
      <c r="Y173" s="93">
        <f>M173-P173-Q173-('Economic Model'!H$50/100)</f>
        <v>0.34523245767752342</v>
      </c>
      <c r="Z173" s="93">
        <f t="shared" si="71"/>
        <v>0.16433245767752336</v>
      </c>
      <c r="AA173" s="93">
        <f t="shared" si="72"/>
        <v>-3.1913554443688819E-2</v>
      </c>
      <c r="AB173" s="80"/>
      <c r="AC173" s="80"/>
      <c r="AD173" s="17"/>
      <c r="AE173" s="93">
        <f>'Returns per Bu.'!AD173/'Economic Model'!C$30</f>
        <v>0.39742212674543503</v>
      </c>
      <c r="AF173" s="93">
        <f t="shared" si="73"/>
        <v>0.80825277479412816</v>
      </c>
      <c r="AG173" s="93">
        <f>'Returns per Bu.'!AF173/'Economic Model'!C$30</f>
        <v>1.2056749015395631</v>
      </c>
      <c r="AH173" s="105"/>
      <c r="AI173" s="93"/>
      <c r="AJ173" s="93">
        <f t="shared" si="74"/>
        <v>1.5864749015395632</v>
      </c>
      <c r="AK173" s="93">
        <f t="shared" si="75"/>
        <v>1.7827209136607753</v>
      </c>
      <c r="AL173" s="93"/>
      <c r="AM173" s="104"/>
      <c r="AN173" s="93">
        <f t="shared" si="76"/>
        <v>7.1574225439779537E-2</v>
      </c>
      <c r="AO173" s="93">
        <f t="shared" si="77"/>
        <v>-0.12467178668143264</v>
      </c>
      <c r="AP173" s="93">
        <f t="shared" si="78"/>
        <v>-3.1913554443688819E-2</v>
      </c>
      <c r="AQ173" s="93">
        <f t="shared" si="79"/>
        <v>-9.2758232237743821E-2</v>
      </c>
      <c r="AR173" s="52"/>
      <c r="AS173" s="27"/>
    </row>
    <row r="174" spans="1:45" x14ac:dyDescent="0.2">
      <c r="A174" s="182">
        <v>43374</v>
      </c>
      <c r="B174" s="52"/>
      <c r="C174" s="93">
        <f>Data!D167+'Economic Model'!C$65</f>
        <v>1.1963636170734058</v>
      </c>
      <c r="D174" s="95">
        <f>Data!E167+'Economic Model'!C$66</f>
        <v>130.26136363636363</v>
      </c>
      <c r="E174" s="319">
        <f>Data!F167+'Economic Model'!C$67</f>
        <v>0.25059999999999999</v>
      </c>
      <c r="F174" s="93">
        <f>Data!G167+'Economic Model'!C$68</f>
        <v>3.29</v>
      </c>
      <c r="G174" s="96">
        <f>Data!H167+'Economic Model'!C$69</f>
        <v>5.05</v>
      </c>
      <c r="H174" s="85"/>
      <c r="I174" s="16"/>
      <c r="J174" s="93">
        <f t="shared" si="68"/>
        <v>1.1963636170734058</v>
      </c>
      <c r="K174" s="93">
        <f>D174/2000*'Economic Model'!C$32/'Economic Model'!C$30</f>
        <v>0.37478708133971284</v>
      </c>
      <c r="L174" s="319">
        <f>E174*'Economic Model'!C$33/'Economic Model'!C$30</f>
        <v>5.7154385964912284E-2</v>
      </c>
      <c r="M174" s="93">
        <f t="shared" si="67"/>
        <v>1.6283050843780309</v>
      </c>
      <c r="N174" s="110"/>
      <c r="O174" s="108"/>
      <c r="P174" s="93">
        <f>F174/'Economic Model'!C$30</f>
        <v>1.1543859649122807</v>
      </c>
      <c r="Q174" s="93">
        <f>G174/1000*'Economic Model'!C$34</f>
        <v>0.1515</v>
      </c>
      <c r="R174" s="93">
        <f>('Economic Model'!H$44+'Economic Model'!H$53)/100</f>
        <v>0.21939999999999998</v>
      </c>
      <c r="S174" s="93">
        <f t="shared" si="69"/>
        <v>1.5252859649122807</v>
      </c>
      <c r="T174" s="93">
        <f>'Economic Model'!H$60/100</f>
        <v>0.19624601212121212</v>
      </c>
      <c r="U174" s="93">
        <f t="shared" si="70"/>
        <v>1.7215319770334929</v>
      </c>
      <c r="V174" s="93">
        <f t="shared" si="66"/>
        <v>1.289590509728868</v>
      </c>
      <c r="W174" s="105"/>
      <c r="X174" s="93"/>
      <c r="Y174" s="93">
        <f>M174-P174-Q174-('Economic Model'!H$50/100)</f>
        <v>0.28391911946575021</v>
      </c>
      <c r="Z174" s="93">
        <f t="shared" si="71"/>
        <v>0.10301911946575015</v>
      </c>
      <c r="AA174" s="93">
        <f t="shared" si="72"/>
        <v>-9.3226892655462024E-2</v>
      </c>
      <c r="AB174" s="80"/>
      <c r="AC174" s="80"/>
      <c r="AD174" s="17"/>
      <c r="AE174" s="93">
        <f>'Returns per Bu.'!AD174/'Economic Model'!C$30</f>
        <v>0.39742212674543503</v>
      </c>
      <c r="AF174" s="93">
        <f t="shared" si="73"/>
        <v>0.80825277479412816</v>
      </c>
      <c r="AG174" s="93">
        <f>'Returns per Bu.'!AF174/'Economic Model'!C$30</f>
        <v>1.2056749015395631</v>
      </c>
      <c r="AH174" s="105"/>
      <c r="AI174" s="93"/>
      <c r="AJ174" s="93">
        <f t="shared" si="74"/>
        <v>1.5765749015395631</v>
      </c>
      <c r="AK174" s="93">
        <f t="shared" si="75"/>
        <v>1.7728209136607753</v>
      </c>
      <c r="AL174" s="93"/>
      <c r="AM174" s="104"/>
      <c r="AN174" s="93">
        <f t="shared" si="76"/>
        <v>5.1730182838467753E-2</v>
      </c>
      <c r="AO174" s="93">
        <f t="shared" si="77"/>
        <v>-0.14451582928274442</v>
      </c>
      <c r="AP174" s="93">
        <f t="shared" si="78"/>
        <v>-9.3226892655462024E-2</v>
      </c>
      <c r="AQ174" s="93">
        <f t="shared" si="79"/>
        <v>-5.12889366272824E-2</v>
      </c>
      <c r="AR174" s="52"/>
      <c r="AS174" s="27"/>
    </row>
    <row r="175" spans="1:45" x14ac:dyDescent="0.2">
      <c r="A175" s="182">
        <v>43405</v>
      </c>
      <c r="B175" s="52"/>
      <c r="C175" s="93">
        <f>Data!D168+'Economic Model'!C$65</f>
        <v>1.2295000076293945</v>
      </c>
      <c r="D175" s="95">
        <f>Data!E168+'Economic Model'!C$66</f>
        <v>133.48750000000001</v>
      </c>
      <c r="E175" s="319">
        <f>Data!F168+'Economic Model'!C$67</f>
        <v>0.24780000000000002</v>
      </c>
      <c r="F175" s="93">
        <f>Data!G168+'Economic Model'!C$68</f>
        <v>3.3720625042915344</v>
      </c>
      <c r="G175" s="96">
        <f>Data!H168+'Economic Model'!C$69</f>
        <v>5.82</v>
      </c>
      <c r="H175" s="85"/>
      <c r="I175" s="16"/>
      <c r="J175" s="93">
        <f t="shared" si="68"/>
        <v>1.2295000076293945</v>
      </c>
      <c r="K175" s="93">
        <f>D175/2000*'Economic Model'!C$32/'Economic Model'!C$30</f>
        <v>0.38406929824561398</v>
      </c>
      <c r="L175" s="319">
        <f>E175*'Economic Model'!C$33/'Economic Model'!C$30</f>
        <v>5.6515789473684214E-2</v>
      </c>
      <c r="M175" s="93">
        <f t="shared" si="67"/>
        <v>1.6700850953486928</v>
      </c>
      <c r="N175" s="110"/>
      <c r="O175" s="108"/>
      <c r="P175" s="93">
        <f>F175/'Economic Model'!C$30</f>
        <v>1.1831798260672051</v>
      </c>
      <c r="Q175" s="93">
        <f>G175/1000*'Economic Model'!C$34</f>
        <v>0.17460000000000001</v>
      </c>
      <c r="R175" s="93">
        <f>('Economic Model'!H$44+'Economic Model'!H$53)/100</f>
        <v>0.21939999999999998</v>
      </c>
      <c r="S175" s="93">
        <f t="shared" si="69"/>
        <v>1.5771798260672052</v>
      </c>
      <c r="T175" s="93">
        <f>'Economic Model'!H$60/100</f>
        <v>0.19624601212121212</v>
      </c>
      <c r="U175" s="93">
        <f t="shared" si="70"/>
        <v>1.7734258381884174</v>
      </c>
      <c r="V175" s="93">
        <f t="shared" si="66"/>
        <v>1.3328407504691191</v>
      </c>
      <c r="W175" s="105"/>
      <c r="X175" s="93"/>
      <c r="Y175" s="93">
        <f>M175-P175-Q175-('Economic Model'!H$50/100)</f>
        <v>0.27380526928148774</v>
      </c>
      <c r="Z175" s="93">
        <f t="shared" si="71"/>
        <v>9.2905269281487568E-2</v>
      </c>
      <c r="AA175" s="93">
        <f t="shared" si="72"/>
        <v>-0.10334074283972461</v>
      </c>
      <c r="AB175" s="80"/>
      <c r="AC175" s="80"/>
      <c r="AD175" s="17"/>
      <c r="AE175" s="93">
        <f>'Returns per Bu.'!AD175/'Economic Model'!C$30</f>
        <v>0.39742212674543503</v>
      </c>
      <c r="AF175" s="93">
        <f t="shared" si="73"/>
        <v>0.80825277479412816</v>
      </c>
      <c r="AG175" s="93">
        <f>'Returns per Bu.'!AF175/'Economic Model'!C$30</f>
        <v>1.2056749015395631</v>
      </c>
      <c r="AH175" s="105"/>
      <c r="AI175" s="93"/>
      <c r="AJ175" s="93">
        <f t="shared" si="74"/>
        <v>1.5996749015395633</v>
      </c>
      <c r="AK175" s="93">
        <f t="shared" si="75"/>
        <v>1.7959209136607754</v>
      </c>
      <c r="AL175" s="93"/>
      <c r="AM175" s="104"/>
      <c r="AN175" s="93">
        <f t="shared" si="76"/>
        <v>7.0410193809129495E-2</v>
      </c>
      <c r="AO175" s="93">
        <f t="shared" si="77"/>
        <v>-0.12583581831208268</v>
      </c>
      <c r="AP175" s="93">
        <f t="shared" si="78"/>
        <v>-0.10334074283972461</v>
      </c>
      <c r="AQ175" s="93">
        <f t="shared" si="79"/>
        <v>-2.2495075472358073E-2</v>
      </c>
      <c r="AR175" s="52"/>
      <c r="AS175" s="27"/>
    </row>
    <row r="176" spans="1:45" x14ac:dyDescent="0.2">
      <c r="A176" s="68">
        <v>43435</v>
      </c>
      <c r="B176" s="64"/>
      <c r="C176" s="97">
        <f>Data!D169+'Economic Model'!C$65</f>
        <v>1.1594117704559774</v>
      </c>
      <c r="D176" s="99">
        <f>Data!E169+'Economic Model'!C$66</f>
        <v>165.1764705882353</v>
      </c>
      <c r="E176" s="320">
        <f>Data!F169+'Economic Model'!C$67</f>
        <v>0.25730000000000003</v>
      </c>
      <c r="F176" s="97">
        <f>Data!G169+'Economic Model'!C$68</f>
        <v>3.4561397152788498</v>
      </c>
      <c r="G176" s="100">
        <f>Data!H169+'Economic Model'!C$69</f>
        <v>6.35</v>
      </c>
      <c r="H176" s="87"/>
      <c r="I176" s="71"/>
      <c r="J176" s="97">
        <f t="shared" si="68"/>
        <v>1.1594117704559774</v>
      </c>
      <c r="K176" s="97">
        <f>D176/2000*'Economic Model'!C$32/'Economic Model'!C$30</f>
        <v>0.47524458204334369</v>
      </c>
      <c r="L176" s="320">
        <f>E176*'Economic Model'!C$33/'Economic Model'!C$30</f>
        <v>5.8682456140350885E-2</v>
      </c>
      <c r="M176" s="97">
        <f t="shared" si="67"/>
        <v>1.6933388086396721</v>
      </c>
      <c r="N176" s="113"/>
      <c r="O176" s="111"/>
      <c r="P176" s="97">
        <f>F176/'Economic Model'!C$30</f>
        <v>1.212680601852228</v>
      </c>
      <c r="Q176" s="97">
        <f>G176/1000*'Economic Model'!C$34</f>
        <v>0.1905</v>
      </c>
      <c r="R176" s="97">
        <f>('Economic Model'!H$44+'Economic Model'!H$53)/100</f>
        <v>0.21939999999999998</v>
      </c>
      <c r="S176" s="97">
        <f t="shared" si="69"/>
        <v>1.622580601852228</v>
      </c>
      <c r="T176" s="97">
        <f>'Economic Model'!H$60/100</f>
        <v>0.19624601212121212</v>
      </c>
      <c r="U176" s="97">
        <f t="shared" si="70"/>
        <v>1.8188266139734401</v>
      </c>
      <c r="V176" s="97">
        <f t="shared" si="66"/>
        <v>1.2848995757897455</v>
      </c>
      <c r="W176" s="107"/>
      <c r="X176" s="97"/>
      <c r="Y176" s="97">
        <f>M176-P176-Q176-('Economic Model'!H$50/100)</f>
        <v>0.25165820678744411</v>
      </c>
      <c r="Z176" s="97">
        <f t="shared" si="71"/>
        <v>7.0758206787444156E-2</v>
      </c>
      <c r="AA176" s="97">
        <f t="shared" si="72"/>
        <v>-0.12548780533376802</v>
      </c>
      <c r="AB176" s="82"/>
      <c r="AC176" s="82"/>
      <c r="AD176" s="65"/>
      <c r="AE176" s="97">
        <f>'Returns per Bu.'!AD176/'Economic Model'!C$30</f>
        <v>0.39742212674543503</v>
      </c>
      <c r="AF176" s="97">
        <f t="shared" si="73"/>
        <v>0.80825277479412816</v>
      </c>
      <c r="AG176" s="97">
        <f>'Returns per Bu.'!AF176/'Economic Model'!C$30</f>
        <v>1.2056749015395631</v>
      </c>
      <c r="AH176" s="107"/>
      <c r="AI176" s="97"/>
      <c r="AJ176" s="97">
        <f t="shared" si="74"/>
        <v>1.6155749015395633</v>
      </c>
      <c r="AK176" s="97">
        <f t="shared" si="75"/>
        <v>1.8118209136607755</v>
      </c>
      <c r="AL176" s="97"/>
      <c r="AM176" s="106"/>
      <c r="AN176" s="97">
        <f t="shared" si="76"/>
        <v>7.7763907100108831E-2</v>
      </c>
      <c r="AO176" s="97">
        <f t="shared" si="77"/>
        <v>-0.11848210502110335</v>
      </c>
      <c r="AP176" s="97">
        <f t="shared" si="78"/>
        <v>-0.12548780533376824</v>
      </c>
      <c r="AQ176" s="97">
        <f t="shared" si="79"/>
        <v>7.0057003126648976E-3</v>
      </c>
      <c r="AR176" s="64"/>
      <c r="AS176" s="27"/>
    </row>
    <row r="177" spans="1:45" x14ac:dyDescent="0.2">
      <c r="A177" s="292">
        <v>43466</v>
      </c>
      <c r="B177" s="62"/>
      <c r="C177" s="101">
        <f>Data!D170+'Economic Model'!C$65</f>
        <v>1.1721428717885698</v>
      </c>
      <c r="D177" s="103">
        <f>Data!E170+'Economic Model'!C$66</f>
        <v>155.14285714285714</v>
      </c>
      <c r="E177" s="319">
        <f>Data!F170+'Economic Model'!C$67</f>
        <v>0.25319999999999998</v>
      </c>
      <c r="F177" s="101">
        <f>Data!G170+'Economic Model'!C$68</f>
        <v>3.5409523873102096</v>
      </c>
      <c r="G177" s="90">
        <f>Data!H170+'Economic Model'!C$69</f>
        <v>4.93</v>
      </c>
      <c r="H177" s="88"/>
      <c r="I177" s="73"/>
      <c r="J177" s="101">
        <f t="shared" si="68"/>
        <v>1.1721428717885698</v>
      </c>
      <c r="K177" s="101">
        <f>D177/2000*'Economic Model'!C$32/'Economic Model'!C$30</f>
        <v>0.44637593984962404</v>
      </c>
      <c r="L177" s="319">
        <f>E177*'Economic Model'!C$33/'Economic Model'!C$30</f>
        <v>5.7747368421052631E-2</v>
      </c>
      <c r="M177" s="101">
        <f t="shared" ref="M177:M214" si="80">J177+K177+L177</f>
        <v>1.6762661800592464</v>
      </c>
      <c r="N177" s="115"/>
      <c r="O177" s="114"/>
      <c r="P177" s="101">
        <f>F177/'Economic Model'!C$30</f>
        <v>1.2424394341439331</v>
      </c>
      <c r="Q177" s="101">
        <f>G177/1000*'Economic Model'!C$34</f>
        <v>0.14789999999999998</v>
      </c>
      <c r="R177" s="101">
        <f>('Economic Model'!H$44+'Economic Model'!H$53)/100</f>
        <v>0.21939999999999998</v>
      </c>
      <c r="S177" s="101">
        <f t="shared" si="69"/>
        <v>1.6097394341439331</v>
      </c>
      <c r="T177" s="101">
        <f>'Economic Model'!H$60/100</f>
        <v>0.19624601212121212</v>
      </c>
      <c r="U177" s="101">
        <f t="shared" si="70"/>
        <v>1.8059854462651452</v>
      </c>
      <c r="V177" s="101">
        <f t="shared" si="66"/>
        <v>1.3018621379944686</v>
      </c>
      <c r="W177" s="116"/>
      <c r="X177" s="101"/>
      <c r="Y177" s="101">
        <f>M177-P177-Q177-('Economic Model'!H$50/100)</f>
        <v>0.24742674591531336</v>
      </c>
      <c r="Z177" s="101">
        <f t="shared" si="71"/>
        <v>6.6526745915313379E-2</v>
      </c>
      <c r="AA177" s="101">
        <f t="shared" si="72"/>
        <v>-0.1297192662058988</v>
      </c>
      <c r="AB177" s="293"/>
      <c r="AC177" s="293"/>
      <c r="AD177" s="288"/>
      <c r="AE177" s="101">
        <f>'Returns per Bu.'!AD177/'Economic Model'!C$30</f>
        <v>0.39742212674543503</v>
      </c>
      <c r="AF177" s="101">
        <f t="shared" si="73"/>
        <v>0.80825277479412816</v>
      </c>
      <c r="AG177" s="101">
        <f>'Returns per Bu.'!AF177/'Economic Model'!C$30</f>
        <v>1.2056749015395631</v>
      </c>
      <c r="AH177" s="116"/>
      <c r="AI177" s="101"/>
      <c r="AJ177" s="101">
        <f t="shared" si="74"/>
        <v>1.5729749015395631</v>
      </c>
      <c r="AK177" s="101">
        <f t="shared" si="75"/>
        <v>1.7692209136607753</v>
      </c>
      <c r="AL177" s="101"/>
      <c r="AM177" s="117"/>
      <c r="AN177" s="101">
        <f t="shared" si="76"/>
        <v>0.10329127851968334</v>
      </c>
      <c r="AO177" s="101">
        <f t="shared" si="77"/>
        <v>-9.2954733601528838E-2</v>
      </c>
      <c r="AP177" s="101">
        <f t="shared" si="78"/>
        <v>-0.1297192662058988</v>
      </c>
      <c r="AQ177" s="101">
        <f t="shared" si="79"/>
        <v>3.6764532604369959E-2</v>
      </c>
      <c r="AR177" s="62"/>
      <c r="AS177" s="27"/>
    </row>
    <row r="178" spans="1:45" x14ac:dyDescent="0.2">
      <c r="A178" s="182">
        <v>43497</v>
      </c>
      <c r="B178" s="52"/>
      <c r="C178" s="93">
        <f>Data!D171+'Economic Model'!C$65</f>
        <v>1.2102777693006728</v>
      </c>
      <c r="D178" s="95">
        <f>Data!E171+'Economic Model'!C$66</f>
        <v>140</v>
      </c>
      <c r="E178" s="319">
        <f>Data!F171+'Economic Model'!C$67</f>
        <v>0.25019999999999998</v>
      </c>
      <c r="F178" s="93">
        <f>Data!G171+'Economic Model'!C$68</f>
        <v>3.5677430596616535</v>
      </c>
      <c r="G178" s="96">
        <f>Data!H171+'Economic Model'!C$69</f>
        <v>4.67</v>
      </c>
      <c r="H178" s="85"/>
      <c r="I178" s="16"/>
      <c r="J178" s="93">
        <f t="shared" si="68"/>
        <v>1.2102777693006728</v>
      </c>
      <c r="K178" s="93">
        <f>D178/2000*'Economic Model'!C$32/'Economic Model'!C$30</f>
        <v>0.40280701754385961</v>
      </c>
      <c r="L178" s="319">
        <f>E178*'Economic Model'!C$33/'Economic Model'!C$30</f>
        <v>5.7063157894736836E-2</v>
      </c>
      <c r="M178" s="93">
        <f t="shared" si="80"/>
        <v>1.6701479447392693</v>
      </c>
      <c r="N178" s="110"/>
      <c r="O178" s="108"/>
      <c r="P178" s="93">
        <f>F178/'Economic Model'!C$30</f>
        <v>1.2518396700567205</v>
      </c>
      <c r="Q178" s="93">
        <f>G178/1000*'Economic Model'!C$34</f>
        <v>0.1401</v>
      </c>
      <c r="R178" s="93">
        <f>('Economic Model'!H$44+'Economic Model'!H$53)/100</f>
        <v>0.21939999999999998</v>
      </c>
      <c r="S178" s="93">
        <f t="shared" si="69"/>
        <v>1.6113396700567206</v>
      </c>
      <c r="T178" s="93">
        <f>'Economic Model'!H$60/100</f>
        <v>0.19624601212121212</v>
      </c>
      <c r="U178" s="93">
        <f t="shared" si="70"/>
        <v>1.8075856821779328</v>
      </c>
      <c r="V178" s="93">
        <f t="shared" si="66"/>
        <v>1.3477155067393363</v>
      </c>
      <c r="W178" s="105"/>
      <c r="X178" s="93"/>
      <c r="Y178" s="93">
        <f>M178-P178-Q178-('Economic Model'!H$50/100)</f>
        <v>0.23970827468254882</v>
      </c>
      <c r="Z178" s="93">
        <f t="shared" si="71"/>
        <v>5.8808274682548678E-2</v>
      </c>
      <c r="AA178" s="93">
        <f t="shared" si="72"/>
        <v>-0.1374377374386635</v>
      </c>
      <c r="AB178" s="80"/>
      <c r="AC178" s="80"/>
      <c r="AD178" s="17"/>
      <c r="AE178" s="93">
        <f>'Returns per Bu.'!AD178/'Economic Model'!C$30</f>
        <v>0.39742212674543503</v>
      </c>
      <c r="AF178" s="93">
        <f t="shared" si="73"/>
        <v>0.80825277479412816</v>
      </c>
      <c r="AG178" s="93">
        <f>'Returns per Bu.'!AF178/'Economic Model'!C$30</f>
        <v>1.2056749015395631</v>
      </c>
      <c r="AH178" s="105"/>
      <c r="AI178" s="93"/>
      <c r="AJ178" s="93">
        <f t="shared" si="74"/>
        <v>1.5651749015395631</v>
      </c>
      <c r="AK178" s="93">
        <f t="shared" si="75"/>
        <v>1.7614209136607752</v>
      </c>
      <c r="AL178" s="93"/>
      <c r="AM178" s="104"/>
      <c r="AN178" s="93">
        <f t="shared" si="76"/>
        <v>0.10497304319970624</v>
      </c>
      <c r="AO178" s="93">
        <f t="shared" si="77"/>
        <v>-9.1272968921505937E-2</v>
      </c>
      <c r="AP178" s="93">
        <f t="shared" si="78"/>
        <v>-0.13743773743866328</v>
      </c>
      <c r="AQ178" s="93">
        <f t="shared" si="79"/>
        <v>4.616476851715734E-2</v>
      </c>
      <c r="AR178" s="52"/>
      <c r="AS178" s="27"/>
    </row>
    <row r="179" spans="1:45" x14ac:dyDescent="0.2">
      <c r="A179" s="182">
        <v>43525</v>
      </c>
      <c r="B179" s="52"/>
      <c r="C179" s="93">
        <f>Data!D172+'Economic Model'!C$65</f>
        <v>1.3085714067731584</v>
      </c>
      <c r="D179" s="95">
        <f>Data!E172+'Economic Model'!C$66</f>
        <v>135.77380952380952</v>
      </c>
      <c r="E179" s="319">
        <f>Data!F172+'Economic Model'!C$67</f>
        <v>0.2452</v>
      </c>
      <c r="F179" s="93">
        <f>Data!G172+'Economic Model'!C$68</f>
        <v>3.5518154672213962</v>
      </c>
      <c r="G179" s="96">
        <f>Data!H172+'Economic Model'!C$69</f>
        <v>4.8600000000000003</v>
      </c>
      <c r="H179" s="85"/>
      <c r="I179" s="16"/>
      <c r="J179" s="93">
        <f t="shared" si="68"/>
        <v>1.3085714067731584</v>
      </c>
      <c r="K179" s="93">
        <f>D179/2000*'Economic Model'!C$32/'Economic Model'!C$30</f>
        <v>0.39064745196324141</v>
      </c>
      <c r="L179" s="319">
        <f>E179*'Economic Model'!C$33/'Economic Model'!C$30</f>
        <v>5.5922807017543853E-2</v>
      </c>
      <c r="M179" s="93">
        <f t="shared" si="80"/>
        <v>1.7551416657539438</v>
      </c>
      <c r="N179" s="110"/>
      <c r="O179" s="108"/>
      <c r="P179" s="93">
        <f>F179/'Economic Model'!C$30</f>
        <v>1.2462510411303145</v>
      </c>
      <c r="Q179" s="93">
        <f>G179/1000*'Economic Model'!C$34</f>
        <v>0.14580000000000001</v>
      </c>
      <c r="R179" s="93">
        <f>('Economic Model'!H$44+'Economic Model'!H$53)/100</f>
        <v>0.21939999999999998</v>
      </c>
      <c r="S179" s="93">
        <f t="shared" si="69"/>
        <v>1.6114510411303145</v>
      </c>
      <c r="T179" s="93">
        <f>'Economic Model'!H$60/100</f>
        <v>0.19624601212121212</v>
      </c>
      <c r="U179" s="93">
        <f t="shared" si="70"/>
        <v>1.8076970532515266</v>
      </c>
      <c r="V179" s="93">
        <f t="shared" si="66"/>
        <v>1.3611267942707412</v>
      </c>
      <c r="W179" s="105"/>
      <c r="X179" s="93"/>
      <c r="Y179" s="93">
        <f>M179-P179-Q179-('Economic Model'!H$50/100)</f>
        <v>0.32459062462362931</v>
      </c>
      <c r="Z179" s="93">
        <f t="shared" si="71"/>
        <v>0.14369062462362936</v>
      </c>
      <c r="AA179" s="93">
        <f t="shared" si="72"/>
        <v>-5.2555387497582817E-2</v>
      </c>
      <c r="AB179" s="80"/>
      <c r="AC179" s="80"/>
      <c r="AD179" s="17"/>
      <c r="AE179" s="93">
        <f>'Returns per Bu.'!AD179/'Economic Model'!C$30</f>
        <v>0.39742212674543503</v>
      </c>
      <c r="AF179" s="93">
        <f t="shared" si="73"/>
        <v>0.80825277479412816</v>
      </c>
      <c r="AG179" s="93">
        <f>'Returns per Bu.'!AF179/'Economic Model'!C$30</f>
        <v>1.2056749015395631</v>
      </c>
      <c r="AH179" s="105"/>
      <c r="AI179" s="93"/>
      <c r="AJ179" s="93">
        <f t="shared" si="74"/>
        <v>1.5708749015395631</v>
      </c>
      <c r="AK179" s="93">
        <f t="shared" si="75"/>
        <v>1.7671209136607753</v>
      </c>
      <c r="AL179" s="93"/>
      <c r="AM179" s="104"/>
      <c r="AN179" s="93">
        <f t="shared" si="76"/>
        <v>0.18426676421438071</v>
      </c>
      <c r="AO179" s="93">
        <f t="shared" si="77"/>
        <v>-1.1979247906831469E-2</v>
      </c>
      <c r="AP179" s="93">
        <f t="shared" si="78"/>
        <v>-5.2555387497582817E-2</v>
      </c>
      <c r="AQ179" s="93">
        <f t="shared" si="79"/>
        <v>4.0576139590751348E-2</v>
      </c>
      <c r="AR179" s="52"/>
      <c r="AS179" s="27"/>
    </row>
    <row r="180" spans="1:45" x14ac:dyDescent="0.2">
      <c r="A180" s="182">
        <v>43556</v>
      </c>
      <c r="B180" s="52"/>
      <c r="C180" s="93">
        <f>Data!D173+'Economic Model'!C$65</f>
        <v>1.3038636202161962</v>
      </c>
      <c r="D180" s="95">
        <f>Data!E173+'Economic Model'!C$66</f>
        <v>134.26136363636363</v>
      </c>
      <c r="E180" s="319">
        <f>Data!F173+'Economic Model'!C$67</f>
        <v>0.25239999999999996</v>
      </c>
      <c r="F180" s="93">
        <f>Data!G173+'Economic Model'!C$68</f>
        <v>3.4867613561586897</v>
      </c>
      <c r="G180" s="96">
        <f>Data!H173+'Economic Model'!C$69</f>
        <v>4.3</v>
      </c>
      <c r="H180" s="85"/>
      <c r="I180" s="16"/>
      <c r="J180" s="93">
        <f t="shared" si="68"/>
        <v>1.3038636202161962</v>
      </c>
      <c r="K180" s="93">
        <f>D180/2000*'Economic Model'!C$32/'Economic Model'!C$30</f>
        <v>0.38629585326953741</v>
      </c>
      <c r="L180" s="319">
        <f>E180*'Economic Model'!C$33/'Economic Model'!C$30</f>
        <v>5.7564912280701749E-2</v>
      </c>
      <c r="M180" s="93">
        <f t="shared" si="80"/>
        <v>1.7477243857664355</v>
      </c>
      <c r="N180" s="110"/>
      <c r="O180" s="108"/>
      <c r="P180" s="93">
        <f>F180/'Economic Model'!C$30</f>
        <v>1.223425037248663</v>
      </c>
      <c r="Q180" s="93">
        <f>G180/1000*'Economic Model'!C$34</f>
        <v>0.129</v>
      </c>
      <c r="R180" s="93">
        <f>('Economic Model'!H$44+'Economic Model'!H$53)/100</f>
        <v>0.21939999999999998</v>
      </c>
      <c r="S180" s="93">
        <f t="shared" si="69"/>
        <v>1.5718250372486631</v>
      </c>
      <c r="T180" s="93">
        <f>'Economic Model'!H$60/100</f>
        <v>0.19624601212121212</v>
      </c>
      <c r="U180" s="93">
        <f t="shared" si="70"/>
        <v>1.7680710493698752</v>
      </c>
      <c r="V180" s="93">
        <f t="shared" si="66"/>
        <v>1.3242102838196361</v>
      </c>
      <c r="W180" s="105"/>
      <c r="X180" s="93"/>
      <c r="Y180" s="93">
        <f>M180-P180-Q180-('Economic Model'!H$50/100)</f>
        <v>0.35679934851777251</v>
      </c>
      <c r="Z180" s="93">
        <f t="shared" si="71"/>
        <v>0.17589934851777245</v>
      </c>
      <c r="AA180" s="93">
        <f t="shared" si="72"/>
        <v>-2.034666360343973E-2</v>
      </c>
      <c r="AB180" s="80"/>
      <c r="AC180" s="80"/>
      <c r="AD180" s="17"/>
      <c r="AE180" s="93">
        <f>'Returns per Bu.'!AD180/'Economic Model'!C$30</f>
        <v>0.39742212674543503</v>
      </c>
      <c r="AF180" s="93">
        <f t="shared" si="73"/>
        <v>0.80825277479412816</v>
      </c>
      <c r="AG180" s="93">
        <f>'Returns per Bu.'!AF180/'Economic Model'!C$30</f>
        <v>1.2056749015395631</v>
      </c>
      <c r="AH180" s="105"/>
      <c r="AI180" s="93"/>
      <c r="AJ180" s="93">
        <f t="shared" si="74"/>
        <v>1.5540749015395632</v>
      </c>
      <c r="AK180" s="93">
        <f t="shared" si="75"/>
        <v>1.7503209136607754</v>
      </c>
      <c r="AL180" s="93"/>
      <c r="AM180" s="104"/>
      <c r="AN180" s="93">
        <f t="shared" si="76"/>
        <v>0.19364948422687234</v>
      </c>
      <c r="AO180" s="93">
        <f t="shared" si="77"/>
        <v>-2.5965278943398395E-3</v>
      </c>
      <c r="AP180" s="93">
        <f t="shared" si="78"/>
        <v>-2.034666360343973E-2</v>
      </c>
      <c r="AQ180" s="93">
        <f t="shared" si="79"/>
        <v>1.775013570909989E-2</v>
      </c>
      <c r="AR180" s="52"/>
      <c r="AS180" s="27"/>
    </row>
    <row r="181" spans="1:45" x14ac:dyDescent="0.2">
      <c r="A181" s="182">
        <v>43586</v>
      </c>
      <c r="B181" s="52"/>
      <c r="C181" s="93">
        <f>Data!D174+'Economic Model'!C$65</f>
        <v>1.25238094159535</v>
      </c>
      <c r="D181" s="95">
        <f>Data!E174+'Economic Model'!C$66</f>
        <v>118.63095238095238</v>
      </c>
      <c r="E181" s="319">
        <f>Data!F174+'Economic Model'!C$67</f>
        <v>0.2505</v>
      </c>
      <c r="F181" s="93">
        <f>Data!G174+'Economic Model'!C$68</f>
        <v>3.6257142708415078</v>
      </c>
      <c r="G181" s="96">
        <f>Data!H174+'Economic Model'!C$69</f>
        <v>4.13</v>
      </c>
      <c r="H181" s="85"/>
      <c r="I181" s="16"/>
      <c r="J181" s="93">
        <f t="shared" ref="J181:J214" si="81">C181</f>
        <v>1.25238094159535</v>
      </c>
      <c r="K181" s="93">
        <f>D181/2000*'Economic Model'!C$32/'Economic Model'!C$30</f>
        <v>0.3413241436925647</v>
      </c>
      <c r="L181" s="319">
        <f>E181*'Economic Model'!C$33/'Economic Model'!C$30</f>
        <v>5.7131578947368415E-2</v>
      </c>
      <c r="M181" s="93">
        <f t="shared" si="80"/>
        <v>1.650836664235283</v>
      </c>
      <c r="N181" s="110"/>
      <c r="O181" s="108"/>
      <c r="P181" s="93">
        <f>F181/'Economic Model'!C$30</f>
        <v>1.2721804459093009</v>
      </c>
      <c r="Q181" s="93">
        <f>G181/1000*'Economic Model'!C$34</f>
        <v>0.1239</v>
      </c>
      <c r="R181" s="93">
        <f>('Economic Model'!H$44+'Economic Model'!H$53)/100</f>
        <v>0.21939999999999998</v>
      </c>
      <c r="S181" s="93">
        <f t="shared" ref="S181:S214" si="82">P181+Q181+R181</f>
        <v>1.6154804459093008</v>
      </c>
      <c r="T181" s="93">
        <f>'Economic Model'!H$60/100</f>
        <v>0.19624601212121212</v>
      </c>
      <c r="U181" s="93">
        <f t="shared" ref="U181:U214" si="83">S181+T181</f>
        <v>1.811726458030513</v>
      </c>
      <c r="V181" s="93">
        <f t="shared" si="66"/>
        <v>1.41327073539058</v>
      </c>
      <c r="W181" s="105"/>
      <c r="X181" s="93"/>
      <c r="Y181" s="93">
        <f>M181-P181-Q181-('Economic Model'!H$50/100)</f>
        <v>0.21625621832598205</v>
      </c>
      <c r="Z181" s="93">
        <f t="shared" ref="Z181:Z214" si="84">M181-S181</f>
        <v>3.5356218325982125E-2</v>
      </c>
      <c r="AA181" s="93">
        <f t="shared" ref="AA181:AA214" si="85">M181-U181</f>
        <v>-0.16088979379523005</v>
      </c>
      <c r="AB181" s="80"/>
      <c r="AC181" s="80"/>
      <c r="AD181" s="17"/>
      <c r="AE181" s="93">
        <f>'Returns per Bu.'!AD181/'Economic Model'!C$30</f>
        <v>0.39742212674543503</v>
      </c>
      <c r="AF181" s="93">
        <f t="shared" ref="AF181:AF214" si="86">AG181-AE181</f>
        <v>0.80825277479412816</v>
      </c>
      <c r="AG181" s="93">
        <f>'Returns per Bu.'!AF181/'Economic Model'!C$30</f>
        <v>1.2056749015395631</v>
      </c>
      <c r="AH181" s="105"/>
      <c r="AI181" s="93"/>
      <c r="AJ181" s="93">
        <f t="shared" ref="AJ181:AJ214" si="87">AG181+Q181+R181</f>
        <v>1.5489749015395631</v>
      </c>
      <c r="AK181" s="93">
        <f t="shared" ref="AK181:AK214" si="88">T181+AJ181</f>
        <v>1.7452209136607753</v>
      </c>
      <c r="AL181" s="93"/>
      <c r="AM181" s="104"/>
      <c r="AN181" s="93">
        <f t="shared" ref="AN181:AN214" si="89">M181-AJ181</f>
        <v>0.10186176269571989</v>
      </c>
      <c r="AO181" s="93">
        <f t="shared" ref="AO181:AO214" si="90">M181-AK181</f>
        <v>-9.4384249425492284E-2</v>
      </c>
      <c r="AP181" s="93">
        <f t="shared" ref="AP181:AP214" si="91">AO181-AQ181</f>
        <v>-0.16088979379523005</v>
      </c>
      <c r="AQ181" s="93">
        <f t="shared" ref="AQ181:AQ214" si="92">P181-AG181</f>
        <v>6.6505544369737768E-2</v>
      </c>
      <c r="AR181" s="52"/>
      <c r="AS181" s="27"/>
    </row>
    <row r="182" spans="1:45" x14ac:dyDescent="0.2">
      <c r="A182" s="182">
        <v>43617</v>
      </c>
      <c r="B182" s="52"/>
      <c r="C182" s="93">
        <f>Data!D175+'Economic Model'!C$65</f>
        <v>1.4487500071525574</v>
      </c>
      <c r="D182" s="95">
        <f>Data!E175+'Economic Model'!C$66</f>
        <v>130.94999999999999</v>
      </c>
      <c r="E182" s="319">
        <f>Data!F175+'Economic Model'!C$67</f>
        <v>0.25329999999999997</v>
      </c>
      <c r="F182" s="93">
        <f>Data!G175+'Economic Model'!C$68</f>
        <v>4.1613750010728836</v>
      </c>
      <c r="G182" s="96">
        <f>Data!H175+'Economic Model'!C$69</f>
        <v>4.1399999999999997</v>
      </c>
      <c r="H182" s="85"/>
      <c r="I182" s="16"/>
      <c r="J182" s="93">
        <f t="shared" si="81"/>
        <v>1.4487500071525574</v>
      </c>
      <c r="K182" s="93">
        <f>D182/2000*'Economic Model'!C$32/'Economic Model'!C$30</f>
        <v>0.37676842105263147</v>
      </c>
      <c r="L182" s="319">
        <f>E182*'Economic Model'!C$33/'Economic Model'!C$30</f>
        <v>5.7770175438596486E-2</v>
      </c>
      <c r="M182" s="93">
        <f t="shared" si="80"/>
        <v>1.8832886036437853</v>
      </c>
      <c r="N182" s="110"/>
      <c r="O182" s="108"/>
      <c r="P182" s="93">
        <f>F182/'Economic Model'!C$30</f>
        <v>1.4601315793238188</v>
      </c>
      <c r="Q182" s="93">
        <f>G182/1000*'Economic Model'!C$34</f>
        <v>0.12419999999999999</v>
      </c>
      <c r="R182" s="93">
        <f>('Economic Model'!H$44+'Economic Model'!H$53)/100</f>
        <v>0.21939999999999998</v>
      </c>
      <c r="S182" s="93">
        <f t="shared" si="82"/>
        <v>1.8037315793238189</v>
      </c>
      <c r="T182" s="93">
        <f>'Economic Model'!H$60/100</f>
        <v>0.19624601212121212</v>
      </c>
      <c r="U182" s="93">
        <f t="shared" si="83"/>
        <v>1.9999775914450311</v>
      </c>
      <c r="V182" s="93">
        <f t="shared" si="66"/>
        <v>1.5654389949538032</v>
      </c>
      <c r="W182" s="105"/>
      <c r="X182" s="93"/>
      <c r="Y182" s="93">
        <f>M182-P182-Q182-('Economic Model'!H$50/100)</f>
        <v>0.26045702431996653</v>
      </c>
      <c r="Z182" s="93">
        <f t="shared" si="84"/>
        <v>7.9557024319966363E-2</v>
      </c>
      <c r="AA182" s="93">
        <f t="shared" si="85"/>
        <v>-0.11668898780124581</v>
      </c>
      <c r="AB182" s="80"/>
      <c r="AC182" s="80"/>
      <c r="AD182" s="17"/>
      <c r="AE182" s="93">
        <f>'Returns per Bu.'!AD182/'Economic Model'!C$30</f>
        <v>0.39742212674543503</v>
      </c>
      <c r="AF182" s="93">
        <f t="shared" si="86"/>
        <v>0.80825277479412816</v>
      </c>
      <c r="AG182" s="93">
        <f>'Returns per Bu.'!AF182/'Economic Model'!C$30</f>
        <v>1.2056749015395631</v>
      </c>
      <c r="AH182" s="105"/>
      <c r="AI182" s="93"/>
      <c r="AJ182" s="93">
        <f t="shared" si="87"/>
        <v>1.5492749015395633</v>
      </c>
      <c r="AK182" s="93">
        <f t="shared" si="88"/>
        <v>1.7455209136607754</v>
      </c>
      <c r="AL182" s="93"/>
      <c r="AM182" s="104"/>
      <c r="AN182" s="93">
        <f t="shared" si="89"/>
        <v>0.33401370210422199</v>
      </c>
      <c r="AO182" s="93">
        <f t="shared" si="90"/>
        <v>0.13776768998300981</v>
      </c>
      <c r="AP182" s="93">
        <f t="shared" si="91"/>
        <v>-0.11668898780124581</v>
      </c>
      <c r="AQ182" s="93">
        <f t="shared" si="92"/>
        <v>0.25445667778425562</v>
      </c>
      <c r="AR182" s="52"/>
      <c r="AS182" s="27"/>
    </row>
    <row r="183" spans="1:45" x14ac:dyDescent="0.2">
      <c r="A183" s="182">
        <v>43647</v>
      </c>
      <c r="B183" s="52"/>
      <c r="C183" s="93">
        <f>Data!D176+'Economic Model'!C$65</f>
        <v>1.476818179542368</v>
      </c>
      <c r="D183" s="95">
        <f>Data!E176+'Economic Model'!C$66</f>
        <v>131.46590909090909</v>
      </c>
      <c r="E183" s="319">
        <f>Data!F176+'Economic Model'!C$67</f>
        <v>0.25239999999999996</v>
      </c>
      <c r="F183" s="93">
        <f>Data!G176+'Economic Model'!C$68</f>
        <v>4.2723295390605927</v>
      </c>
      <c r="G183" s="96">
        <f>Data!H176+'Economic Model'!C$69</f>
        <v>3.79</v>
      </c>
      <c r="H183" s="85"/>
      <c r="I183" s="16"/>
      <c r="J183" s="93">
        <f t="shared" si="81"/>
        <v>1.476818179542368</v>
      </c>
      <c r="K183" s="93">
        <f>D183/2000*'Economic Model'!C$32/'Economic Model'!C$30</f>
        <v>0.37825279106858056</v>
      </c>
      <c r="L183" s="319">
        <f>E183*'Economic Model'!C$33/'Economic Model'!C$30</f>
        <v>5.7564912280701749E-2</v>
      </c>
      <c r="M183" s="93">
        <f t="shared" si="80"/>
        <v>1.9126358828916503</v>
      </c>
      <c r="N183" s="110"/>
      <c r="O183" s="108"/>
      <c r="P183" s="93">
        <f>F183/'Economic Model'!C$30</f>
        <v>1.4990629961616113</v>
      </c>
      <c r="Q183" s="93">
        <f>G183/1000*'Economic Model'!C$34</f>
        <v>0.1137</v>
      </c>
      <c r="R183" s="93">
        <f>('Economic Model'!H$44+'Economic Model'!H$53)/100</f>
        <v>0.21939999999999998</v>
      </c>
      <c r="S183" s="93">
        <f t="shared" si="82"/>
        <v>1.8321629961616113</v>
      </c>
      <c r="T183" s="93">
        <f>'Economic Model'!H$60/100</f>
        <v>0.19624601212121212</v>
      </c>
      <c r="U183" s="93">
        <f t="shared" si="83"/>
        <v>2.0284090082828232</v>
      </c>
      <c r="V183" s="93">
        <f t="shared" si="66"/>
        <v>1.5925913049335407</v>
      </c>
      <c r="W183" s="105"/>
      <c r="X183" s="93"/>
      <c r="Y183" s="93">
        <f>M183-P183-Q183-('Economic Model'!H$50/100)</f>
        <v>0.261372886730039</v>
      </c>
      <c r="Z183" s="93">
        <f t="shared" si="84"/>
        <v>8.047288673003905E-2</v>
      </c>
      <c r="AA183" s="93">
        <f t="shared" si="85"/>
        <v>-0.1157731253911729</v>
      </c>
      <c r="AB183" s="80"/>
      <c r="AC183" s="80"/>
      <c r="AD183" s="17"/>
      <c r="AE183" s="93">
        <f>'Returns per Bu.'!AD183/'Economic Model'!C$30</f>
        <v>0.39742212674543503</v>
      </c>
      <c r="AF183" s="93">
        <f t="shared" si="86"/>
        <v>0.80825277479412816</v>
      </c>
      <c r="AG183" s="93">
        <f>'Returns per Bu.'!AF183/'Economic Model'!C$30</f>
        <v>1.2056749015395631</v>
      </c>
      <c r="AH183" s="105"/>
      <c r="AI183" s="93"/>
      <c r="AJ183" s="93">
        <f t="shared" si="87"/>
        <v>1.5387749015395631</v>
      </c>
      <c r="AK183" s="93">
        <f t="shared" si="88"/>
        <v>1.7350209136607753</v>
      </c>
      <c r="AL183" s="93"/>
      <c r="AM183" s="104"/>
      <c r="AN183" s="93">
        <f t="shared" si="89"/>
        <v>0.37386098135208723</v>
      </c>
      <c r="AO183" s="93">
        <f t="shared" si="90"/>
        <v>0.17761496923087505</v>
      </c>
      <c r="AP183" s="93">
        <f t="shared" si="91"/>
        <v>-0.11577312539117313</v>
      </c>
      <c r="AQ183" s="93">
        <f t="shared" si="92"/>
        <v>0.29338809462204818</v>
      </c>
      <c r="AR183" s="52"/>
      <c r="AS183" s="27"/>
    </row>
    <row r="184" spans="1:45" x14ac:dyDescent="0.2">
      <c r="A184" s="182">
        <v>43678</v>
      </c>
      <c r="B184" s="52"/>
      <c r="C184" s="93">
        <f>Data!D177+'Economic Model'!C$65</f>
        <v>1.3538636403734032</v>
      </c>
      <c r="D184" s="95">
        <f>Data!E177+'Economic Model'!C$66</f>
        <v>126.82954545454545</v>
      </c>
      <c r="E184" s="319">
        <f>Data!F177+'Economic Model'!C$67</f>
        <v>0.24420000000000003</v>
      </c>
      <c r="F184" s="93">
        <f>Data!G177+'Economic Model'!C$68</f>
        <v>3.7810795588926838</v>
      </c>
      <c r="G184" s="96">
        <f>Data!H177+'Economic Model'!C$69</f>
        <v>3.58</v>
      </c>
      <c r="H184" s="85"/>
      <c r="I184" s="16"/>
      <c r="J184" s="93">
        <f t="shared" si="81"/>
        <v>1.3538636403734032</v>
      </c>
      <c r="K184" s="93">
        <f>D184/2000*'Economic Model'!C$32/'Economic Model'!C$30</f>
        <v>0.36491307814992019</v>
      </c>
      <c r="L184" s="319">
        <f>E184*'Economic Model'!C$33/'Economic Model'!C$30</f>
        <v>5.5694736842105262E-2</v>
      </c>
      <c r="M184" s="93">
        <f t="shared" si="80"/>
        <v>1.7744714553654286</v>
      </c>
      <c r="N184" s="110"/>
      <c r="O184" s="108"/>
      <c r="P184" s="93">
        <f>F184/'Economic Model'!C$30</f>
        <v>1.3266945820676084</v>
      </c>
      <c r="Q184" s="93">
        <f>G184/1000*'Economic Model'!C$34</f>
        <v>0.10740000000000001</v>
      </c>
      <c r="R184" s="93">
        <f>('Economic Model'!H$44+'Economic Model'!H$53)/100</f>
        <v>0.21939999999999998</v>
      </c>
      <c r="S184" s="93">
        <f t="shared" si="82"/>
        <v>1.6534945820676084</v>
      </c>
      <c r="T184" s="93">
        <f>'Economic Model'!H$60/100</f>
        <v>0.19624601212121212</v>
      </c>
      <c r="U184" s="93">
        <f t="shared" si="83"/>
        <v>1.8497405941888205</v>
      </c>
      <c r="V184" s="93">
        <f t="shared" si="66"/>
        <v>1.4291327791967952</v>
      </c>
      <c r="W184" s="105"/>
      <c r="X184" s="93"/>
      <c r="Y184" s="93">
        <f>M184-P184-Q184-('Economic Model'!H$50/100)</f>
        <v>0.30187687329782026</v>
      </c>
      <c r="Z184" s="93">
        <f t="shared" si="84"/>
        <v>0.12097687329782025</v>
      </c>
      <c r="AA184" s="93">
        <f t="shared" si="85"/>
        <v>-7.5269138823391923E-2</v>
      </c>
      <c r="AB184" s="80"/>
      <c r="AC184" s="80"/>
      <c r="AD184" s="17"/>
      <c r="AE184" s="93">
        <f>'Returns per Bu.'!AD184/'Economic Model'!C$30</f>
        <v>0.39742212674543503</v>
      </c>
      <c r="AF184" s="93">
        <f t="shared" si="86"/>
        <v>0.80825277479412816</v>
      </c>
      <c r="AG184" s="93">
        <f>'Returns per Bu.'!AF184/'Economic Model'!C$30</f>
        <v>1.2056749015395631</v>
      </c>
      <c r="AH184" s="105"/>
      <c r="AI184" s="93"/>
      <c r="AJ184" s="93">
        <f t="shared" si="87"/>
        <v>1.5324749015395631</v>
      </c>
      <c r="AK184" s="93">
        <f t="shared" si="88"/>
        <v>1.7287209136607753</v>
      </c>
      <c r="AL184" s="93"/>
      <c r="AM184" s="104"/>
      <c r="AN184" s="93">
        <f t="shared" si="89"/>
        <v>0.24199655382586549</v>
      </c>
      <c r="AO184" s="93">
        <f t="shared" si="90"/>
        <v>4.5750541704653314E-2</v>
      </c>
      <c r="AP184" s="93">
        <f t="shared" si="91"/>
        <v>-7.5269138823391923E-2</v>
      </c>
      <c r="AQ184" s="93">
        <f t="shared" si="92"/>
        <v>0.12101968052804524</v>
      </c>
      <c r="AR184" s="52"/>
      <c r="AS184" s="27"/>
    </row>
    <row r="185" spans="1:45" x14ac:dyDescent="0.2">
      <c r="A185" s="182">
        <v>43709</v>
      </c>
      <c r="B185" s="52"/>
      <c r="C185" s="93">
        <f>Data!D178+'Economic Model'!C$65</f>
        <v>1.3025000154972077</v>
      </c>
      <c r="D185" s="95">
        <f>Data!E178+'Economic Model'!C$66</f>
        <v>130.72499999999999</v>
      </c>
      <c r="E185" s="319">
        <f>Data!F178+'Economic Model'!C$67</f>
        <v>0.24179999999999999</v>
      </c>
      <c r="F185" s="93">
        <f>Data!G178+'Economic Model'!C$68</f>
        <v>3.6517812460660934</v>
      </c>
      <c r="G185" s="96">
        <f>Data!H178+'Economic Model'!C$69</f>
        <v>4.0199999999999996</v>
      </c>
      <c r="H185" s="85"/>
      <c r="I185" s="16"/>
      <c r="J185" s="93">
        <f t="shared" si="81"/>
        <v>1.3025000154972077</v>
      </c>
      <c r="K185" s="93">
        <f>D185/2000*'Economic Model'!C$32/'Economic Model'!C$30</f>
        <v>0.37612105263157891</v>
      </c>
      <c r="L185" s="319">
        <f>E185*'Economic Model'!C$33/'Economic Model'!C$30</f>
        <v>5.5147368421052632E-2</v>
      </c>
      <c r="M185" s="93">
        <f t="shared" si="80"/>
        <v>1.7337684365498394</v>
      </c>
      <c r="N185" s="110"/>
      <c r="O185" s="108"/>
      <c r="P185" s="93">
        <f>F185/'Economic Model'!C$30</f>
        <v>1.2813267530056467</v>
      </c>
      <c r="Q185" s="93">
        <f>G185/1000*'Economic Model'!C$34</f>
        <v>0.12059999999999998</v>
      </c>
      <c r="R185" s="93">
        <f>('Economic Model'!H$44+'Economic Model'!H$53)/100</f>
        <v>0.21939999999999998</v>
      </c>
      <c r="S185" s="93">
        <f t="shared" si="82"/>
        <v>1.6213267530056468</v>
      </c>
      <c r="T185" s="93">
        <f>'Economic Model'!H$60/100</f>
        <v>0.19624601212121212</v>
      </c>
      <c r="U185" s="93">
        <f t="shared" si="83"/>
        <v>1.8175727651268589</v>
      </c>
      <c r="V185" s="93">
        <f t="shared" si="66"/>
        <v>1.3863043440742273</v>
      </c>
      <c r="W185" s="105"/>
      <c r="X185" s="93"/>
      <c r="Y185" s="93">
        <f>M185-P185-Q185-('Economic Model'!H$50/100)</f>
        <v>0.29334168354419271</v>
      </c>
      <c r="Z185" s="93">
        <f t="shared" si="84"/>
        <v>0.11244168354419259</v>
      </c>
      <c r="AA185" s="93">
        <f t="shared" si="85"/>
        <v>-8.3804328577019582E-2</v>
      </c>
      <c r="AB185" s="80"/>
      <c r="AC185" s="80"/>
      <c r="AD185" s="17"/>
      <c r="AE185" s="93">
        <f>'Returns per Bu.'!AD185/'Economic Model'!C$30</f>
        <v>0.3880914407230196</v>
      </c>
      <c r="AF185" s="93">
        <f t="shared" si="86"/>
        <v>0.8727272727272728</v>
      </c>
      <c r="AG185" s="93">
        <f>'Returns per Bu.'!AF185/'Economic Model'!C$30</f>
        <v>1.2608187134502924</v>
      </c>
      <c r="AH185" s="105"/>
      <c r="AI185" s="93"/>
      <c r="AJ185" s="93">
        <f t="shared" si="87"/>
        <v>1.6008187134502925</v>
      </c>
      <c r="AK185" s="93">
        <f t="shared" si="88"/>
        <v>1.7970647255715047</v>
      </c>
      <c r="AL185" s="93"/>
      <c r="AM185" s="104"/>
      <c r="AN185" s="93">
        <f t="shared" si="89"/>
        <v>0.13294972309954689</v>
      </c>
      <c r="AO185" s="93">
        <f t="shared" si="90"/>
        <v>-6.3296289021665286E-2</v>
      </c>
      <c r="AP185" s="93">
        <f t="shared" si="91"/>
        <v>-8.3804328577019582E-2</v>
      </c>
      <c r="AQ185" s="93">
        <f t="shared" si="92"/>
        <v>2.0508039555354296E-2</v>
      </c>
      <c r="AR185" s="52"/>
      <c r="AS185" s="27"/>
    </row>
    <row r="186" spans="1:45" x14ac:dyDescent="0.2">
      <c r="A186" s="182">
        <v>43739</v>
      </c>
      <c r="B186" s="52"/>
      <c r="C186" s="93">
        <f>Data!D179+'Economic Model'!C$65</f>
        <v>1.4821428599811735</v>
      </c>
      <c r="D186" s="95">
        <f>Data!E179+'Economic Model'!C$66</f>
        <v>139.82142857142858</v>
      </c>
      <c r="E186" s="319">
        <f>Data!F179+'Economic Model'!C$67</f>
        <v>0.2364</v>
      </c>
      <c r="F186" s="93">
        <f>Data!G179+'Economic Model'!C$68</f>
        <v>3.8441250085830689</v>
      </c>
      <c r="G186" s="96">
        <f>Data!H179+'Economic Model'!C$69</f>
        <v>4.09</v>
      </c>
      <c r="H186" s="85"/>
      <c r="I186" s="16"/>
      <c r="J186" s="93">
        <f t="shared" si="81"/>
        <v>1.4821428599811735</v>
      </c>
      <c r="K186" s="93">
        <f>D186/2000*'Economic Model'!C$32/'Economic Model'!C$30</f>
        <v>0.40229323308270681</v>
      </c>
      <c r="L186" s="319">
        <f>E186*'Economic Model'!C$33/'Economic Model'!C$30</f>
        <v>5.3915789473684209E-2</v>
      </c>
      <c r="M186" s="93">
        <f t="shared" si="80"/>
        <v>1.9383518825375643</v>
      </c>
      <c r="N186" s="110"/>
      <c r="O186" s="108"/>
      <c r="P186" s="93">
        <f>F186/'Economic Model'!C$30</f>
        <v>1.3488157924852873</v>
      </c>
      <c r="Q186" s="93">
        <f>G186/1000*'Economic Model'!C$34</f>
        <v>0.1227</v>
      </c>
      <c r="R186" s="93">
        <f>('Economic Model'!H$44+'Economic Model'!H$53)/100</f>
        <v>0.21939999999999998</v>
      </c>
      <c r="S186" s="93">
        <f t="shared" si="82"/>
        <v>1.6909157924852873</v>
      </c>
      <c r="T186" s="93">
        <f>'Economic Model'!H$60/100</f>
        <v>0.19624601212121212</v>
      </c>
      <c r="U186" s="93">
        <f t="shared" si="83"/>
        <v>1.8871618046064995</v>
      </c>
      <c r="V186" s="93">
        <f t="shared" si="66"/>
        <v>1.4309527820501087</v>
      </c>
      <c r="W186" s="105"/>
      <c r="X186" s="93"/>
      <c r="Y186" s="93">
        <f>M186-P186-Q186-('Economic Model'!H$50/100)</f>
        <v>0.42833609005227702</v>
      </c>
      <c r="Z186" s="93">
        <f t="shared" si="84"/>
        <v>0.24743609005227696</v>
      </c>
      <c r="AA186" s="93">
        <f t="shared" si="85"/>
        <v>5.1190077931064781E-2</v>
      </c>
      <c r="AB186" s="80"/>
      <c r="AC186" s="80"/>
      <c r="AD186" s="17"/>
      <c r="AE186" s="93">
        <f>'Returns per Bu.'!AD186/'Economic Model'!C$30</f>
        <v>0.3880914407230196</v>
      </c>
      <c r="AF186" s="93">
        <f t="shared" si="86"/>
        <v>0.8727272727272728</v>
      </c>
      <c r="AG186" s="93">
        <f>'Returns per Bu.'!AF186/'Economic Model'!C$30</f>
        <v>1.2608187134502924</v>
      </c>
      <c r="AH186" s="105"/>
      <c r="AI186" s="93"/>
      <c r="AJ186" s="93">
        <f t="shared" si="87"/>
        <v>1.6029187134502925</v>
      </c>
      <c r="AK186" s="93">
        <f t="shared" si="88"/>
        <v>1.7991647255715046</v>
      </c>
      <c r="AL186" s="93"/>
      <c r="AM186" s="104"/>
      <c r="AN186" s="93">
        <f t="shared" si="89"/>
        <v>0.33543316908727183</v>
      </c>
      <c r="AO186" s="93">
        <f t="shared" si="90"/>
        <v>0.13918715696605966</v>
      </c>
      <c r="AP186" s="93">
        <f t="shared" si="91"/>
        <v>5.1190077931064781E-2</v>
      </c>
      <c r="AQ186" s="93">
        <f t="shared" si="92"/>
        <v>8.7997079034994874E-2</v>
      </c>
      <c r="AR186" s="52"/>
      <c r="AS186" s="27"/>
    </row>
    <row r="187" spans="1:45" x14ac:dyDescent="0.2">
      <c r="A187" s="182">
        <v>43770</v>
      </c>
      <c r="B187" s="52"/>
      <c r="C187" s="93">
        <f>Data!D180+'Economic Model'!C$65</f>
        <v>1.4331578869568673</v>
      </c>
      <c r="D187" s="95">
        <f>Data!E180+'Economic Model'!C$66</f>
        <v>138.44736842105263</v>
      </c>
      <c r="E187" s="319">
        <f>Data!F180+'Economic Model'!C$67</f>
        <v>0.23070000000000002</v>
      </c>
      <c r="F187" s="93">
        <f>Data!G180+'Economic Model'!C$68</f>
        <v>3.6492434172881274</v>
      </c>
      <c r="G187" s="96">
        <f>Data!H180+'Economic Model'!C$69</f>
        <v>4.12</v>
      </c>
      <c r="H187" s="85"/>
      <c r="I187" s="16"/>
      <c r="J187" s="93">
        <f t="shared" si="81"/>
        <v>1.4331578869568673</v>
      </c>
      <c r="K187" s="93">
        <f>D187/2000*'Economic Model'!C$32/'Economic Model'!C$30</f>
        <v>0.39833979686057241</v>
      </c>
      <c r="L187" s="319">
        <f>E187*'Economic Model'!C$33/'Economic Model'!C$30</f>
        <v>5.2615789473684213E-2</v>
      </c>
      <c r="M187" s="93">
        <f t="shared" si="80"/>
        <v>1.884113473291124</v>
      </c>
      <c r="N187" s="110"/>
      <c r="O187" s="108"/>
      <c r="P187" s="93">
        <f>F187/'Economic Model'!C$30</f>
        <v>1.2804362867677639</v>
      </c>
      <c r="Q187" s="93">
        <f>G187/1000*'Economic Model'!C$34</f>
        <v>0.12360000000000002</v>
      </c>
      <c r="R187" s="93">
        <f>('Economic Model'!H$44+'Economic Model'!H$53)/100</f>
        <v>0.21939999999999998</v>
      </c>
      <c r="S187" s="93">
        <f t="shared" si="82"/>
        <v>1.6234362867677639</v>
      </c>
      <c r="T187" s="93">
        <f>'Economic Model'!H$60/100</f>
        <v>0.19624601212121212</v>
      </c>
      <c r="U187" s="93">
        <f t="shared" si="83"/>
        <v>1.819682298888976</v>
      </c>
      <c r="V187" s="93">
        <f t="shared" si="66"/>
        <v>1.3687267125547193</v>
      </c>
      <c r="W187" s="105"/>
      <c r="X187" s="93"/>
      <c r="Y187" s="93">
        <f>M187-P187-Q187-('Economic Model'!H$50/100)</f>
        <v>0.44157718652336009</v>
      </c>
      <c r="Z187" s="93">
        <f t="shared" si="84"/>
        <v>0.26067718652336014</v>
      </c>
      <c r="AA187" s="93">
        <f t="shared" si="85"/>
        <v>6.4431174402147962E-2</v>
      </c>
      <c r="AB187" s="80"/>
      <c r="AC187" s="80"/>
      <c r="AD187" s="17"/>
      <c r="AE187" s="93">
        <f>'Returns per Bu.'!AD187/'Economic Model'!C$30</f>
        <v>0.3880914407230196</v>
      </c>
      <c r="AF187" s="93">
        <f t="shared" si="86"/>
        <v>0.8727272727272728</v>
      </c>
      <c r="AG187" s="93">
        <f>'Returns per Bu.'!AF187/'Economic Model'!C$30</f>
        <v>1.2608187134502924</v>
      </c>
      <c r="AH187" s="105"/>
      <c r="AI187" s="93"/>
      <c r="AJ187" s="93">
        <f t="shared" si="87"/>
        <v>1.6038187134502924</v>
      </c>
      <c r="AK187" s="93">
        <f t="shared" si="88"/>
        <v>1.8000647255715045</v>
      </c>
      <c r="AL187" s="93"/>
      <c r="AM187" s="104"/>
      <c r="AN187" s="93">
        <f t="shared" si="89"/>
        <v>0.28029475984083163</v>
      </c>
      <c r="AO187" s="93">
        <f t="shared" si="90"/>
        <v>8.4048747719619454E-2</v>
      </c>
      <c r="AP187" s="93">
        <f t="shared" si="91"/>
        <v>6.4431174402147962E-2</v>
      </c>
      <c r="AQ187" s="93">
        <f t="shared" si="92"/>
        <v>1.9617573317471493E-2</v>
      </c>
      <c r="AR187" s="52"/>
      <c r="AS187" s="27"/>
    </row>
    <row r="188" spans="1:45" x14ac:dyDescent="0.2">
      <c r="A188" s="68">
        <v>43800</v>
      </c>
      <c r="B188" s="64"/>
      <c r="C188" s="97">
        <f>Data!D181+'Economic Model'!C$65</f>
        <v>1.3645000159740448</v>
      </c>
      <c r="D188" s="99">
        <f>Data!E181+'Economic Model'!C$66</f>
        <v>141.13749999999999</v>
      </c>
      <c r="E188" s="320">
        <f>Data!F181+'Economic Model'!C$67</f>
        <v>0.23100000000000001</v>
      </c>
      <c r="F188" s="97">
        <f>Data!G181+'Economic Model'!C$68</f>
        <v>3.7299374938011169</v>
      </c>
      <c r="G188" s="100">
        <f>Data!H181+'Economic Model'!C$69</f>
        <v>4.22</v>
      </c>
      <c r="H188" s="87"/>
      <c r="I188" s="71"/>
      <c r="J188" s="97">
        <f t="shared" si="81"/>
        <v>1.3645000159740448</v>
      </c>
      <c r="K188" s="97">
        <f>D188/2000*'Economic Model'!C$32/'Economic Model'!C$30</f>
        <v>0.40607982456140346</v>
      </c>
      <c r="L188" s="320">
        <f>E188*'Economic Model'!C$33/'Economic Model'!C$30</f>
        <v>5.2684210526315792E-2</v>
      </c>
      <c r="M188" s="97">
        <f t="shared" si="80"/>
        <v>1.8232640510617641</v>
      </c>
      <c r="N188" s="113"/>
      <c r="O188" s="111"/>
      <c r="P188" s="97">
        <f>F188/'Economic Model'!C$30</f>
        <v>1.3087499978249533</v>
      </c>
      <c r="Q188" s="97">
        <f>G188/1000*'Economic Model'!C$34</f>
        <v>0.12659999999999999</v>
      </c>
      <c r="R188" s="97">
        <f>('Economic Model'!H$44+'Economic Model'!H$53)/100</f>
        <v>0.21939999999999998</v>
      </c>
      <c r="S188" s="97">
        <f t="shared" si="82"/>
        <v>1.6547499978249534</v>
      </c>
      <c r="T188" s="97">
        <f>'Economic Model'!H$60/100</f>
        <v>0.19624601212121212</v>
      </c>
      <c r="U188" s="97">
        <f t="shared" si="83"/>
        <v>1.8509960099461655</v>
      </c>
      <c r="V188" s="97">
        <f t="shared" si="66"/>
        <v>1.3922319748584462</v>
      </c>
      <c r="W188" s="107"/>
      <c r="X188" s="97"/>
      <c r="Y188" s="97">
        <f>M188-P188-Q188-('Economic Model'!H$50/100)</f>
        <v>0.34941405323681091</v>
      </c>
      <c r="Z188" s="97">
        <f t="shared" si="84"/>
        <v>0.16851405323681079</v>
      </c>
      <c r="AA188" s="97">
        <f t="shared" si="85"/>
        <v>-2.7731958884401386E-2</v>
      </c>
      <c r="AB188" s="82"/>
      <c r="AC188" s="82"/>
      <c r="AD188" s="65"/>
      <c r="AE188" s="97">
        <f>'Returns per Bu.'!AD188/'Economic Model'!C$30</f>
        <v>0.3880914407230196</v>
      </c>
      <c r="AF188" s="97">
        <f t="shared" si="86"/>
        <v>0.8727272727272728</v>
      </c>
      <c r="AG188" s="97">
        <f>'Returns per Bu.'!AF188/'Economic Model'!C$30</f>
        <v>1.2608187134502924</v>
      </c>
      <c r="AH188" s="107"/>
      <c r="AI188" s="97"/>
      <c r="AJ188" s="97">
        <f t="shared" si="87"/>
        <v>1.6068187134502925</v>
      </c>
      <c r="AK188" s="97">
        <f t="shared" si="88"/>
        <v>1.8030647255715047</v>
      </c>
      <c r="AL188" s="97"/>
      <c r="AM188" s="106"/>
      <c r="AN188" s="97">
        <f t="shared" si="89"/>
        <v>0.21644533761147167</v>
      </c>
      <c r="AO188" s="97">
        <f t="shared" si="90"/>
        <v>2.019932549025949E-2</v>
      </c>
      <c r="AP188" s="97">
        <f t="shared" si="91"/>
        <v>-2.7731958884401386E-2</v>
      </c>
      <c r="AQ188" s="97">
        <f t="shared" si="92"/>
        <v>4.7931284374660876E-2</v>
      </c>
      <c r="AR188" s="64"/>
      <c r="AS188" s="27"/>
    </row>
    <row r="189" spans="1:45" x14ac:dyDescent="0.2">
      <c r="A189" s="292">
        <v>43831</v>
      </c>
      <c r="B189" s="62"/>
      <c r="C189" s="101">
        <f>Data!D182+'Economic Model'!C$65</f>
        <v>1.244523789201464</v>
      </c>
      <c r="D189" s="103">
        <f>Data!E182+'Economic Model'!C$66</f>
        <v>141.91666666666666</v>
      </c>
      <c r="E189" s="319">
        <f>Data!F182+'Economic Model'!C$67</f>
        <v>0.25440000000000002</v>
      </c>
      <c r="F189" s="101">
        <f>Data!G182+'Economic Model'!C$68</f>
        <v>3.8147618884132024</v>
      </c>
      <c r="G189" s="90">
        <f>Data!H182+'Economic Model'!C$69</f>
        <v>4.8</v>
      </c>
      <c r="H189" s="88"/>
      <c r="I189" s="73"/>
      <c r="J189" s="101">
        <f t="shared" si="81"/>
        <v>1.244523789201464</v>
      </c>
      <c r="K189" s="101">
        <f>D189/2000*'Economic Model'!C$32/'Economic Model'!C$30</f>
        <v>0.40832163742690053</v>
      </c>
      <c r="L189" s="319">
        <f>E189*'Economic Model'!C$33/'Economic Model'!C$30</f>
        <v>5.8021052631578945E-2</v>
      </c>
      <c r="M189" s="101">
        <f t="shared" si="80"/>
        <v>1.7108664792599435</v>
      </c>
      <c r="N189" s="115"/>
      <c r="O189" s="114"/>
      <c r="P189" s="101">
        <f>F189/'Economic Model'!C$30</f>
        <v>1.338512943302878</v>
      </c>
      <c r="Q189" s="101">
        <f>G189/1000*'Economic Model'!C$34</f>
        <v>0.14399999999999999</v>
      </c>
      <c r="R189" s="101">
        <f>('Economic Model'!H$44+'Economic Model'!H$53)/100</f>
        <v>0.21939999999999998</v>
      </c>
      <c r="S189" s="101">
        <f t="shared" si="82"/>
        <v>1.7019129433028779</v>
      </c>
      <c r="T189" s="101">
        <f>'Economic Model'!H$60/100</f>
        <v>0.19624601212121212</v>
      </c>
      <c r="U189" s="101">
        <f t="shared" si="83"/>
        <v>1.8981589554240901</v>
      </c>
      <c r="V189" s="101">
        <f t="shared" si="66"/>
        <v>1.4318162653656106</v>
      </c>
      <c r="W189" s="116"/>
      <c r="X189" s="101"/>
      <c r="Y189" s="101">
        <f>M189-P189-Q189-('Economic Model'!H$50/100)</f>
        <v>0.18985353595706556</v>
      </c>
      <c r="Z189" s="101">
        <f t="shared" si="84"/>
        <v>8.9535359570656059E-3</v>
      </c>
      <c r="AA189" s="101">
        <f t="shared" si="85"/>
        <v>-0.18729247616414657</v>
      </c>
      <c r="AB189" s="293"/>
      <c r="AC189" s="293"/>
      <c r="AD189" s="288"/>
      <c r="AE189" s="101">
        <f>'Returns per Bu.'!AD189/'Economic Model'!C$30</f>
        <v>0.3880914407230196</v>
      </c>
      <c r="AF189" s="101">
        <f t="shared" si="86"/>
        <v>0.8727272727272728</v>
      </c>
      <c r="AG189" s="101">
        <f>'Returns per Bu.'!AF189/'Economic Model'!C$30</f>
        <v>1.2608187134502924</v>
      </c>
      <c r="AH189" s="116"/>
      <c r="AI189" s="101"/>
      <c r="AJ189" s="101">
        <f t="shared" si="87"/>
        <v>1.6242187134502923</v>
      </c>
      <c r="AK189" s="101">
        <f t="shared" si="88"/>
        <v>1.8204647255715045</v>
      </c>
      <c r="AL189" s="101"/>
      <c r="AM189" s="117"/>
      <c r="AN189" s="101">
        <f t="shared" si="89"/>
        <v>8.6647765809651167E-2</v>
      </c>
      <c r="AO189" s="101">
        <f t="shared" si="90"/>
        <v>-0.10959824631156101</v>
      </c>
      <c r="AP189" s="101">
        <f t="shared" si="91"/>
        <v>-0.18729247616414657</v>
      </c>
      <c r="AQ189" s="101">
        <f t="shared" si="92"/>
        <v>7.7694229852585561E-2</v>
      </c>
      <c r="AR189" s="62"/>
      <c r="AS189" s="27"/>
    </row>
    <row r="190" spans="1:45" x14ac:dyDescent="0.2">
      <c r="A190" s="182">
        <v>43862</v>
      </c>
      <c r="B190" s="52"/>
      <c r="C190" s="93">
        <f>Data!D183+'Economic Model'!C$65</f>
        <v>1.2384210304210062</v>
      </c>
      <c r="D190" s="95">
        <f>Data!E183+'Economic Model'!C$66</f>
        <v>143</v>
      </c>
      <c r="E190" s="319">
        <f>Data!F183+'Economic Model'!C$67</f>
        <v>0.27399999999999997</v>
      </c>
      <c r="F190" s="93">
        <f>Data!G183+'Economic Model'!C$68</f>
        <v>3.7578947364656554</v>
      </c>
      <c r="G190" s="96">
        <f>Data!H183+'Economic Model'!C$69</f>
        <v>4.13</v>
      </c>
      <c r="H190" s="85"/>
      <c r="I190" s="16"/>
      <c r="J190" s="93">
        <f t="shared" si="81"/>
        <v>1.2384210304210062</v>
      </c>
      <c r="K190" s="93">
        <f>D190/2000*'Economic Model'!C$32/'Economic Model'!C$30</f>
        <v>0.41143859649122799</v>
      </c>
      <c r="L190" s="319">
        <f>E190*'Economic Model'!C$33/'Economic Model'!C$30</f>
        <v>6.2491228070175431E-2</v>
      </c>
      <c r="M190" s="93">
        <f t="shared" si="80"/>
        <v>1.7123508549824096</v>
      </c>
      <c r="N190" s="110"/>
      <c r="O190" s="108"/>
      <c r="P190" s="93">
        <f>F190/'Economic Model'!C$30</f>
        <v>1.318559556654616</v>
      </c>
      <c r="Q190" s="93">
        <f>G190/1000*'Economic Model'!C$34</f>
        <v>0.1239</v>
      </c>
      <c r="R190" s="93">
        <f>('Economic Model'!H$44+'Economic Model'!H$53)/100</f>
        <v>0.21939999999999998</v>
      </c>
      <c r="S190" s="93">
        <f t="shared" si="82"/>
        <v>1.6618595566546159</v>
      </c>
      <c r="T190" s="93">
        <f>'Economic Model'!H$60/100</f>
        <v>0.19624601212121212</v>
      </c>
      <c r="U190" s="93">
        <f t="shared" si="83"/>
        <v>1.8581055687758281</v>
      </c>
      <c r="V190" s="93">
        <f t="shared" si="66"/>
        <v>1.3841757442144247</v>
      </c>
      <c r="W190" s="105"/>
      <c r="X190" s="93"/>
      <c r="Y190" s="93">
        <f>M190-P190-Q190-('Economic Model'!H$50/100)</f>
        <v>0.23139129832779357</v>
      </c>
      <c r="Z190" s="93">
        <f t="shared" si="84"/>
        <v>5.0491298327793643E-2</v>
      </c>
      <c r="AA190" s="93">
        <f t="shared" si="85"/>
        <v>-0.14575471379341853</v>
      </c>
      <c r="AB190" s="80"/>
      <c r="AC190" s="80"/>
      <c r="AD190" s="17"/>
      <c r="AE190" s="93">
        <f>'Returns per Bu.'!AD190/'Economic Model'!C$30</f>
        <v>0.3880914407230196</v>
      </c>
      <c r="AF190" s="93">
        <f t="shared" si="86"/>
        <v>0.8727272727272728</v>
      </c>
      <c r="AG190" s="93">
        <f>'Returns per Bu.'!AF190/'Economic Model'!C$30</f>
        <v>1.2608187134502924</v>
      </c>
      <c r="AH190" s="105"/>
      <c r="AI190" s="93"/>
      <c r="AJ190" s="93">
        <f t="shared" si="87"/>
        <v>1.6041187134502923</v>
      </c>
      <c r="AK190" s="93">
        <f t="shared" si="88"/>
        <v>1.8003647255715045</v>
      </c>
      <c r="AL190" s="93"/>
      <c r="AM190" s="104"/>
      <c r="AN190" s="93">
        <f t="shared" si="89"/>
        <v>0.10823214153211724</v>
      </c>
      <c r="AO190" s="93">
        <f t="shared" si="90"/>
        <v>-8.8013870589094934E-2</v>
      </c>
      <c r="AP190" s="93">
        <f t="shared" si="91"/>
        <v>-0.14575471379341853</v>
      </c>
      <c r="AQ190" s="93">
        <f t="shared" si="92"/>
        <v>5.77408432043236E-2</v>
      </c>
      <c r="AR190" s="52"/>
      <c r="AS190" s="27"/>
    </row>
    <row r="191" spans="1:45" x14ac:dyDescent="0.2">
      <c r="A191" s="182">
        <v>43891</v>
      </c>
      <c r="B191" s="52"/>
      <c r="C191" s="93">
        <f>Data!D184+'Economic Model'!C$65</f>
        <v>1.074285707303456</v>
      </c>
      <c r="D191" s="95">
        <f>Data!E184+'Economic Model'!C$66</f>
        <v>147.04761904761904</v>
      </c>
      <c r="E191" s="319">
        <f>Data!F184+'Economic Model'!C$67</f>
        <v>0.2676</v>
      </c>
      <c r="F191" s="93">
        <f>Data!G184+'Economic Model'!C$68</f>
        <v>3.4467613620107822</v>
      </c>
      <c r="G191" s="96">
        <f>Data!H184+'Economic Model'!C$69</f>
        <v>4.17</v>
      </c>
      <c r="H191" s="85"/>
      <c r="I191" s="16"/>
      <c r="J191" s="93">
        <f t="shared" si="81"/>
        <v>1.074285707303456</v>
      </c>
      <c r="K191" s="93">
        <f>D191/2000*'Economic Model'!C$32/'Economic Model'!C$30</f>
        <v>0.42308437761069334</v>
      </c>
      <c r="L191" s="319">
        <f>E191*'Economic Model'!C$33/'Economic Model'!C$30</f>
        <v>6.1031578947368423E-2</v>
      </c>
      <c r="M191" s="93">
        <f t="shared" si="80"/>
        <v>1.5584016638615177</v>
      </c>
      <c r="N191" s="110"/>
      <c r="O191" s="108"/>
      <c r="P191" s="93">
        <f>F191/'Economic Model'!C$30</f>
        <v>1.2093899515827307</v>
      </c>
      <c r="Q191" s="93">
        <f>G191/1000*'Economic Model'!C$34</f>
        <v>0.12509999999999999</v>
      </c>
      <c r="R191" s="93">
        <f>('Economic Model'!H$44+'Economic Model'!H$53)/100</f>
        <v>0.21939999999999998</v>
      </c>
      <c r="S191" s="93">
        <f t="shared" si="82"/>
        <v>1.5538899515827307</v>
      </c>
      <c r="T191" s="93">
        <f>'Economic Model'!H$60/100</f>
        <v>0.19624601212121212</v>
      </c>
      <c r="U191" s="93">
        <f t="shared" si="83"/>
        <v>1.7501359637039429</v>
      </c>
      <c r="V191" s="93">
        <f t="shared" si="66"/>
        <v>1.2660200071458811</v>
      </c>
      <c r="W191" s="105"/>
      <c r="X191" s="93"/>
      <c r="Y191" s="93">
        <f>M191-P191-Q191-('Economic Model'!H$50/100)</f>
        <v>0.18541171227878703</v>
      </c>
      <c r="Z191" s="93">
        <f t="shared" si="84"/>
        <v>4.5117122787869945E-3</v>
      </c>
      <c r="AA191" s="93">
        <f t="shared" si="85"/>
        <v>-0.19173429984242518</v>
      </c>
      <c r="AB191" s="80"/>
      <c r="AC191" s="80"/>
      <c r="AD191" s="17"/>
      <c r="AE191" s="93">
        <f>'Returns per Bu.'!AD191/'Economic Model'!C$30</f>
        <v>0.3880914407230196</v>
      </c>
      <c r="AF191" s="93">
        <f t="shared" si="86"/>
        <v>0.8727272727272728</v>
      </c>
      <c r="AG191" s="93">
        <f>'Returns per Bu.'!AF191/'Economic Model'!C$30</f>
        <v>1.2608187134502924</v>
      </c>
      <c r="AH191" s="105"/>
      <c r="AI191" s="93"/>
      <c r="AJ191" s="93">
        <f t="shared" si="87"/>
        <v>1.6053187134502924</v>
      </c>
      <c r="AK191" s="93">
        <f t="shared" si="88"/>
        <v>1.8015647255715046</v>
      </c>
      <c r="AL191" s="93"/>
      <c r="AM191" s="104"/>
      <c r="AN191" s="93">
        <f t="shared" si="89"/>
        <v>-4.691704958877474E-2</v>
      </c>
      <c r="AO191" s="93">
        <f t="shared" si="90"/>
        <v>-0.24316306170998692</v>
      </c>
      <c r="AP191" s="93">
        <f t="shared" si="91"/>
        <v>-0.19173429984242518</v>
      </c>
      <c r="AQ191" s="93">
        <f t="shared" si="92"/>
        <v>-5.1428761867561734E-2</v>
      </c>
      <c r="AR191" s="52"/>
      <c r="AS191" s="27"/>
    </row>
    <row r="192" spans="1:45" x14ac:dyDescent="0.2">
      <c r="A192" s="182">
        <v>43922</v>
      </c>
      <c r="B192" s="52"/>
      <c r="C192" s="93">
        <f>Data!D185+'Economic Model'!C$65</f>
        <v>0.77250001105395227</v>
      </c>
      <c r="D192" s="95">
        <f>Data!E185+'Economic Model'!C$66</f>
        <v>192.04545454545453</v>
      </c>
      <c r="E192" s="319">
        <f>Data!F185+'Economic Model'!C$67</f>
        <v>0.29609999999999997</v>
      </c>
      <c r="F192" s="93">
        <f>Data!G185+'Economic Model'!C$68</f>
        <v>2.9318181845274838</v>
      </c>
      <c r="G192" s="96">
        <f>Data!H185+'Economic Model'!C$69</f>
        <v>3.93</v>
      </c>
      <c r="H192" s="85"/>
      <c r="I192" s="16"/>
      <c r="J192" s="93">
        <f t="shared" si="81"/>
        <v>0.77250001105395227</v>
      </c>
      <c r="K192" s="93">
        <f>D192/2000*'Economic Model'!C$32/'Economic Model'!C$30</f>
        <v>0.55255183413078135</v>
      </c>
      <c r="L192" s="319">
        <f>E192*'Economic Model'!C$33/'Economic Model'!C$30</f>
        <v>6.7531578947368415E-2</v>
      </c>
      <c r="M192" s="93">
        <f t="shared" si="80"/>
        <v>1.392583424132102</v>
      </c>
      <c r="N192" s="110"/>
      <c r="O192" s="108"/>
      <c r="P192" s="93">
        <f>F192/'Economic Model'!C$30</f>
        <v>1.028708134921924</v>
      </c>
      <c r="Q192" s="93">
        <f>G192/1000*'Economic Model'!C$34</f>
        <v>0.1179</v>
      </c>
      <c r="R192" s="93">
        <f>('Economic Model'!H$44+'Economic Model'!H$53)/100</f>
        <v>0.21939999999999998</v>
      </c>
      <c r="S192" s="93">
        <f t="shared" si="82"/>
        <v>1.366008134921924</v>
      </c>
      <c r="T192" s="93">
        <f>'Economic Model'!H$60/100</f>
        <v>0.19624601212121212</v>
      </c>
      <c r="U192" s="93">
        <f t="shared" si="83"/>
        <v>1.5622541470431361</v>
      </c>
      <c r="V192" s="93">
        <f t="shared" si="66"/>
        <v>0.94217073396498641</v>
      </c>
      <c r="W192" s="105"/>
      <c r="X192" s="93"/>
      <c r="Y192" s="93">
        <f>M192-P192-Q192-('Economic Model'!H$50/100)</f>
        <v>0.20747528921017797</v>
      </c>
      <c r="Z192" s="93">
        <f t="shared" si="84"/>
        <v>2.6575289210178044E-2</v>
      </c>
      <c r="AA192" s="93">
        <f t="shared" si="85"/>
        <v>-0.16967072291103413</v>
      </c>
      <c r="AB192" s="80"/>
      <c r="AC192" s="80"/>
      <c r="AD192" s="17"/>
      <c r="AE192" s="93">
        <f>'Returns per Bu.'!AD192/'Economic Model'!C$30</f>
        <v>0.3880914407230196</v>
      </c>
      <c r="AF192" s="93">
        <f t="shared" si="86"/>
        <v>0.8727272727272728</v>
      </c>
      <c r="AG192" s="93">
        <f>'Returns per Bu.'!AF192/'Economic Model'!C$30</f>
        <v>1.2608187134502924</v>
      </c>
      <c r="AH192" s="105"/>
      <c r="AI192" s="93"/>
      <c r="AJ192" s="93">
        <f t="shared" si="87"/>
        <v>1.5981187134502923</v>
      </c>
      <c r="AK192" s="93">
        <f t="shared" si="88"/>
        <v>1.7943647255715045</v>
      </c>
      <c r="AL192" s="93"/>
      <c r="AM192" s="104"/>
      <c r="AN192" s="93">
        <f t="shared" si="89"/>
        <v>-0.20553528931819032</v>
      </c>
      <c r="AO192" s="93">
        <f t="shared" si="90"/>
        <v>-0.40178130143940249</v>
      </c>
      <c r="AP192" s="93">
        <f t="shared" si="91"/>
        <v>-0.16967072291103413</v>
      </c>
      <c r="AQ192" s="93">
        <f t="shared" si="92"/>
        <v>-0.23211057852836836</v>
      </c>
      <c r="AR192" s="52"/>
      <c r="AS192" s="27"/>
    </row>
    <row r="193" spans="1:45" x14ac:dyDescent="0.2">
      <c r="A193" s="182">
        <v>43952</v>
      </c>
      <c r="B193" s="52"/>
      <c r="C193" s="93">
        <f>Data!D186+'Economic Model'!C$65</f>
        <v>0.99650000929832461</v>
      </c>
      <c r="D193" s="95">
        <f>Data!E186+'Economic Model'!C$66</f>
        <v>143.33333333333334</v>
      </c>
      <c r="E193" s="319">
        <f>Data!F186+'Economic Model'!C$67</f>
        <v>0.28129999999999999</v>
      </c>
      <c r="F193" s="93">
        <f>Data!G186+'Economic Model'!C$68</f>
        <v>2.9458437502384185</v>
      </c>
      <c r="G193" s="96">
        <f>Data!H186+'Economic Model'!C$69</f>
        <v>4.12</v>
      </c>
      <c r="H193" s="85"/>
      <c r="I193" s="16"/>
      <c r="J193" s="93">
        <f t="shared" si="81"/>
        <v>0.99650000929832461</v>
      </c>
      <c r="K193" s="93">
        <f>D193/2000*'Economic Model'!C$32/'Economic Model'!C$30</f>
        <v>0.41239766081871343</v>
      </c>
      <c r="L193" s="319">
        <f>E193*'Economic Model'!C$33/'Economic Model'!C$30</f>
        <v>6.4156140350877189E-2</v>
      </c>
      <c r="M193" s="93">
        <f t="shared" si="80"/>
        <v>1.4730538104679152</v>
      </c>
      <c r="N193" s="110"/>
      <c r="O193" s="108"/>
      <c r="P193" s="93">
        <f>F193/'Economic Model'!C$30</f>
        <v>1.0336293860485679</v>
      </c>
      <c r="Q193" s="93">
        <f>G193/1000*'Economic Model'!C$34</f>
        <v>0.12360000000000002</v>
      </c>
      <c r="R193" s="93">
        <f>('Economic Model'!H$44+'Economic Model'!H$53)/100</f>
        <v>0.21939999999999998</v>
      </c>
      <c r="S193" s="93">
        <f t="shared" si="82"/>
        <v>1.3766293860485679</v>
      </c>
      <c r="T193" s="93">
        <f>'Economic Model'!H$60/100</f>
        <v>0.19624601212121212</v>
      </c>
      <c r="U193" s="93">
        <f t="shared" si="83"/>
        <v>1.5728753981697801</v>
      </c>
      <c r="V193" s="93">
        <f t="shared" si="66"/>
        <v>1.0963215970001894</v>
      </c>
      <c r="W193" s="105"/>
      <c r="X193" s="93"/>
      <c r="Y193" s="93">
        <f>M193-P193-Q193-('Economic Model'!H$50/100)</f>
        <v>0.27732442441934724</v>
      </c>
      <c r="Z193" s="93">
        <f t="shared" si="84"/>
        <v>9.6424424419347288E-2</v>
      </c>
      <c r="AA193" s="93">
        <f t="shared" si="85"/>
        <v>-9.9821587701864889E-2</v>
      </c>
      <c r="AB193" s="80"/>
      <c r="AC193" s="80"/>
      <c r="AD193" s="17"/>
      <c r="AE193" s="93">
        <f>'Returns per Bu.'!AD193/'Economic Model'!C$30</f>
        <v>0.3880914407230196</v>
      </c>
      <c r="AF193" s="93">
        <f t="shared" si="86"/>
        <v>0.8727272727272728</v>
      </c>
      <c r="AG193" s="93">
        <f>'Returns per Bu.'!AF193/'Economic Model'!C$30</f>
        <v>1.2608187134502924</v>
      </c>
      <c r="AH193" s="105"/>
      <c r="AI193" s="93"/>
      <c r="AJ193" s="93">
        <f t="shared" si="87"/>
        <v>1.6038187134502924</v>
      </c>
      <c r="AK193" s="93">
        <f t="shared" si="88"/>
        <v>1.8000647255715045</v>
      </c>
      <c r="AL193" s="93"/>
      <c r="AM193" s="104"/>
      <c r="AN193" s="93">
        <f t="shared" si="89"/>
        <v>-0.1307649029823772</v>
      </c>
      <c r="AO193" s="93">
        <f t="shared" si="90"/>
        <v>-0.32701091510358937</v>
      </c>
      <c r="AP193" s="93">
        <f t="shared" si="91"/>
        <v>-9.9821587701864889E-2</v>
      </c>
      <c r="AQ193" s="93">
        <f t="shared" si="92"/>
        <v>-0.22718932740172448</v>
      </c>
      <c r="AR193" s="52"/>
      <c r="AS193" s="27"/>
    </row>
    <row r="194" spans="1:45" x14ac:dyDescent="0.2">
      <c r="A194" s="182">
        <v>43983</v>
      </c>
      <c r="B194" s="52"/>
      <c r="C194" s="93">
        <f>Data!D187+'Economic Model'!C$65</f>
        <v>1.1869047639483497</v>
      </c>
      <c r="D194" s="95">
        <f>Data!E187+'Economic Model'!C$66</f>
        <v>127.48809523809524</v>
      </c>
      <c r="E194" s="319">
        <f>Data!F187+'Economic Model'!C$67</f>
        <v>0.2482</v>
      </c>
      <c r="F194" s="93">
        <f>Data!G187+'Economic Model'!C$68</f>
        <v>3.1045238082749504</v>
      </c>
      <c r="G194" s="96">
        <f>Data!H187+'Economic Model'!C$69</f>
        <v>3.58</v>
      </c>
      <c r="H194" s="85"/>
      <c r="I194" s="16"/>
      <c r="J194" s="93">
        <f t="shared" si="81"/>
        <v>1.1869047639483497</v>
      </c>
      <c r="K194" s="93">
        <f>D194/2000*'Economic Model'!C$32/'Economic Model'!C$30</f>
        <v>0.36680785296574769</v>
      </c>
      <c r="L194" s="319">
        <f>E194*'Economic Model'!C$33/'Economic Model'!C$30</f>
        <v>5.6607017543859647E-2</v>
      </c>
      <c r="M194" s="93">
        <f t="shared" si="80"/>
        <v>1.6103196344579569</v>
      </c>
      <c r="N194" s="110"/>
      <c r="O194" s="108"/>
      <c r="P194" s="93">
        <f>F194/'Economic Model'!C$30</f>
        <v>1.0893065993947195</v>
      </c>
      <c r="Q194" s="93">
        <f>G194/1000*'Economic Model'!C$34</f>
        <v>0.10740000000000001</v>
      </c>
      <c r="R194" s="93">
        <f>('Economic Model'!H$44+'Economic Model'!H$53)/100</f>
        <v>0.21939999999999998</v>
      </c>
      <c r="S194" s="93">
        <f t="shared" si="82"/>
        <v>1.4161065993947195</v>
      </c>
      <c r="T194" s="93">
        <f>'Economic Model'!H$60/100</f>
        <v>0.19624601212121212</v>
      </c>
      <c r="U194" s="93">
        <f t="shared" si="83"/>
        <v>1.6123526115159317</v>
      </c>
      <c r="V194" s="93">
        <f t="shared" si="66"/>
        <v>1.1889377410063244</v>
      </c>
      <c r="W194" s="105"/>
      <c r="X194" s="93"/>
      <c r="Y194" s="93">
        <f>M194-P194-Q194-('Economic Model'!H$50/100)</f>
        <v>0.3751130350632374</v>
      </c>
      <c r="Z194" s="93">
        <f t="shared" si="84"/>
        <v>0.19421303506323739</v>
      </c>
      <c r="AA194" s="93">
        <f t="shared" si="85"/>
        <v>-2.032977057974783E-3</v>
      </c>
      <c r="AB194" s="80"/>
      <c r="AC194" s="80"/>
      <c r="AD194" s="17"/>
      <c r="AE194" s="93">
        <f>'Returns per Bu.'!AD194/'Economic Model'!C$30</f>
        <v>0.3880914407230196</v>
      </c>
      <c r="AF194" s="93">
        <f t="shared" si="86"/>
        <v>0.8727272727272728</v>
      </c>
      <c r="AG194" s="93">
        <f>'Returns per Bu.'!AF194/'Economic Model'!C$30</f>
        <v>1.2608187134502924</v>
      </c>
      <c r="AH194" s="105"/>
      <c r="AI194" s="93"/>
      <c r="AJ194" s="93">
        <f t="shared" si="87"/>
        <v>1.5876187134502924</v>
      </c>
      <c r="AK194" s="93">
        <f t="shared" si="88"/>
        <v>1.7838647255715046</v>
      </c>
      <c r="AL194" s="93"/>
      <c r="AM194" s="104"/>
      <c r="AN194" s="93">
        <f t="shared" si="89"/>
        <v>2.2700921007664521E-2</v>
      </c>
      <c r="AO194" s="93">
        <f t="shared" si="90"/>
        <v>-0.17354509111354766</v>
      </c>
      <c r="AP194" s="93">
        <f t="shared" si="91"/>
        <v>-2.032977057974783E-3</v>
      </c>
      <c r="AQ194" s="93">
        <f t="shared" si="92"/>
        <v>-0.17151211405557287</v>
      </c>
      <c r="AR194" s="52"/>
      <c r="AS194" s="27"/>
    </row>
    <row r="195" spans="1:45" x14ac:dyDescent="0.2">
      <c r="A195" s="182">
        <v>44013</v>
      </c>
      <c r="B195" s="52"/>
      <c r="C195" s="93">
        <f>Data!D188+'Economic Model'!C$65</f>
        <v>1.2840908847071908</v>
      </c>
      <c r="D195" s="95">
        <f>Data!E188+'Economic Model'!C$66</f>
        <v>117.82954545454545</v>
      </c>
      <c r="E195" s="319">
        <f>Data!F188+'Economic Model'!C$67</f>
        <v>0.23260000000000003</v>
      </c>
      <c r="F195" s="93">
        <f>Data!G188+'Economic Model'!C$68</f>
        <v>3.1061363734982232</v>
      </c>
      <c r="G195" s="96">
        <f>Data!H188+'Economic Model'!C$69</f>
        <v>3.63</v>
      </c>
      <c r="H195" s="85"/>
      <c r="I195" s="16"/>
      <c r="J195" s="93">
        <f t="shared" si="81"/>
        <v>1.2840908847071908</v>
      </c>
      <c r="K195" s="93">
        <f>D195/2000*'Economic Model'!C$32/'Economic Model'!C$30</f>
        <v>0.33901834130781494</v>
      </c>
      <c r="L195" s="319">
        <f>E195*'Economic Model'!C$33/'Economic Model'!C$30</f>
        <v>5.3049122807017547E-2</v>
      </c>
      <c r="M195" s="93">
        <f t="shared" si="80"/>
        <v>1.6761583488220233</v>
      </c>
      <c r="N195" s="110"/>
      <c r="O195" s="108"/>
      <c r="P195" s="93">
        <f>F195/'Economic Model'!C$30</f>
        <v>1.0898724117537626</v>
      </c>
      <c r="Q195" s="93">
        <f>G195/1000*'Economic Model'!C$34</f>
        <v>0.1089</v>
      </c>
      <c r="R195" s="93">
        <f>('Economic Model'!H$44+'Economic Model'!H$53)/100</f>
        <v>0.21939999999999998</v>
      </c>
      <c r="S195" s="93">
        <f t="shared" si="82"/>
        <v>1.4181724117537626</v>
      </c>
      <c r="T195" s="93">
        <f>'Economic Model'!H$60/100</f>
        <v>0.19624601212121212</v>
      </c>
      <c r="U195" s="93">
        <f t="shared" si="83"/>
        <v>1.6144184238749748</v>
      </c>
      <c r="V195" s="93">
        <f t="shared" si="66"/>
        <v>1.2223509597601423</v>
      </c>
      <c r="W195" s="105"/>
      <c r="X195" s="93"/>
      <c r="Y195" s="93">
        <f>M195-P195-Q195-('Economic Model'!H$50/100)</f>
        <v>0.43888593706826073</v>
      </c>
      <c r="Z195" s="93">
        <f t="shared" si="84"/>
        <v>0.25798593706826067</v>
      </c>
      <c r="AA195" s="93">
        <f t="shared" si="85"/>
        <v>6.1739924947048497E-2</v>
      </c>
      <c r="AB195" s="80"/>
      <c r="AC195" s="80"/>
      <c r="AD195" s="17"/>
      <c r="AE195" s="93">
        <f>'Returns per Bu.'!AD195/'Economic Model'!C$30</f>
        <v>0.3880914407230196</v>
      </c>
      <c r="AF195" s="93">
        <f t="shared" si="86"/>
        <v>0.8727272727272728</v>
      </c>
      <c r="AG195" s="93">
        <f>'Returns per Bu.'!AF195/'Economic Model'!C$30</f>
        <v>1.2608187134502924</v>
      </c>
      <c r="AH195" s="105"/>
      <c r="AI195" s="93"/>
      <c r="AJ195" s="93">
        <f t="shared" si="87"/>
        <v>1.5891187134502924</v>
      </c>
      <c r="AK195" s="93">
        <f t="shared" si="88"/>
        <v>1.7853647255715046</v>
      </c>
      <c r="AL195" s="93"/>
      <c r="AM195" s="104"/>
      <c r="AN195" s="93">
        <f t="shared" si="89"/>
        <v>8.7039635371730872E-2</v>
      </c>
      <c r="AO195" s="93">
        <f t="shared" si="90"/>
        <v>-0.1092063767494813</v>
      </c>
      <c r="AP195" s="93">
        <f t="shared" si="91"/>
        <v>6.1739924947048497E-2</v>
      </c>
      <c r="AQ195" s="93">
        <f t="shared" si="92"/>
        <v>-0.1709463016965298</v>
      </c>
      <c r="AR195" s="52"/>
      <c r="AS195" s="27"/>
    </row>
    <row r="196" spans="1:45" x14ac:dyDescent="0.2">
      <c r="A196" s="182">
        <v>44044</v>
      </c>
      <c r="B196" s="52"/>
      <c r="C196" s="93">
        <f>Data!D189+'Economic Model'!C$65</f>
        <v>1.1823809544245403</v>
      </c>
      <c r="D196" s="95">
        <f>Data!E189+'Economic Model'!C$66</f>
        <v>121.94047619047619</v>
      </c>
      <c r="E196" s="319">
        <f>Data!F189+'Economic Model'!C$67</f>
        <v>0.2432</v>
      </c>
      <c r="F196" s="93">
        <f>Data!G189+'Economic Model'!C$68</f>
        <v>3.0920833405994235</v>
      </c>
      <c r="G196" s="96">
        <f>Data!H189+'Economic Model'!C$69</f>
        <v>4.16</v>
      </c>
      <c r="H196" s="85"/>
      <c r="I196" s="16"/>
      <c r="J196" s="93">
        <f t="shared" si="81"/>
        <v>1.1823809544245403</v>
      </c>
      <c r="K196" s="93">
        <f>D196/2000*'Economic Model'!C$32/'Economic Model'!C$30</f>
        <v>0.35084628237259813</v>
      </c>
      <c r="L196" s="319">
        <f>E196*'Economic Model'!C$33/'Economic Model'!C$30</f>
        <v>5.5466666666666664E-2</v>
      </c>
      <c r="M196" s="93">
        <f t="shared" si="80"/>
        <v>1.5886939034638052</v>
      </c>
      <c r="N196" s="110"/>
      <c r="O196" s="108"/>
      <c r="P196" s="93">
        <f>F196/'Economic Model'!C$30</f>
        <v>1.0849415230173416</v>
      </c>
      <c r="Q196" s="93">
        <f>G196/1000*'Economic Model'!C$34</f>
        <v>0.12480000000000002</v>
      </c>
      <c r="R196" s="93">
        <f>('Economic Model'!H$44+'Economic Model'!H$53)/100</f>
        <v>0.21939999999999998</v>
      </c>
      <c r="S196" s="93">
        <f t="shared" si="82"/>
        <v>1.4291415230173417</v>
      </c>
      <c r="T196" s="93">
        <f>'Economic Model'!H$60/100</f>
        <v>0.19624601212121212</v>
      </c>
      <c r="U196" s="93">
        <f t="shared" si="83"/>
        <v>1.6253875351385538</v>
      </c>
      <c r="V196" s="93">
        <f t="shared" si="66"/>
        <v>1.2190745860992891</v>
      </c>
      <c r="W196" s="105"/>
      <c r="X196" s="93"/>
      <c r="Y196" s="93">
        <f>M196-P196-Q196-('Economic Model'!H$50/100)</f>
        <v>0.34045238044646364</v>
      </c>
      <c r="Z196" s="93">
        <f t="shared" si="84"/>
        <v>0.15955238044646358</v>
      </c>
      <c r="AA196" s="93">
        <f t="shared" si="85"/>
        <v>-3.6693631674748595E-2</v>
      </c>
      <c r="AB196" s="80"/>
      <c r="AC196" s="80"/>
      <c r="AD196" s="17"/>
      <c r="AE196" s="93">
        <f>'Returns per Bu.'!AD196/'Economic Model'!C$30</f>
        <v>0.3880914407230196</v>
      </c>
      <c r="AF196" s="93">
        <f t="shared" si="86"/>
        <v>0.8727272727272728</v>
      </c>
      <c r="AG196" s="93">
        <f>'Returns per Bu.'!AF196/'Economic Model'!C$30</f>
        <v>1.2608187134502924</v>
      </c>
      <c r="AH196" s="105"/>
      <c r="AI196" s="93"/>
      <c r="AJ196" s="93">
        <f t="shared" si="87"/>
        <v>1.6050187134502925</v>
      </c>
      <c r="AK196" s="93">
        <f t="shared" si="88"/>
        <v>1.8012647255715046</v>
      </c>
      <c r="AL196" s="93"/>
      <c r="AM196" s="104"/>
      <c r="AN196" s="93">
        <f t="shared" si="89"/>
        <v>-1.6324809986487221E-2</v>
      </c>
      <c r="AO196" s="93">
        <f t="shared" si="90"/>
        <v>-0.2125708221076994</v>
      </c>
      <c r="AP196" s="93">
        <f t="shared" si="91"/>
        <v>-3.6693631674748595E-2</v>
      </c>
      <c r="AQ196" s="93">
        <f t="shared" si="92"/>
        <v>-0.1758771904329508</v>
      </c>
      <c r="AR196" s="52"/>
      <c r="AS196" s="27"/>
    </row>
    <row r="197" spans="1:45" x14ac:dyDescent="0.2">
      <c r="A197" s="182">
        <v>44075</v>
      </c>
      <c r="B197" s="52"/>
      <c r="C197" s="93">
        <f>Data!D190+'Economic Model'!C$65</f>
        <v>1.3026190570422582</v>
      </c>
      <c r="D197" s="95">
        <f>Data!E190+'Economic Model'!C$66</f>
        <v>138.1547619047619</v>
      </c>
      <c r="E197" s="319">
        <f>Data!F190+'Economic Model'!C$67</f>
        <v>0.27600000000000002</v>
      </c>
      <c r="F197" s="93">
        <f>Data!G190+'Economic Model'!C$68</f>
        <v>3.5054761966069541</v>
      </c>
      <c r="G197" s="96">
        <f>Data!H190+'Economic Model'!C$69</f>
        <v>4.9000000000000004</v>
      </c>
      <c r="H197" s="85"/>
      <c r="I197" s="16"/>
      <c r="J197" s="93">
        <f t="shared" si="81"/>
        <v>1.3026190570422582</v>
      </c>
      <c r="K197" s="93">
        <f>D197/2000*'Economic Model'!C$32/'Economic Model'!C$30</f>
        <v>0.39749791144527979</v>
      </c>
      <c r="L197" s="319">
        <f>E197*'Economic Model'!C$33/'Economic Model'!C$30</f>
        <v>6.2947368421052641E-2</v>
      </c>
      <c r="M197" s="93">
        <f t="shared" si="80"/>
        <v>1.7630643369085908</v>
      </c>
      <c r="N197" s="110"/>
      <c r="O197" s="108"/>
      <c r="P197" s="93">
        <f>F197/'Economic Model'!C$30</f>
        <v>1.2299916479322646</v>
      </c>
      <c r="Q197" s="93">
        <f>G197/1000*'Economic Model'!C$34</f>
        <v>0.14700000000000002</v>
      </c>
      <c r="R197" s="93">
        <f>('Economic Model'!H$44+'Economic Model'!H$53)/100</f>
        <v>0.21939999999999998</v>
      </c>
      <c r="S197" s="93">
        <f t="shared" si="82"/>
        <v>1.5963916479322646</v>
      </c>
      <c r="T197" s="93">
        <f>'Economic Model'!H$60/100</f>
        <v>0.19624601212121212</v>
      </c>
      <c r="U197" s="93">
        <f t="shared" si="83"/>
        <v>1.7926376600534768</v>
      </c>
      <c r="V197" s="93">
        <f t="shared" si="66"/>
        <v>1.3321923801871445</v>
      </c>
      <c r="W197" s="105"/>
      <c r="X197" s="93"/>
      <c r="Y197" s="93">
        <f>M197-P197-Q197-('Economic Model'!H$50/100)</f>
        <v>0.34757268897632621</v>
      </c>
      <c r="Z197" s="93">
        <f t="shared" si="84"/>
        <v>0.16667268897632614</v>
      </c>
      <c r="AA197" s="93">
        <f t="shared" si="85"/>
        <v>-2.9573323144886032E-2</v>
      </c>
      <c r="AB197" s="80"/>
      <c r="AC197" s="80"/>
      <c r="AD197" s="17"/>
      <c r="AE197" s="93">
        <f>'Returns per Bu.'!AD197/'Economic Model'!C$30</f>
        <v>0.44008325899494499</v>
      </c>
      <c r="AF197" s="93">
        <f t="shared" si="86"/>
        <v>0.95104767568639104</v>
      </c>
      <c r="AG197" s="93">
        <f>'Returns per Bu.'!AF197/'Economic Model'!C$30</f>
        <v>1.3911309346813361</v>
      </c>
      <c r="AH197" s="105"/>
      <c r="AI197" s="93"/>
      <c r="AJ197" s="93">
        <f t="shared" si="87"/>
        <v>1.7575309346813361</v>
      </c>
      <c r="AK197" s="93">
        <f t="shared" si="88"/>
        <v>1.9537769468025483</v>
      </c>
      <c r="AL197" s="93"/>
      <c r="AM197" s="104"/>
      <c r="AN197" s="93">
        <f t="shared" si="89"/>
        <v>5.5334022272546246E-3</v>
      </c>
      <c r="AO197" s="93">
        <f t="shared" si="90"/>
        <v>-0.19071260989395755</v>
      </c>
      <c r="AP197" s="93">
        <f t="shared" si="91"/>
        <v>-2.9573323144886032E-2</v>
      </c>
      <c r="AQ197" s="93">
        <f t="shared" si="92"/>
        <v>-0.16113928674907152</v>
      </c>
      <c r="AR197" s="52"/>
      <c r="AS197" s="27"/>
    </row>
    <row r="198" spans="1:45" x14ac:dyDescent="0.2">
      <c r="A198" s="182">
        <v>44105</v>
      </c>
      <c r="B198" s="52"/>
      <c r="C198" s="93">
        <f>Data!D191+'Economic Model'!C$65</f>
        <v>1.3699999792235238</v>
      </c>
      <c r="D198" s="95">
        <f>Data!E191+'Economic Model'!C$66</f>
        <v>156.33333333333334</v>
      </c>
      <c r="E198" s="319">
        <f>Data!F191+'Economic Model'!C$67</f>
        <v>0.2944</v>
      </c>
      <c r="F198" s="93">
        <f>Data!G191+'Economic Model'!C$68</f>
        <v>3.8160714166504994</v>
      </c>
      <c r="G198" s="96">
        <f>Data!H191+'Economic Model'!C$69</f>
        <v>4.5599999999999996</v>
      </c>
      <c r="H198" s="85"/>
      <c r="I198" s="16"/>
      <c r="J198" s="93">
        <f t="shared" si="81"/>
        <v>1.3699999792235238</v>
      </c>
      <c r="K198" s="93">
        <f>D198/2000*'Economic Model'!C$32/'Economic Model'!C$30</f>
        <v>0.44980116959064326</v>
      </c>
      <c r="L198" s="319">
        <f>E198*'Economic Model'!C$33/'Economic Model'!C$30</f>
        <v>6.7143859649122811E-2</v>
      </c>
      <c r="M198" s="93">
        <f t="shared" si="80"/>
        <v>1.8869450084632897</v>
      </c>
      <c r="N198" s="110"/>
      <c r="O198" s="108"/>
      <c r="P198" s="93">
        <f>F198/'Economic Model'!C$30</f>
        <v>1.3389724268949121</v>
      </c>
      <c r="Q198" s="93">
        <f>G198/1000*'Economic Model'!C$34</f>
        <v>0.1368</v>
      </c>
      <c r="R198" s="93">
        <f>('Economic Model'!H$44+'Economic Model'!H$53)/100</f>
        <v>0.21939999999999998</v>
      </c>
      <c r="S198" s="93">
        <f t="shared" si="82"/>
        <v>1.6951724268949122</v>
      </c>
      <c r="T198" s="93">
        <f>'Economic Model'!H$60/100</f>
        <v>0.19624601212121212</v>
      </c>
      <c r="U198" s="93">
        <f t="shared" si="83"/>
        <v>1.8914184390161244</v>
      </c>
      <c r="V198" s="93">
        <f t="shared" si="66"/>
        <v>1.3744734097763585</v>
      </c>
      <c r="W198" s="105"/>
      <c r="X198" s="93"/>
      <c r="Y198" s="93">
        <f>M198-P198-Q198-('Economic Model'!H$50/100)</f>
        <v>0.37267258156837757</v>
      </c>
      <c r="Z198" s="93">
        <f t="shared" si="84"/>
        <v>0.19177258156837751</v>
      </c>
      <c r="AA198" s="93">
        <f t="shared" si="85"/>
        <v>-4.4734305528346674E-3</v>
      </c>
      <c r="AB198" s="80"/>
      <c r="AC198" s="80"/>
      <c r="AD198" s="17"/>
      <c r="AE198" s="93">
        <f>'Returns per Bu.'!AD198/'Economic Model'!C$30</f>
        <v>0.44008325899494499</v>
      </c>
      <c r="AF198" s="93">
        <f t="shared" si="86"/>
        <v>0.95104767568639104</v>
      </c>
      <c r="AG198" s="93">
        <f>'Returns per Bu.'!AF198/'Economic Model'!C$30</f>
        <v>1.3911309346813361</v>
      </c>
      <c r="AH198" s="105"/>
      <c r="AI198" s="93"/>
      <c r="AJ198" s="93">
        <f t="shared" si="87"/>
        <v>1.7473309346813362</v>
      </c>
      <c r="AK198" s="93">
        <f t="shared" si="88"/>
        <v>1.9435769468025483</v>
      </c>
      <c r="AL198" s="93"/>
      <c r="AM198" s="104"/>
      <c r="AN198" s="93">
        <f t="shared" si="89"/>
        <v>0.13961407378195356</v>
      </c>
      <c r="AO198" s="93">
        <f t="shared" si="90"/>
        <v>-5.6631938339258614E-2</v>
      </c>
      <c r="AP198" s="93">
        <f t="shared" si="91"/>
        <v>-4.4734305528346674E-3</v>
      </c>
      <c r="AQ198" s="93">
        <f t="shared" si="92"/>
        <v>-5.2158507786423947E-2</v>
      </c>
      <c r="AR198" s="52"/>
      <c r="AS198" s="27"/>
    </row>
    <row r="199" spans="1:45" x14ac:dyDescent="0.2">
      <c r="A199" s="182">
        <v>44136</v>
      </c>
      <c r="B199" s="52"/>
      <c r="C199" s="93">
        <f>Data!D192+'Economic Model'!C$65</f>
        <v>1.3832352967823254</v>
      </c>
      <c r="D199" s="95">
        <f>Data!E192+'Economic Model'!C$66</f>
        <v>183.76470588235293</v>
      </c>
      <c r="E199" s="319">
        <f>Data!F192+'Economic Model'!C$67</f>
        <v>0.32530000000000003</v>
      </c>
      <c r="F199" s="93">
        <f>Data!G192+'Economic Model'!C$68</f>
        <v>4.0791776180267334</v>
      </c>
      <c r="G199" s="96">
        <f>Data!H192+'Economic Model'!C$69</f>
        <v>5.65</v>
      </c>
      <c r="H199" s="85"/>
      <c r="I199" s="16"/>
      <c r="J199" s="93">
        <f t="shared" si="81"/>
        <v>1.3832352967823254</v>
      </c>
      <c r="K199" s="93">
        <f>D199/2000*'Economic Model'!C$32/'Economic Model'!C$30</f>
        <v>0.52872652218782246</v>
      </c>
      <c r="L199" s="319">
        <f>E199*'Economic Model'!C$33/'Economic Model'!C$30</f>
        <v>7.4191228070175447E-2</v>
      </c>
      <c r="M199" s="93">
        <f t="shared" si="80"/>
        <v>1.9861530470403235</v>
      </c>
      <c r="N199" s="110"/>
      <c r="O199" s="108"/>
      <c r="P199" s="93">
        <f>F199/'Economic Model'!C$30</f>
        <v>1.4312903922900819</v>
      </c>
      <c r="Q199" s="93">
        <f>G199/1000*'Economic Model'!C$34</f>
        <v>0.16950000000000001</v>
      </c>
      <c r="R199" s="93">
        <f>('Economic Model'!H$44+'Economic Model'!H$53)/100</f>
        <v>0.21939999999999998</v>
      </c>
      <c r="S199" s="93">
        <f t="shared" si="82"/>
        <v>1.8201903922900819</v>
      </c>
      <c r="T199" s="93">
        <f>'Economic Model'!H$60/100</f>
        <v>0.19624601212121212</v>
      </c>
      <c r="U199" s="93">
        <f t="shared" si="83"/>
        <v>2.0164364044112939</v>
      </c>
      <c r="V199" s="93">
        <f t="shared" si="66"/>
        <v>1.4135186541532958</v>
      </c>
      <c r="W199" s="105"/>
      <c r="X199" s="93"/>
      <c r="Y199" s="93">
        <f>M199-P199-Q199-('Economic Model'!H$50/100)</f>
        <v>0.34686265475024158</v>
      </c>
      <c r="Z199" s="93">
        <f t="shared" si="84"/>
        <v>0.16596265475024152</v>
      </c>
      <c r="AA199" s="93">
        <f t="shared" si="85"/>
        <v>-3.0283357370970432E-2</v>
      </c>
      <c r="AB199" s="80"/>
      <c r="AC199" s="80"/>
      <c r="AD199" s="17"/>
      <c r="AE199" s="93">
        <f>'Returns per Bu.'!AD199/'Economic Model'!C$30</f>
        <v>0.44008325899494499</v>
      </c>
      <c r="AF199" s="93">
        <f t="shared" si="86"/>
        <v>0.95104767568639104</v>
      </c>
      <c r="AG199" s="93">
        <f>'Returns per Bu.'!AF199/'Economic Model'!C$30</f>
        <v>1.3911309346813361</v>
      </c>
      <c r="AH199" s="105"/>
      <c r="AI199" s="93"/>
      <c r="AJ199" s="93">
        <f t="shared" si="87"/>
        <v>1.7800309346813361</v>
      </c>
      <c r="AK199" s="93">
        <f t="shared" si="88"/>
        <v>1.9762769468025483</v>
      </c>
      <c r="AL199" s="93"/>
      <c r="AM199" s="104"/>
      <c r="AN199" s="93">
        <f t="shared" si="89"/>
        <v>0.20612211235898736</v>
      </c>
      <c r="AO199" s="93">
        <f t="shared" si="90"/>
        <v>9.8761002377751872E-3</v>
      </c>
      <c r="AP199" s="93">
        <f t="shared" si="91"/>
        <v>-3.0283357370970654E-2</v>
      </c>
      <c r="AQ199" s="93">
        <f t="shared" si="92"/>
        <v>4.0159457608745841E-2</v>
      </c>
      <c r="AR199" s="52"/>
      <c r="AS199" s="27"/>
    </row>
    <row r="200" spans="1:45" x14ac:dyDescent="0.2">
      <c r="A200" s="68">
        <v>44166</v>
      </c>
      <c r="B200" s="64"/>
      <c r="C200" s="97">
        <f>Data!D193+'Economic Model'!C$65</f>
        <v>1.2119047499838329</v>
      </c>
      <c r="D200" s="99">
        <f>Data!E193+'Economic Model'!C$66</f>
        <v>204.0595238095238</v>
      </c>
      <c r="E200" s="320">
        <f>Data!F193+'Economic Model'!C$67</f>
        <v>0.34770000000000001</v>
      </c>
      <c r="F200" s="97">
        <f>Data!G193+'Economic Model'!C$68</f>
        <v>4.254047603834243</v>
      </c>
      <c r="G200" s="100">
        <f>Data!H193+'Economic Model'!C$69</f>
        <v>5.16</v>
      </c>
      <c r="H200" s="87"/>
      <c r="I200" s="71"/>
      <c r="J200" s="97">
        <f t="shared" si="81"/>
        <v>1.2119047499838329</v>
      </c>
      <c r="K200" s="97">
        <f>D200/2000*'Economic Model'!C$32/'Economic Model'!C$30</f>
        <v>0.58711862990810348</v>
      </c>
      <c r="L200" s="320">
        <f>E200*'Economic Model'!C$33/'Economic Model'!C$30</f>
        <v>7.9299999999999995E-2</v>
      </c>
      <c r="M200" s="97">
        <f t="shared" si="80"/>
        <v>1.8783233798919363</v>
      </c>
      <c r="N200" s="113"/>
      <c r="O200" s="111"/>
      <c r="P200" s="97">
        <f>F200/'Economic Model'!C$30</f>
        <v>1.4926482820471028</v>
      </c>
      <c r="Q200" s="97">
        <f>G200/1000*'Economic Model'!C$34</f>
        <v>0.15480000000000002</v>
      </c>
      <c r="R200" s="97">
        <f>('Economic Model'!H$44+'Economic Model'!H$53)/100</f>
        <v>0.21939999999999998</v>
      </c>
      <c r="S200" s="97">
        <f t="shared" si="82"/>
        <v>1.8668482820471028</v>
      </c>
      <c r="T200" s="97">
        <f>'Economic Model'!H$60/100</f>
        <v>0.19624601212121212</v>
      </c>
      <c r="U200" s="97">
        <f t="shared" si="83"/>
        <v>2.063094294168315</v>
      </c>
      <c r="V200" s="97">
        <f t="shared" si="66"/>
        <v>1.3966756642602116</v>
      </c>
      <c r="W200" s="107"/>
      <c r="X200" s="97"/>
      <c r="Y200" s="97">
        <f>M200-P200-Q200-('Economic Model'!H$50/100)</f>
        <v>0.19237509784483353</v>
      </c>
      <c r="Z200" s="97">
        <f t="shared" si="84"/>
        <v>1.1475097844833471E-2</v>
      </c>
      <c r="AA200" s="97">
        <f t="shared" si="85"/>
        <v>-0.18477091427637871</v>
      </c>
      <c r="AB200" s="82"/>
      <c r="AC200" s="82"/>
      <c r="AD200" s="65"/>
      <c r="AE200" s="97">
        <f>'Returns per Bu.'!AD200/'Economic Model'!C$30</f>
        <v>0.44008325899494499</v>
      </c>
      <c r="AF200" s="97">
        <f t="shared" si="86"/>
        <v>0.95104767568639104</v>
      </c>
      <c r="AG200" s="97">
        <f>'Returns per Bu.'!AF200/'Economic Model'!C$30</f>
        <v>1.3911309346813361</v>
      </c>
      <c r="AH200" s="107"/>
      <c r="AI200" s="97"/>
      <c r="AJ200" s="97">
        <f t="shared" si="87"/>
        <v>1.7653309346813362</v>
      </c>
      <c r="AK200" s="97">
        <f t="shared" si="88"/>
        <v>1.9615769468025483</v>
      </c>
      <c r="AL200" s="97"/>
      <c r="AM200" s="106"/>
      <c r="AN200" s="97">
        <f t="shared" si="89"/>
        <v>0.11299244521060015</v>
      </c>
      <c r="AO200" s="97">
        <f t="shared" si="90"/>
        <v>-8.3253566910612031E-2</v>
      </c>
      <c r="AP200" s="97">
        <f t="shared" si="91"/>
        <v>-0.18477091427637871</v>
      </c>
      <c r="AQ200" s="97">
        <f t="shared" si="92"/>
        <v>0.10151734736576667</v>
      </c>
      <c r="AR200" s="64"/>
      <c r="AS200" s="27"/>
    </row>
    <row r="201" spans="1:45" x14ac:dyDescent="0.2">
      <c r="A201" s="292">
        <v>44197</v>
      </c>
      <c r="B201" s="62"/>
      <c r="C201" s="101">
        <f>Data!D194+'Economic Model'!C$65</f>
        <v>1.3913157976301094</v>
      </c>
      <c r="D201" s="103">
        <f>Data!E194+'Economic Model'!C$66</f>
        <v>216.55263157894737</v>
      </c>
      <c r="E201" s="319">
        <f>Data!F194+'Economic Model'!C$67</f>
        <v>0.39390000000000003</v>
      </c>
      <c r="F201" s="101">
        <f>Data!G194+'Economic Model'!C$68</f>
        <v>4.9731578990032794</v>
      </c>
      <c r="G201" s="90">
        <f>Data!H194+'Economic Model'!C$69</f>
        <v>4.47</v>
      </c>
      <c r="H201" s="88"/>
      <c r="I201" s="73"/>
      <c r="J201" s="101">
        <f t="shared" si="81"/>
        <v>1.3913157976301094</v>
      </c>
      <c r="K201" s="101">
        <f>D201/2000*'Economic Model'!C$32/'Economic Model'!C$30</f>
        <v>0.62306371191135723</v>
      </c>
      <c r="L201" s="319">
        <f>E201*'Economic Model'!C$33/'Economic Model'!C$30</f>
        <v>8.9836842105263159E-2</v>
      </c>
      <c r="M201" s="101">
        <f t="shared" si="80"/>
        <v>2.10421635164673</v>
      </c>
      <c r="N201" s="115"/>
      <c r="O201" s="114"/>
      <c r="P201" s="101">
        <f>F201/'Economic Model'!C$30</f>
        <v>1.7449676838607997</v>
      </c>
      <c r="Q201" s="101">
        <f>G201/1000*'Economic Model'!C$34</f>
        <v>0.1341</v>
      </c>
      <c r="R201" s="101">
        <f>('Economic Model'!H$44+'Economic Model'!H$53)/100</f>
        <v>0.21939999999999998</v>
      </c>
      <c r="S201" s="101">
        <f t="shared" si="82"/>
        <v>2.0984676838607994</v>
      </c>
      <c r="T201" s="101">
        <f>'Economic Model'!H$60/100</f>
        <v>0.19624601212121212</v>
      </c>
      <c r="U201" s="101">
        <f t="shared" si="83"/>
        <v>2.2947136959820114</v>
      </c>
      <c r="V201" s="101">
        <f t="shared" si="66"/>
        <v>1.5818131419653911</v>
      </c>
      <c r="W201" s="116"/>
      <c r="X201" s="101"/>
      <c r="Y201" s="101">
        <f>M201-P201-Q201-('Economic Model'!H$50/100)</f>
        <v>0.18664866778593034</v>
      </c>
      <c r="Z201" s="101">
        <f t="shared" si="84"/>
        <v>5.748667785930639E-3</v>
      </c>
      <c r="AA201" s="101">
        <f t="shared" si="85"/>
        <v>-0.19049734433528132</v>
      </c>
      <c r="AB201" s="293"/>
      <c r="AC201" s="293"/>
      <c r="AD201" s="288"/>
      <c r="AE201" s="101">
        <f>'Returns per Bu.'!AD201/'Economic Model'!C$30</f>
        <v>0.44008325899494499</v>
      </c>
      <c r="AF201" s="101">
        <f t="shared" si="86"/>
        <v>0.95104767568639104</v>
      </c>
      <c r="AG201" s="101">
        <f>'Returns per Bu.'!AF201/'Economic Model'!C$30</f>
        <v>1.3911309346813361</v>
      </c>
      <c r="AH201" s="116"/>
      <c r="AI201" s="101"/>
      <c r="AJ201" s="101">
        <f t="shared" si="87"/>
        <v>1.744630934681336</v>
      </c>
      <c r="AK201" s="101">
        <f t="shared" si="88"/>
        <v>1.9408769468025482</v>
      </c>
      <c r="AL201" s="101"/>
      <c r="AM201" s="117"/>
      <c r="AN201" s="101">
        <f t="shared" si="89"/>
        <v>0.35958541696539403</v>
      </c>
      <c r="AO201" s="101">
        <f t="shared" si="90"/>
        <v>0.16333940484418186</v>
      </c>
      <c r="AP201" s="101">
        <f t="shared" si="91"/>
        <v>-0.19049734433528176</v>
      </c>
      <c r="AQ201" s="101">
        <f t="shared" si="92"/>
        <v>0.35383674917946362</v>
      </c>
      <c r="AR201" s="62"/>
      <c r="AS201" s="27"/>
    </row>
    <row r="202" spans="1:45" x14ac:dyDescent="0.2">
      <c r="A202" s="182">
        <v>44228</v>
      </c>
      <c r="B202" s="52"/>
      <c r="C202" s="93">
        <f>Data!D195+'Economic Model'!C$65</f>
        <v>1.5415789359494259</v>
      </c>
      <c r="D202" s="95">
        <f>Data!E195+'Economic Model'!C$66</f>
        <v>230.19736842105263</v>
      </c>
      <c r="E202" s="319">
        <f>Data!F195+'Economic Model'!C$67</f>
        <v>0.43180000000000002</v>
      </c>
      <c r="F202" s="93">
        <f>Data!G195+'Economic Model'!C$68</f>
        <v>5.3529276283163769</v>
      </c>
      <c r="G202" s="96">
        <f>Data!H195+'Economic Model'!C$69</f>
        <v>7.38</v>
      </c>
      <c r="H202" s="85"/>
      <c r="I202" s="16"/>
      <c r="J202" s="93">
        <f t="shared" si="81"/>
        <v>1.5415789359494259</v>
      </c>
      <c r="K202" s="93">
        <f>D202/2000*'Economic Model'!C$32/'Economic Model'!C$30</f>
        <v>0.66232225300092329</v>
      </c>
      <c r="L202" s="319">
        <f>E202*'Economic Model'!C$33/'Economic Model'!C$30</f>
        <v>9.8480701754385974E-2</v>
      </c>
      <c r="M202" s="93">
        <f t="shared" si="80"/>
        <v>2.3023818907047353</v>
      </c>
      <c r="N202" s="110"/>
      <c r="O202" s="108"/>
      <c r="P202" s="93">
        <f>F202/'Economic Model'!C$30</f>
        <v>1.8782202204618865</v>
      </c>
      <c r="Q202" s="93">
        <f>G202/1000*'Economic Model'!C$34</f>
        <v>0.22140000000000001</v>
      </c>
      <c r="R202" s="93">
        <f>('Economic Model'!H$44+'Economic Model'!H$53)/100</f>
        <v>0.21939999999999998</v>
      </c>
      <c r="S202" s="93">
        <f t="shared" si="82"/>
        <v>2.3190202204618862</v>
      </c>
      <c r="T202" s="93">
        <f>'Economic Model'!H$60/100</f>
        <v>0.19624601212121212</v>
      </c>
      <c r="U202" s="93">
        <f t="shared" si="83"/>
        <v>2.5152662325830981</v>
      </c>
      <c r="V202" s="93">
        <f t="shared" ref="V202:V223" si="93">U202-K202-L202</f>
        <v>1.7544632778277887</v>
      </c>
      <c r="W202" s="105"/>
      <c r="X202" s="93"/>
      <c r="Y202" s="93">
        <f>M202-P202-Q202-('Economic Model'!H$50/100)</f>
        <v>0.16426167024284877</v>
      </c>
      <c r="Z202" s="93">
        <f t="shared" si="84"/>
        <v>-1.6638329757150849E-2</v>
      </c>
      <c r="AA202" s="93">
        <f t="shared" si="85"/>
        <v>-0.2128843418783628</v>
      </c>
      <c r="AB202" s="80"/>
      <c r="AC202" s="80"/>
      <c r="AD202" s="17"/>
      <c r="AE202" s="93">
        <f>'Returns per Bu.'!AD202/'Economic Model'!C$30</f>
        <v>0.44008325899494499</v>
      </c>
      <c r="AF202" s="93">
        <f t="shared" si="86"/>
        <v>0.95104767568639104</v>
      </c>
      <c r="AG202" s="93">
        <f>'Returns per Bu.'!AF202/'Economic Model'!C$30</f>
        <v>1.3911309346813361</v>
      </c>
      <c r="AH202" s="105"/>
      <c r="AI202" s="93"/>
      <c r="AJ202" s="93">
        <f t="shared" si="87"/>
        <v>1.8319309346813362</v>
      </c>
      <c r="AK202" s="93">
        <f t="shared" si="88"/>
        <v>2.0281769468025481</v>
      </c>
      <c r="AL202" s="93"/>
      <c r="AM202" s="104"/>
      <c r="AN202" s="93">
        <f t="shared" si="89"/>
        <v>0.47045095602339915</v>
      </c>
      <c r="AO202" s="93">
        <f t="shared" si="90"/>
        <v>0.27420494390218719</v>
      </c>
      <c r="AP202" s="93">
        <f t="shared" si="91"/>
        <v>-0.21288434187836325</v>
      </c>
      <c r="AQ202" s="93">
        <f t="shared" si="92"/>
        <v>0.48708928578055044</v>
      </c>
      <c r="AR202" s="52"/>
      <c r="AS202" s="27"/>
    </row>
    <row r="203" spans="1:45" x14ac:dyDescent="0.2">
      <c r="A203" s="182">
        <v>44256</v>
      </c>
      <c r="B203" s="52"/>
      <c r="C203" s="93">
        <f>Data!D196+'Economic Model'!C$65</f>
        <v>1.7289130506308183</v>
      </c>
      <c r="D203" s="95">
        <f>Data!E196+'Economic Model'!C$66</f>
        <v>222.41304347826087</v>
      </c>
      <c r="E203" s="319">
        <f>Data!F196+'Economic Model'!C$67</f>
        <v>0.50340000000000007</v>
      </c>
      <c r="F203" s="93">
        <f>Data!G196+'Economic Model'!C$68</f>
        <v>5.3846739115922349</v>
      </c>
      <c r="G203" s="96">
        <f>Data!H196+'Economic Model'!C$69</f>
        <v>6.37</v>
      </c>
      <c r="H203" s="85"/>
      <c r="I203" s="16"/>
      <c r="J203" s="93">
        <f t="shared" si="81"/>
        <v>1.7289130506308183</v>
      </c>
      <c r="K203" s="93">
        <f>D203/2000*'Economic Model'!C$32/'Economic Model'!C$30</f>
        <v>0.6399252479023646</v>
      </c>
      <c r="L203" s="319">
        <f>E203*'Economic Model'!C$33/'Economic Model'!C$30</f>
        <v>0.11481052631578949</v>
      </c>
      <c r="M203" s="93">
        <f t="shared" si="80"/>
        <v>2.4836488248489723</v>
      </c>
      <c r="N203" s="110"/>
      <c r="O203" s="108"/>
      <c r="P203" s="93">
        <f>F203/'Economic Model'!C$30</f>
        <v>1.8893592672253454</v>
      </c>
      <c r="Q203" s="93">
        <f>G203/1000*'Economic Model'!C$34</f>
        <v>0.19109999999999999</v>
      </c>
      <c r="R203" s="93">
        <f>('Economic Model'!H$44+'Economic Model'!H$53)/100</f>
        <v>0.21939999999999998</v>
      </c>
      <c r="S203" s="93">
        <f t="shared" si="82"/>
        <v>2.2998592672253451</v>
      </c>
      <c r="T203" s="93">
        <f>'Economic Model'!H$60/100</f>
        <v>0.19624601212121212</v>
      </c>
      <c r="U203" s="93">
        <f t="shared" si="83"/>
        <v>2.496105279346557</v>
      </c>
      <c r="V203" s="93">
        <f t="shared" si="93"/>
        <v>1.7413695051284028</v>
      </c>
      <c r="W203" s="105"/>
      <c r="X203" s="93"/>
      <c r="Y203" s="93">
        <f>M203-P203-Q203-('Economic Model'!H$50/100)</f>
        <v>0.36468955762362693</v>
      </c>
      <c r="Z203" s="93">
        <f t="shared" si="84"/>
        <v>0.18378955762362725</v>
      </c>
      <c r="AA203" s="93">
        <f t="shared" si="85"/>
        <v>-1.2456454497584701E-2</v>
      </c>
      <c r="AB203" s="80"/>
      <c r="AC203" s="80"/>
      <c r="AD203" s="17"/>
      <c r="AE203" s="93">
        <f>'Returns per Bu.'!AD203/'Economic Model'!C$30</f>
        <v>0.44008325899494499</v>
      </c>
      <c r="AF203" s="93">
        <f t="shared" si="86"/>
        <v>0.95104767568639104</v>
      </c>
      <c r="AG203" s="93">
        <f>'Returns per Bu.'!AF203/'Economic Model'!C$30</f>
        <v>1.3911309346813361</v>
      </c>
      <c r="AH203" s="105"/>
      <c r="AI203" s="93"/>
      <c r="AJ203" s="93">
        <f t="shared" si="87"/>
        <v>1.8016309346813362</v>
      </c>
      <c r="AK203" s="93">
        <f t="shared" si="88"/>
        <v>1.9978769468025483</v>
      </c>
      <c r="AL203" s="93"/>
      <c r="AM203" s="104"/>
      <c r="AN203" s="93">
        <f t="shared" si="89"/>
        <v>0.68201789016763614</v>
      </c>
      <c r="AO203" s="93">
        <f t="shared" si="90"/>
        <v>0.48577187804642397</v>
      </c>
      <c r="AP203" s="93">
        <f t="shared" si="91"/>
        <v>-1.2456454497585367E-2</v>
      </c>
      <c r="AQ203" s="93">
        <f t="shared" si="92"/>
        <v>0.49822833254400933</v>
      </c>
      <c r="AR203" s="52"/>
      <c r="AS203" s="27"/>
    </row>
    <row r="204" spans="1:45" x14ac:dyDescent="0.2">
      <c r="A204" s="182">
        <v>44287</v>
      </c>
      <c r="B204" s="52"/>
      <c r="C204" s="93">
        <f>Data!D197+'Economic Model'!C$65</f>
        <v>1.978095219248817</v>
      </c>
      <c r="D204" s="95">
        <f>Data!E197+'Economic Model'!C$66</f>
        <v>203.77380952380952</v>
      </c>
      <c r="E204" s="319">
        <f>Data!F197+'Economic Model'!C$67</f>
        <v>0.52139999999999997</v>
      </c>
      <c r="F204" s="93">
        <f>Data!G197+'Economic Model'!C$68</f>
        <v>6.0182440564745949</v>
      </c>
      <c r="G204" s="96">
        <f>Data!H197+'Economic Model'!C$69</f>
        <v>5.88</v>
      </c>
      <c r="H204" s="85"/>
      <c r="I204" s="16"/>
      <c r="J204" s="93">
        <f t="shared" si="81"/>
        <v>1.978095219248817</v>
      </c>
      <c r="K204" s="93">
        <f>D204/2000*'Economic Model'!C$32/'Economic Model'!C$30</f>
        <v>0.58629657477025887</v>
      </c>
      <c r="L204" s="319">
        <f>E204*'Economic Model'!C$33/'Economic Model'!C$30</f>
        <v>0.1189157894736842</v>
      </c>
      <c r="M204" s="93">
        <f t="shared" si="80"/>
        <v>2.68330758349276</v>
      </c>
      <c r="N204" s="110"/>
      <c r="O204" s="108"/>
      <c r="P204" s="93">
        <f>F204/'Economic Model'!C$30</f>
        <v>2.1116645812191561</v>
      </c>
      <c r="Q204" s="93">
        <f>G204/1000*'Economic Model'!C$34</f>
        <v>0.1764</v>
      </c>
      <c r="R204" s="93">
        <f>('Economic Model'!H$44+'Economic Model'!H$53)/100</f>
        <v>0.21939999999999998</v>
      </c>
      <c r="S204" s="93">
        <f t="shared" si="82"/>
        <v>2.5074645812191561</v>
      </c>
      <c r="T204" s="93">
        <f>'Economic Model'!H$60/100</f>
        <v>0.19624601212121212</v>
      </c>
      <c r="U204" s="93">
        <f t="shared" si="83"/>
        <v>2.703710593340368</v>
      </c>
      <c r="V204" s="93">
        <f t="shared" si="93"/>
        <v>1.998498229096425</v>
      </c>
      <c r="W204" s="105"/>
      <c r="X204" s="93"/>
      <c r="Y204" s="93">
        <f>M204-P204-Q204-('Economic Model'!H$50/100)</f>
        <v>0.35674300227360389</v>
      </c>
      <c r="Z204" s="93">
        <f t="shared" si="84"/>
        <v>0.17584300227360394</v>
      </c>
      <c r="AA204" s="93">
        <f t="shared" si="85"/>
        <v>-2.0403009847608011E-2</v>
      </c>
      <c r="AB204" s="80"/>
      <c r="AC204" s="80"/>
      <c r="AD204" s="17"/>
      <c r="AE204" s="93">
        <f>'Returns per Bu.'!AD204/'Economic Model'!C$30</f>
        <v>0.44008325899494499</v>
      </c>
      <c r="AF204" s="93">
        <f t="shared" si="86"/>
        <v>0.95104767568639104</v>
      </c>
      <c r="AG204" s="93">
        <f>'Returns per Bu.'!AF204/'Economic Model'!C$30</f>
        <v>1.3911309346813361</v>
      </c>
      <c r="AH204" s="105"/>
      <c r="AI204" s="93"/>
      <c r="AJ204" s="93">
        <f t="shared" si="87"/>
        <v>1.786930934681336</v>
      </c>
      <c r="AK204" s="93">
        <f t="shared" si="88"/>
        <v>1.9831769468025482</v>
      </c>
      <c r="AL204" s="93"/>
      <c r="AM204" s="104"/>
      <c r="AN204" s="93">
        <f t="shared" si="89"/>
        <v>0.89637664881142398</v>
      </c>
      <c r="AO204" s="93">
        <f t="shared" si="90"/>
        <v>0.70013063669021181</v>
      </c>
      <c r="AP204" s="93">
        <f t="shared" si="91"/>
        <v>-2.0403009847608233E-2</v>
      </c>
      <c r="AQ204" s="93">
        <f t="shared" si="92"/>
        <v>0.72053364653782004</v>
      </c>
      <c r="AR204" s="52"/>
      <c r="AS204" s="27"/>
    </row>
    <row r="205" spans="1:45" x14ac:dyDescent="0.2">
      <c r="A205" s="182">
        <v>44317</v>
      </c>
      <c r="B205" s="52"/>
      <c r="C205" s="93">
        <f>Data!D198+'Economic Model'!C$65</f>
        <v>2.4390000283718107</v>
      </c>
      <c r="D205" s="95">
        <f>Data!E198+'Economic Model'!C$66</f>
        <v>233.57499999999999</v>
      </c>
      <c r="E205" s="319">
        <f>Data!F198+'Economic Model'!C$67</f>
        <v>0.51840000000000008</v>
      </c>
      <c r="F205" s="93">
        <f>Data!G198+'Economic Model'!C$68</f>
        <v>7.0493750095367433</v>
      </c>
      <c r="G205" s="96">
        <f>Data!H198+'Economic Model'!C$69</f>
        <v>5.97</v>
      </c>
      <c r="H205" s="85"/>
      <c r="I205" s="16"/>
      <c r="J205" s="93">
        <f t="shared" si="81"/>
        <v>2.4390000283718107</v>
      </c>
      <c r="K205" s="93">
        <f>D205/2000*'Economic Model'!C$32/'Economic Model'!C$30</f>
        <v>0.67204035087719283</v>
      </c>
      <c r="L205" s="319">
        <f>E205*'Economic Model'!C$33/'Economic Model'!C$30</f>
        <v>0.11823157894736845</v>
      </c>
      <c r="M205" s="93">
        <f t="shared" si="80"/>
        <v>3.2292719581963722</v>
      </c>
      <c r="N205" s="110"/>
      <c r="O205" s="108"/>
      <c r="P205" s="93">
        <f>F205/'Economic Model'!C$30</f>
        <v>2.4734649156269275</v>
      </c>
      <c r="Q205" s="93">
        <f>G205/1000*'Economic Model'!C$34</f>
        <v>0.17909999999999998</v>
      </c>
      <c r="R205" s="93">
        <f>('Economic Model'!H$44+'Economic Model'!H$53)/100</f>
        <v>0.21939999999999998</v>
      </c>
      <c r="S205" s="93">
        <f t="shared" si="82"/>
        <v>2.8719649156269274</v>
      </c>
      <c r="T205" s="93">
        <f>'Economic Model'!H$60/100</f>
        <v>0.19624601212121212</v>
      </c>
      <c r="U205" s="93">
        <f t="shared" si="83"/>
        <v>3.0682109277481393</v>
      </c>
      <c r="V205" s="93">
        <f t="shared" si="93"/>
        <v>2.2779389979235778</v>
      </c>
      <c r="W205" s="105"/>
      <c r="X205" s="93"/>
      <c r="Y205" s="93">
        <f>M205-P205-Q205-('Economic Model'!H$50/100)</f>
        <v>0.53820704256944474</v>
      </c>
      <c r="Z205" s="93">
        <f t="shared" si="84"/>
        <v>0.3573070425694449</v>
      </c>
      <c r="AA205" s="93">
        <f t="shared" si="85"/>
        <v>0.16106103044823294</v>
      </c>
      <c r="AB205" s="80"/>
      <c r="AC205" s="80"/>
      <c r="AD205" s="17"/>
      <c r="AE205" s="93">
        <f>'Returns per Bu.'!AD205/'Economic Model'!C$30</f>
        <v>0.44008325899494499</v>
      </c>
      <c r="AF205" s="93">
        <f t="shared" si="86"/>
        <v>0.95104767568639104</v>
      </c>
      <c r="AG205" s="93">
        <f>'Returns per Bu.'!AF205/'Economic Model'!C$30</f>
        <v>1.3911309346813361</v>
      </c>
      <c r="AH205" s="105"/>
      <c r="AI205" s="93"/>
      <c r="AJ205" s="93">
        <f t="shared" si="87"/>
        <v>1.7896309346813362</v>
      </c>
      <c r="AK205" s="93">
        <f t="shared" si="88"/>
        <v>1.9858769468025483</v>
      </c>
      <c r="AL205" s="93"/>
      <c r="AM205" s="104"/>
      <c r="AN205" s="93">
        <f t="shared" si="89"/>
        <v>1.4396410235150361</v>
      </c>
      <c r="AO205" s="93">
        <f t="shared" si="90"/>
        <v>1.2433950113938239</v>
      </c>
      <c r="AP205" s="93">
        <f t="shared" si="91"/>
        <v>0.1610610304482325</v>
      </c>
      <c r="AQ205" s="93">
        <f t="shared" si="92"/>
        <v>1.0823339809455914</v>
      </c>
      <c r="AR205" s="52"/>
      <c r="AS205" s="27"/>
    </row>
    <row r="206" spans="1:45" x14ac:dyDescent="0.2">
      <c r="A206" s="182">
        <v>44348</v>
      </c>
      <c r="B206" s="52"/>
      <c r="C206" s="93">
        <f>Data!D199+'Economic Model'!C$65</f>
        <v>2.3145454688505693</v>
      </c>
      <c r="D206" s="95">
        <f>Data!E199+'Economic Model'!C$66</f>
        <v>198.52272727272728</v>
      </c>
      <c r="E206" s="319">
        <f>Data!F199+'Economic Model'!C$67</f>
        <v>0.55889999999999995</v>
      </c>
      <c r="F206" s="93">
        <f>Data!G199+'Economic Model'!C$68</f>
        <v>6.8402556885372512</v>
      </c>
      <c r="G206" s="96">
        <f>Data!H199+'Economic Model'!C$69</f>
        <v>5.92</v>
      </c>
      <c r="H206" s="85"/>
      <c r="I206" s="16"/>
      <c r="J206" s="93">
        <f t="shared" si="81"/>
        <v>2.3145454688505693</v>
      </c>
      <c r="K206" s="93">
        <f>D206/2000*'Economic Model'!C$32/'Economic Model'!C$30</f>
        <v>0.57118819776714502</v>
      </c>
      <c r="L206" s="319">
        <f>E206*'Economic Model'!C$33/'Economic Model'!C$30</f>
        <v>0.12746842105263156</v>
      </c>
      <c r="M206" s="93">
        <f t="shared" si="80"/>
        <v>3.0132020876703463</v>
      </c>
      <c r="N206" s="110"/>
      <c r="O206" s="108"/>
      <c r="P206" s="93">
        <f>F206/'Economic Model'!C$30</f>
        <v>2.4000897152762284</v>
      </c>
      <c r="Q206" s="93">
        <f>G206/1000*'Economic Model'!C$34</f>
        <v>0.17760000000000001</v>
      </c>
      <c r="R206" s="93">
        <f>('Economic Model'!H$44+'Economic Model'!H$53)/100</f>
        <v>0.21939999999999998</v>
      </c>
      <c r="S206" s="93">
        <f t="shared" si="82"/>
        <v>2.7970897152762282</v>
      </c>
      <c r="T206" s="93">
        <f>'Economic Model'!H$60/100</f>
        <v>0.19624601212121212</v>
      </c>
      <c r="U206" s="93">
        <f t="shared" si="83"/>
        <v>2.9933357273974401</v>
      </c>
      <c r="V206" s="93">
        <f t="shared" si="93"/>
        <v>2.2946791085776637</v>
      </c>
      <c r="W206" s="105"/>
      <c r="X206" s="93"/>
      <c r="Y206" s="93">
        <f>M206-P206-Q206-('Economic Model'!H$50/100)</f>
        <v>0.39701237239411791</v>
      </c>
      <c r="Z206" s="93">
        <f t="shared" si="84"/>
        <v>0.21611237239411807</v>
      </c>
      <c r="AA206" s="93">
        <f t="shared" si="85"/>
        <v>1.9866360272906114E-2</v>
      </c>
      <c r="AB206" s="80"/>
      <c r="AC206" s="80"/>
      <c r="AD206" s="17"/>
      <c r="AE206" s="93">
        <f>'Returns per Bu.'!AD206/'Economic Model'!C$30</f>
        <v>0.44008325899494499</v>
      </c>
      <c r="AF206" s="93">
        <f t="shared" si="86"/>
        <v>0.95104767568639104</v>
      </c>
      <c r="AG206" s="93">
        <f>'Returns per Bu.'!AF206/'Economic Model'!C$30</f>
        <v>1.3911309346813361</v>
      </c>
      <c r="AH206" s="105"/>
      <c r="AI206" s="93"/>
      <c r="AJ206" s="93">
        <f t="shared" si="87"/>
        <v>1.7881309346813361</v>
      </c>
      <c r="AK206" s="93">
        <f t="shared" si="88"/>
        <v>1.9843769468025483</v>
      </c>
      <c r="AL206" s="93"/>
      <c r="AM206" s="104"/>
      <c r="AN206" s="93">
        <f t="shared" si="89"/>
        <v>1.2250711529890101</v>
      </c>
      <c r="AO206" s="93">
        <f t="shared" si="90"/>
        <v>1.028825140867798</v>
      </c>
      <c r="AP206" s="93">
        <f t="shared" si="91"/>
        <v>1.986636027290567E-2</v>
      </c>
      <c r="AQ206" s="93">
        <f t="shared" si="92"/>
        <v>1.0089587805948923</v>
      </c>
      <c r="AR206" s="52"/>
      <c r="AS206" s="27"/>
    </row>
    <row r="207" spans="1:45" x14ac:dyDescent="0.2">
      <c r="A207" s="182">
        <v>44378</v>
      </c>
      <c r="B207" s="52"/>
      <c r="C207" s="93">
        <f>Data!D200+'Economic Model'!C$65</f>
        <v>2.1787500143051148</v>
      </c>
      <c r="D207" s="95">
        <f>Data!E200+'Economic Model'!C$66</f>
        <v>159.53947368421052</v>
      </c>
      <c r="E207" s="319">
        <f>Data!F200+'Economic Model'!C$67</f>
        <v>0.59089999999999998</v>
      </c>
      <c r="F207" s="93">
        <f>Data!G200+'Economic Model'!C$68</f>
        <v>6.4829999983310698</v>
      </c>
      <c r="G207" s="96">
        <f>Data!H200+'Economic Model'!C$69</f>
        <v>6.29</v>
      </c>
      <c r="H207" s="85"/>
      <c r="I207" s="16"/>
      <c r="J207" s="93">
        <f t="shared" si="81"/>
        <v>2.1787500143051148</v>
      </c>
      <c r="K207" s="93">
        <f>D207/2000*'Economic Model'!C$32/'Economic Model'!C$30</f>
        <v>0.45902585410895652</v>
      </c>
      <c r="L207" s="319">
        <f>E207*'Economic Model'!C$33/'Economic Model'!C$30</f>
        <v>0.13476666666666667</v>
      </c>
      <c r="M207" s="93">
        <f t="shared" si="80"/>
        <v>2.772542535080738</v>
      </c>
      <c r="N207" s="110"/>
      <c r="O207" s="108"/>
      <c r="P207" s="93">
        <f>F207/'Economic Model'!C$30</f>
        <v>2.2747368415196734</v>
      </c>
      <c r="Q207" s="93">
        <f>G207/1000*'Economic Model'!C$34</f>
        <v>0.18870000000000001</v>
      </c>
      <c r="R207" s="93">
        <f>('Economic Model'!H$44+'Economic Model'!H$53)/100</f>
        <v>0.21939999999999998</v>
      </c>
      <c r="S207" s="93">
        <f t="shared" si="82"/>
        <v>2.6828368415196731</v>
      </c>
      <c r="T207" s="93">
        <f>'Economic Model'!H$60/100</f>
        <v>0.19624601212121212</v>
      </c>
      <c r="U207" s="93">
        <f t="shared" si="83"/>
        <v>2.879082853640885</v>
      </c>
      <c r="V207" s="93">
        <f t="shared" si="93"/>
        <v>2.2852903328652618</v>
      </c>
      <c r="W207" s="105"/>
      <c r="X207" s="93"/>
      <c r="Y207" s="93">
        <f>M207-P207-Q207-('Economic Model'!H$50/100)</f>
        <v>0.27060569356106468</v>
      </c>
      <c r="Z207" s="93">
        <f t="shared" si="84"/>
        <v>8.9705693561064948E-2</v>
      </c>
      <c r="AA207" s="93">
        <f t="shared" si="85"/>
        <v>-0.10654031856014701</v>
      </c>
      <c r="AB207" s="80"/>
      <c r="AC207" s="80"/>
      <c r="AD207" s="17"/>
      <c r="AE207" s="93">
        <f>'Returns per Bu.'!AD207/'Economic Model'!C$30</f>
        <v>0.44008325899494499</v>
      </c>
      <c r="AF207" s="93">
        <f t="shared" si="86"/>
        <v>0.95104767568639104</v>
      </c>
      <c r="AG207" s="93">
        <f>'Returns per Bu.'!AF207/'Economic Model'!C$30</f>
        <v>1.3911309346813361</v>
      </c>
      <c r="AH207" s="105"/>
      <c r="AI207" s="93"/>
      <c r="AJ207" s="93">
        <f t="shared" si="87"/>
        <v>1.7992309346813362</v>
      </c>
      <c r="AK207" s="93">
        <f t="shared" si="88"/>
        <v>1.9954769468025484</v>
      </c>
      <c r="AL207" s="93"/>
      <c r="AM207" s="104"/>
      <c r="AN207" s="93">
        <f t="shared" si="89"/>
        <v>0.97331160039940179</v>
      </c>
      <c r="AO207" s="93">
        <f t="shared" si="90"/>
        <v>0.77706558827818961</v>
      </c>
      <c r="AP207" s="93">
        <f t="shared" si="91"/>
        <v>-0.10654031856014767</v>
      </c>
      <c r="AQ207" s="93">
        <f t="shared" si="92"/>
        <v>0.88360590683833728</v>
      </c>
      <c r="AR207" s="52"/>
      <c r="AS207" s="27"/>
    </row>
    <row r="208" spans="1:45" x14ac:dyDescent="0.2">
      <c r="A208" s="182">
        <v>44409</v>
      </c>
      <c r="B208" s="52"/>
      <c r="C208" s="93">
        <f>Data!D201+'Economic Model'!C$65</f>
        <v>2.1522727012634277</v>
      </c>
      <c r="D208" s="95">
        <f>Data!E201+'Economic Model'!C$66</f>
        <v>185.90909090909091</v>
      </c>
      <c r="E208" s="319">
        <f>Data!F201+'Economic Model'!C$67</f>
        <v>0.63890000000000002</v>
      </c>
      <c r="F208" s="93">
        <f>Data!G201+'Economic Model'!C$68</f>
        <v>6.3334659121253276</v>
      </c>
      <c r="G208" s="96">
        <f>Data!H201+'Economic Model'!C$69</f>
        <v>7.23</v>
      </c>
      <c r="H208" s="85"/>
      <c r="I208" s="16"/>
      <c r="J208" s="93">
        <f t="shared" si="81"/>
        <v>2.1522727012634277</v>
      </c>
      <c r="K208" s="93">
        <f>D208/2000*'Economic Model'!C$32/'Economic Model'!C$30</f>
        <v>0.53489633173843687</v>
      </c>
      <c r="L208" s="319">
        <f>E208*'Economic Model'!C$33/'Economic Model'!C$30</f>
        <v>0.1457140350877193</v>
      </c>
      <c r="M208" s="93">
        <f t="shared" si="80"/>
        <v>2.832883068089584</v>
      </c>
      <c r="N208" s="110"/>
      <c r="O208" s="108"/>
      <c r="P208" s="93">
        <f>F208/'Economic Model'!C$30</f>
        <v>2.222268741096606</v>
      </c>
      <c r="Q208" s="93">
        <f>G208/1000*'Economic Model'!C$34</f>
        <v>0.21690000000000001</v>
      </c>
      <c r="R208" s="93">
        <f>('Economic Model'!H$44+'Economic Model'!H$53)/100</f>
        <v>0.21939999999999998</v>
      </c>
      <c r="S208" s="93">
        <f t="shared" si="82"/>
        <v>2.6585687410966057</v>
      </c>
      <c r="T208" s="93">
        <f>'Economic Model'!H$60/100</f>
        <v>0.19624601212121212</v>
      </c>
      <c r="U208" s="93">
        <f t="shared" si="83"/>
        <v>2.8548147532178176</v>
      </c>
      <c r="V208" s="93">
        <f t="shared" si="93"/>
        <v>2.1742043863916614</v>
      </c>
      <c r="W208" s="105"/>
      <c r="X208" s="93"/>
      <c r="Y208" s="93">
        <f>M208-P208-Q208-('Economic Model'!H$50/100)</f>
        <v>0.35521432699297806</v>
      </c>
      <c r="Z208" s="93">
        <f t="shared" si="84"/>
        <v>0.17431432699297833</v>
      </c>
      <c r="AA208" s="93">
        <f t="shared" si="85"/>
        <v>-2.1931685128233624E-2</v>
      </c>
      <c r="AB208" s="80"/>
      <c r="AC208" s="80"/>
      <c r="AD208" s="17"/>
      <c r="AE208" s="93">
        <f>'Returns per Bu.'!AD208/'Economic Model'!C$30</f>
        <v>0.44008325899494499</v>
      </c>
      <c r="AF208" s="93">
        <f t="shared" si="86"/>
        <v>0.95104767568639104</v>
      </c>
      <c r="AG208" s="93">
        <f>'Returns per Bu.'!AF208/'Economic Model'!C$30</f>
        <v>1.3911309346813361</v>
      </c>
      <c r="AH208" s="105"/>
      <c r="AI208" s="93"/>
      <c r="AJ208" s="93">
        <f t="shared" si="87"/>
        <v>1.8274309346813362</v>
      </c>
      <c r="AK208" s="93">
        <f t="shared" si="88"/>
        <v>2.0236769468025484</v>
      </c>
      <c r="AL208" s="93"/>
      <c r="AM208" s="104"/>
      <c r="AN208" s="93">
        <f t="shared" si="89"/>
        <v>1.0054521334082478</v>
      </c>
      <c r="AO208" s="93">
        <f t="shared" si="90"/>
        <v>0.80920612128703562</v>
      </c>
      <c r="AP208" s="93">
        <f t="shared" si="91"/>
        <v>-2.1931685128234291E-2</v>
      </c>
      <c r="AQ208" s="93">
        <f t="shared" si="92"/>
        <v>0.83113780641526991</v>
      </c>
      <c r="AR208" s="52"/>
      <c r="AS208" s="27"/>
    </row>
    <row r="209" spans="1:45" x14ac:dyDescent="0.2">
      <c r="A209" s="182">
        <v>44440</v>
      </c>
      <c r="B209" s="52"/>
      <c r="C209" s="93">
        <f>Data!D202+'Economic Model'!C$65</f>
        <v>2.2902380795705888</v>
      </c>
      <c r="D209" s="95">
        <f>Data!E202+'Economic Model'!C$66</f>
        <v>194.3452380952381</v>
      </c>
      <c r="E209" s="319">
        <f>Data!F202+'Economic Model'!C$67</f>
        <v>0.5786</v>
      </c>
      <c r="F209" s="93">
        <f>Data!G202+'Economic Model'!C$68</f>
        <v>5.5563987890879316</v>
      </c>
      <c r="G209" s="96">
        <f>Data!H202+'Economic Model'!C$69</f>
        <v>7.34</v>
      </c>
      <c r="H209" s="85"/>
      <c r="I209" s="16"/>
      <c r="J209" s="93">
        <f t="shared" si="81"/>
        <v>2.2902380795705888</v>
      </c>
      <c r="K209" s="93">
        <f>D209/2000*'Economic Model'!C$32/'Economic Model'!C$30</f>
        <v>0.55916875522138676</v>
      </c>
      <c r="L209" s="319">
        <f>E209*'Economic Model'!C$33/'Economic Model'!C$30</f>
        <v>0.13196140350877195</v>
      </c>
      <c r="M209" s="93">
        <f t="shared" si="80"/>
        <v>2.9813682383007478</v>
      </c>
      <c r="N209" s="110"/>
      <c r="O209" s="108"/>
      <c r="P209" s="93">
        <f>F209/'Economic Model'!C$30</f>
        <v>1.9496136102062918</v>
      </c>
      <c r="Q209" s="93">
        <f>G209/1000*'Economic Model'!C$34</f>
        <v>0.22020000000000001</v>
      </c>
      <c r="R209" s="93">
        <f>('Economic Model'!H$44+'Economic Model'!H$53)/100</f>
        <v>0.21939999999999998</v>
      </c>
      <c r="S209" s="93">
        <f t="shared" si="82"/>
        <v>2.3892136102062915</v>
      </c>
      <c r="T209" s="93">
        <f>'Economic Model'!H$60/100</f>
        <v>0.19624601212121212</v>
      </c>
      <c r="U209" s="93">
        <f t="shared" si="83"/>
        <v>2.5854596223275035</v>
      </c>
      <c r="V209" s="93">
        <f t="shared" si="93"/>
        <v>1.8943294635973447</v>
      </c>
      <c r="W209" s="105"/>
      <c r="X209" s="93"/>
      <c r="Y209" s="93">
        <f>M209-P209-Q209-('Economic Model'!H$50/100)</f>
        <v>0.77305462809445613</v>
      </c>
      <c r="Z209" s="93">
        <f t="shared" si="84"/>
        <v>0.59215462809445629</v>
      </c>
      <c r="AA209" s="93">
        <f t="shared" si="85"/>
        <v>0.39590861597324434</v>
      </c>
      <c r="AB209" s="80"/>
      <c r="AC209" s="80"/>
      <c r="AD209" s="17"/>
      <c r="AE209" s="93">
        <f>'Returns per Bu.'!AD209/'Economic Model'!C$30</f>
        <v>0.39903680770553834</v>
      </c>
      <c r="AF209" s="93">
        <f t="shared" si="86"/>
        <v>0.85995872033023724</v>
      </c>
      <c r="AG209" s="93">
        <f>'Returns per Bu.'!AF209/'Economic Model'!C$30</f>
        <v>1.2589955280357756</v>
      </c>
      <c r="AH209" s="105"/>
      <c r="AI209" s="93"/>
      <c r="AJ209" s="93">
        <f t="shared" si="87"/>
        <v>1.6985955280357756</v>
      </c>
      <c r="AK209" s="93">
        <f t="shared" si="88"/>
        <v>1.8948415401569878</v>
      </c>
      <c r="AL209" s="93"/>
      <c r="AM209" s="104"/>
      <c r="AN209" s="93">
        <f t="shared" si="89"/>
        <v>1.2827727102649722</v>
      </c>
      <c r="AO209" s="93">
        <f t="shared" si="90"/>
        <v>1.08652669814376</v>
      </c>
      <c r="AP209" s="93">
        <f t="shared" si="91"/>
        <v>0.39590861597324389</v>
      </c>
      <c r="AQ209" s="93">
        <f t="shared" si="92"/>
        <v>0.69061808217051612</v>
      </c>
      <c r="AR209" s="52"/>
      <c r="AS209" s="27"/>
    </row>
    <row r="210" spans="1:45" x14ac:dyDescent="0.2">
      <c r="A210" s="182">
        <v>44470</v>
      </c>
      <c r="B210" s="52"/>
      <c r="C210" s="93">
        <f>Data!D203+'Economic Model'!C$65</f>
        <v>2.4010000467300414</v>
      </c>
      <c r="D210" s="95">
        <f>Data!E203+'Economic Model'!C$66</f>
        <v>180.95</v>
      </c>
      <c r="E210" s="319">
        <f>Data!F203+'Economic Model'!C$67</f>
        <v>0.61229999999999996</v>
      </c>
      <c r="F210" s="93">
        <f>Data!G203+'Economic Model'!C$68</f>
        <v>5.302375012636185</v>
      </c>
      <c r="G210" s="96">
        <f>Data!H203+'Economic Model'!C$69</f>
        <v>7.88</v>
      </c>
      <c r="H210" s="85"/>
      <c r="I210" s="16"/>
      <c r="J210" s="93">
        <f t="shared" si="81"/>
        <v>2.4010000467300414</v>
      </c>
      <c r="K210" s="93">
        <f>D210/2000*'Economic Model'!C$32/'Economic Model'!C$30</f>
        <v>0.52062807017543855</v>
      </c>
      <c r="L210" s="319">
        <f>E210*'Economic Model'!C$33/'Economic Model'!C$30</f>
        <v>0.13964736842105263</v>
      </c>
      <c r="M210" s="93">
        <f t="shared" si="80"/>
        <v>3.0612754853265329</v>
      </c>
      <c r="N210" s="110"/>
      <c r="O210" s="108"/>
      <c r="P210" s="93">
        <f>F210/'Economic Model'!C$30</f>
        <v>1.8604824605740999</v>
      </c>
      <c r="Q210" s="93">
        <f>G210/1000*'Economic Model'!C$34</f>
        <v>0.2364</v>
      </c>
      <c r="R210" s="93">
        <f>('Economic Model'!H$44+'Economic Model'!H$53)/100</f>
        <v>0.21939999999999998</v>
      </c>
      <c r="S210" s="93">
        <f t="shared" si="82"/>
        <v>2.3162824605740999</v>
      </c>
      <c r="T210" s="93">
        <f>'Economic Model'!H$60/100</f>
        <v>0.19624601212121212</v>
      </c>
      <c r="U210" s="93">
        <f t="shared" si="83"/>
        <v>2.5125284726953119</v>
      </c>
      <c r="V210" s="93">
        <f t="shared" si="93"/>
        <v>1.8522530340988206</v>
      </c>
      <c r="W210" s="105"/>
      <c r="X210" s="93"/>
      <c r="Y210" s="93">
        <f>M210-P210-Q210-('Economic Model'!H$50/100)</f>
        <v>0.92589302475243307</v>
      </c>
      <c r="Z210" s="93">
        <f t="shared" si="84"/>
        <v>0.74499302475243301</v>
      </c>
      <c r="AA210" s="93">
        <f t="shared" si="85"/>
        <v>0.54874701263122105</v>
      </c>
      <c r="AB210" s="80"/>
      <c r="AC210" s="80"/>
      <c r="AD210" s="17"/>
      <c r="AE210" s="93">
        <f>'Returns per Bu.'!AD210/'Economic Model'!C$30</f>
        <v>0.39903680770553834</v>
      </c>
      <c r="AF210" s="93">
        <f t="shared" si="86"/>
        <v>0.85995872033023724</v>
      </c>
      <c r="AG210" s="93">
        <f>'Returns per Bu.'!AF210/'Economic Model'!C$30</f>
        <v>1.2589955280357756</v>
      </c>
      <c r="AH210" s="105"/>
      <c r="AI210" s="93"/>
      <c r="AJ210" s="93">
        <f t="shared" si="87"/>
        <v>1.7147955280357756</v>
      </c>
      <c r="AK210" s="93">
        <f t="shared" si="88"/>
        <v>1.9110415401569878</v>
      </c>
      <c r="AL210" s="93"/>
      <c r="AM210" s="104"/>
      <c r="AN210" s="93">
        <f t="shared" si="89"/>
        <v>1.3464799572907573</v>
      </c>
      <c r="AO210" s="93">
        <f t="shared" si="90"/>
        <v>1.1502339451695451</v>
      </c>
      <c r="AP210" s="93">
        <f t="shared" si="91"/>
        <v>0.54874701263122083</v>
      </c>
      <c r="AQ210" s="93">
        <f t="shared" si="92"/>
        <v>0.6014869325383243</v>
      </c>
      <c r="AR210" s="52"/>
      <c r="AS210" s="27"/>
    </row>
    <row r="211" spans="1:45" x14ac:dyDescent="0.2">
      <c r="A211" s="182">
        <v>44501</v>
      </c>
      <c r="B211" s="52"/>
      <c r="C211" s="93">
        <f>Data!D204+'Economic Model'!C$65</f>
        <v>3.1180000007152557</v>
      </c>
      <c r="D211" s="95">
        <f>Data!E204+'Economic Model'!C$66</f>
        <v>163.96250000000001</v>
      </c>
      <c r="E211" s="319">
        <f>Data!F204+'Economic Model'!C$67</f>
        <v>0.6079</v>
      </c>
      <c r="F211" s="93">
        <f>Data!G204+'Economic Model'!C$68</f>
        <v>5.6642624855041506</v>
      </c>
      <c r="G211" s="96">
        <f>Data!H204+'Economic Model'!C$69</f>
        <v>8.75</v>
      </c>
      <c r="H211" s="85"/>
      <c r="I211" s="16"/>
      <c r="J211" s="93">
        <f t="shared" si="81"/>
        <v>3.1180000007152557</v>
      </c>
      <c r="K211" s="93">
        <f>D211/2000*'Economic Model'!C$32/'Economic Model'!C$30</f>
        <v>0.47175175438596484</v>
      </c>
      <c r="L211" s="319">
        <f>E211*'Economic Model'!C$33/'Economic Model'!C$30</f>
        <v>0.13864385964912282</v>
      </c>
      <c r="M211" s="93">
        <f t="shared" si="80"/>
        <v>3.728395614750343</v>
      </c>
      <c r="N211" s="110"/>
      <c r="O211" s="108"/>
      <c r="P211" s="93">
        <f>F211/'Economic Model'!C$30</f>
        <v>1.9874605212295264</v>
      </c>
      <c r="Q211" s="93">
        <f>G211/1000*'Economic Model'!C$34</f>
        <v>0.26250000000000001</v>
      </c>
      <c r="R211" s="93">
        <f>('Economic Model'!H$44+'Economic Model'!H$53)/100</f>
        <v>0.21939999999999998</v>
      </c>
      <c r="S211" s="93">
        <f t="shared" si="82"/>
        <v>2.4693605212295262</v>
      </c>
      <c r="T211" s="93">
        <f>'Economic Model'!H$60/100</f>
        <v>0.19624601212121212</v>
      </c>
      <c r="U211" s="93">
        <f t="shared" si="83"/>
        <v>2.6656065333507382</v>
      </c>
      <c r="V211" s="93">
        <f t="shared" si="93"/>
        <v>2.0552109193156509</v>
      </c>
      <c r="W211" s="105"/>
      <c r="X211" s="93"/>
      <c r="Y211" s="93">
        <f>M211-P211-Q211-('Economic Model'!H$50/100)</f>
        <v>1.4399350935208166</v>
      </c>
      <c r="Z211" s="93">
        <f t="shared" si="84"/>
        <v>1.2590350935208168</v>
      </c>
      <c r="AA211" s="93">
        <f t="shared" si="85"/>
        <v>1.0627890813996048</v>
      </c>
      <c r="AB211" s="80"/>
      <c r="AC211" s="80"/>
      <c r="AD211" s="17"/>
      <c r="AE211" s="93">
        <f>'Returns per Bu.'!AD211/'Economic Model'!C$30</f>
        <v>0.39903680770553834</v>
      </c>
      <c r="AF211" s="93">
        <f t="shared" si="86"/>
        <v>0.85995872033023724</v>
      </c>
      <c r="AG211" s="93">
        <f>'Returns per Bu.'!AF211/'Economic Model'!C$30</f>
        <v>1.2589955280357756</v>
      </c>
      <c r="AH211" s="105"/>
      <c r="AI211" s="93"/>
      <c r="AJ211" s="93">
        <f t="shared" si="87"/>
        <v>1.7408955280357756</v>
      </c>
      <c r="AK211" s="93">
        <f t="shared" si="88"/>
        <v>1.9371415401569878</v>
      </c>
      <c r="AL211" s="93"/>
      <c r="AM211" s="104"/>
      <c r="AN211" s="93">
        <f t="shared" si="89"/>
        <v>1.9875000867145673</v>
      </c>
      <c r="AO211" s="93">
        <f t="shared" si="90"/>
        <v>1.7912540745933552</v>
      </c>
      <c r="AP211" s="93">
        <f t="shared" si="91"/>
        <v>1.0627890813996044</v>
      </c>
      <c r="AQ211" s="93">
        <f t="shared" si="92"/>
        <v>0.7284649931937508</v>
      </c>
      <c r="AR211" s="52"/>
      <c r="AS211" s="27"/>
    </row>
    <row r="212" spans="1:45" x14ac:dyDescent="0.2">
      <c r="A212" s="68">
        <v>44531</v>
      </c>
      <c r="B212" s="64"/>
      <c r="C212" s="97">
        <f>Data!D205+'Economic Model'!C$65</f>
        <v>3.0957142852601551</v>
      </c>
      <c r="D212" s="99">
        <f>Data!E205+'Economic Model'!C$66</f>
        <v>171.3452380952381</v>
      </c>
      <c r="E212" s="320">
        <f>Data!F205+'Economic Model'!C$67</f>
        <v>0.5494</v>
      </c>
      <c r="F212" s="97">
        <f>Data!G205+'Economic Model'!C$68</f>
        <v>5.9232142823083063</v>
      </c>
      <c r="G212" s="100">
        <f>Data!H205+'Economic Model'!C$69</f>
        <v>9.9499999999999993</v>
      </c>
      <c r="H212" s="87"/>
      <c r="I212" s="71"/>
      <c r="J212" s="97">
        <f t="shared" si="81"/>
        <v>3.0957142852601551</v>
      </c>
      <c r="K212" s="97">
        <f>D212/2000*'Economic Model'!C$32/'Economic Model'!C$30</f>
        <v>0.49299331662489554</v>
      </c>
      <c r="L212" s="320">
        <f>E212*'Economic Model'!C$33/'Economic Model'!C$30</f>
        <v>0.12530175438596491</v>
      </c>
      <c r="M212" s="97">
        <f t="shared" si="80"/>
        <v>3.7140093562710152</v>
      </c>
      <c r="N212" s="113"/>
      <c r="O212" s="111"/>
      <c r="P212" s="97">
        <f>F212/'Economic Model'!C$30</f>
        <v>2.0783208008099319</v>
      </c>
      <c r="Q212" s="97">
        <f>G212/1000*'Economic Model'!C$34</f>
        <v>0.29849999999999999</v>
      </c>
      <c r="R212" s="97">
        <f>('Economic Model'!H$44+'Economic Model'!H$53)/100</f>
        <v>0.21939999999999998</v>
      </c>
      <c r="S212" s="97">
        <f t="shared" si="82"/>
        <v>2.5962208008099315</v>
      </c>
      <c r="T212" s="97">
        <f>'Economic Model'!H$60/100</f>
        <v>0.19624601212121212</v>
      </c>
      <c r="U212" s="97">
        <f t="shared" si="83"/>
        <v>2.7924668129311434</v>
      </c>
      <c r="V212" s="97">
        <f t="shared" si="93"/>
        <v>2.1741717419202828</v>
      </c>
      <c r="W212" s="107"/>
      <c r="X212" s="97"/>
      <c r="Y212" s="97">
        <f>M212-P212-Q212-('Economic Model'!H$50/100)</f>
        <v>1.2986885554610834</v>
      </c>
      <c r="Z212" s="97">
        <f t="shared" si="84"/>
        <v>1.1177885554610838</v>
      </c>
      <c r="AA212" s="97">
        <f t="shared" si="85"/>
        <v>0.92154254333987184</v>
      </c>
      <c r="AB212" s="82"/>
      <c r="AC212" s="82"/>
      <c r="AD212" s="65"/>
      <c r="AE212" s="97">
        <f>'Returns per Bu.'!AD212/'Economic Model'!C$30</f>
        <v>0.39903680770553834</v>
      </c>
      <c r="AF212" s="97">
        <f t="shared" si="86"/>
        <v>0.85995872033023724</v>
      </c>
      <c r="AG212" s="97">
        <f>'Returns per Bu.'!AF212/'Economic Model'!C$30</f>
        <v>1.2589955280357756</v>
      </c>
      <c r="AH212" s="107"/>
      <c r="AI212" s="97"/>
      <c r="AJ212" s="97">
        <f t="shared" si="87"/>
        <v>1.7768955280357757</v>
      </c>
      <c r="AK212" s="97">
        <f t="shared" si="88"/>
        <v>1.9731415401569878</v>
      </c>
      <c r="AL212" s="97"/>
      <c r="AM212" s="106"/>
      <c r="AN212" s="97">
        <f t="shared" si="89"/>
        <v>1.9371138282352396</v>
      </c>
      <c r="AO212" s="97">
        <f t="shared" si="90"/>
        <v>1.7408678161140274</v>
      </c>
      <c r="AP212" s="97">
        <f t="shared" si="91"/>
        <v>0.92154254333987118</v>
      </c>
      <c r="AQ212" s="97">
        <f t="shared" si="92"/>
        <v>0.81932527277415623</v>
      </c>
      <c r="AR212" s="64"/>
      <c r="AS212" s="27"/>
    </row>
    <row r="213" spans="1:45" x14ac:dyDescent="0.2">
      <c r="A213" s="292">
        <v>44562</v>
      </c>
      <c r="B213" s="62"/>
      <c r="C213" s="101">
        <f>Data!D206+'Economic Model'!C$65</f>
        <v>2.2252499729394914</v>
      </c>
      <c r="D213" s="103">
        <f>Data!E206+'Economic Model'!C$66</f>
        <v>193.65</v>
      </c>
      <c r="E213" s="319">
        <f>Data!F206+'Economic Model'!C$67</f>
        <v>0.59549999999999992</v>
      </c>
      <c r="F213" s="101">
        <f>Data!G206+'Economic Model'!C$68</f>
        <v>6.0421250224113461</v>
      </c>
      <c r="G213" s="90">
        <f>Data!H206+'Economic Model'!C$69</f>
        <v>8.42</v>
      </c>
      <c r="H213" s="88"/>
      <c r="I213" s="73"/>
      <c r="J213" s="101">
        <f t="shared" si="81"/>
        <v>2.2252499729394914</v>
      </c>
      <c r="K213" s="101">
        <f>D213/2000*'Economic Model'!C$32/'Economic Model'!C$30</f>
        <v>0.55716842105263154</v>
      </c>
      <c r="L213" s="319">
        <f>E213*'Economic Model'!C$33/'Economic Model'!C$30</f>
        <v>0.1358157894736842</v>
      </c>
      <c r="M213" s="101">
        <f t="shared" si="80"/>
        <v>2.9182341834658074</v>
      </c>
      <c r="N213" s="115"/>
      <c r="O213" s="114"/>
      <c r="P213" s="101">
        <f>F213/'Economic Model'!C$30</f>
        <v>2.1200438675127531</v>
      </c>
      <c r="Q213" s="101">
        <f>G213/1000*'Economic Model'!C$34</f>
        <v>0.25259999999999999</v>
      </c>
      <c r="R213" s="101">
        <f>('Economic Model'!H$44+'Economic Model'!H$53)/100</f>
        <v>0.21939999999999998</v>
      </c>
      <c r="S213" s="101">
        <f t="shared" si="82"/>
        <v>2.5920438675127531</v>
      </c>
      <c r="T213" s="101">
        <f>'Economic Model'!H$60/100</f>
        <v>0.19624601212121212</v>
      </c>
      <c r="U213" s="101">
        <f t="shared" si="83"/>
        <v>2.788289879633965</v>
      </c>
      <c r="V213" s="101">
        <f t="shared" si="93"/>
        <v>2.0953056691076495</v>
      </c>
      <c r="W213" s="116"/>
      <c r="X213" s="101"/>
      <c r="Y213" s="101">
        <f>M213-P213-Q213-('Economic Model'!H$50/100)</f>
        <v>0.50709031595305443</v>
      </c>
      <c r="Z213" s="101">
        <f t="shared" si="84"/>
        <v>0.32619031595305437</v>
      </c>
      <c r="AA213" s="101">
        <f t="shared" si="85"/>
        <v>0.12994430383184241</v>
      </c>
      <c r="AB213" s="293"/>
      <c r="AC213" s="293"/>
      <c r="AD213" s="288"/>
      <c r="AE213" s="101">
        <f>'Returns per Bu.'!AD213/'Economic Model'!C$30</f>
        <v>0.39903680770553834</v>
      </c>
      <c r="AF213" s="101">
        <f t="shared" si="86"/>
        <v>0.85995872033023724</v>
      </c>
      <c r="AG213" s="101">
        <f>'Returns per Bu.'!AF213/'Economic Model'!C$30</f>
        <v>1.2589955280357756</v>
      </c>
      <c r="AH213" s="116"/>
      <c r="AI213" s="101"/>
      <c r="AJ213" s="101">
        <f t="shared" si="87"/>
        <v>1.7309955280357756</v>
      </c>
      <c r="AK213" s="101">
        <f t="shared" si="88"/>
        <v>1.9272415401569878</v>
      </c>
      <c r="AL213" s="101"/>
      <c r="AM213" s="117"/>
      <c r="AN213" s="101">
        <f t="shared" si="89"/>
        <v>1.1872386554300318</v>
      </c>
      <c r="AO213" s="101">
        <f t="shared" si="90"/>
        <v>0.99099264330881964</v>
      </c>
      <c r="AP213" s="101">
        <f t="shared" si="91"/>
        <v>0.12994430383184219</v>
      </c>
      <c r="AQ213" s="101">
        <f t="shared" si="92"/>
        <v>0.86104833947697745</v>
      </c>
      <c r="AR213" s="62"/>
      <c r="AS213" s="27"/>
    </row>
    <row r="214" spans="1:45" x14ac:dyDescent="0.2">
      <c r="A214" s="182">
        <v>44593</v>
      </c>
      <c r="B214" s="52"/>
      <c r="C214" s="93">
        <f>Data!D207+'Economic Model'!C$65</f>
        <v>2.0268421204466569</v>
      </c>
      <c r="D214" s="95">
        <f>Data!E207+'Economic Model'!C$66</f>
        <v>227.30263157894737</v>
      </c>
      <c r="E214" s="319">
        <f>Data!F207+'Economic Model'!C$67</f>
        <v>0.71239999999999992</v>
      </c>
      <c r="F214" s="93">
        <f>Data!G207+'Economic Model'!C$68</f>
        <v>6.3834539338162068</v>
      </c>
      <c r="G214" s="96">
        <f>Data!H207+'Economic Model'!C$69</f>
        <v>8.76</v>
      </c>
      <c r="H214" s="85"/>
      <c r="I214" s="16"/>
      <c r="J214" s="93">
        <f t="shared" si="81"/>
        <v>2.0268421204466569</v>
      </c>
      <c r="K214" s="93">
        <f>D214/2000*'Economic Model'!C$32/'Economic Model'!C$30</f>
        <v>0.65399353647276071</v>
      </c>
      <c r="L214" s="319">
        <f>E214*'Economic Model'!C$33/'Economic Model'!C$30</f>
        <v>0.16247719298245614</v>
      </c>
      <c r="M214" s="93">
        <f t="shared" si="80"/>
        <v>2.8433128499018738</v>
      </c>
      <c r="N214" s="110"/>
      <c r="O214" s="108"/>
      <c r="P214" s="93">
        <f>F214/'Economic Model'!C$30</f>
        <v>2.2398083978302479</v>
      </c>
      <c r="Q214" s="93">
        <f>G214/1000*'Economic Model'!C$34</f>
        <v>0.26280000000000003</v>
      </c>
      <c r="R214" s="93">
        <f>('Economic Model'!H$44+'Economic Model'!H$53)/100</f>
        <v>0.21939999999999998</v>
      </c>
      <c r="S214" s="93">
        <f t="shared" si="82"/>
        <v>2.7220083978302476</v>
      </c>
      <c r="T214" s="93">
        <f>'Economic Model'!H$60/100</f>
        <v>0.19624601212121212</v>
      </c>
      <c r="U214" s="93">
        <f t="shared" si="83"/>
        <v>2.9182544099514596</v>
      </c>
      <c r="V214" s="93">
        <f t="shared" si="93"/>
        <v>2.1017836804962426</v>
      </c>
      <c r="W214" s="105"/>
      <c r="X214" s="93"/>
      <c r="Y214" s="93">
        <f>M214-P214-Q214-('Economic Model'!H$50/100)</f>
        <v>0.30220445207162594</v>
      </c>
      <c r="Z214" s="93">
        <f t="shared" si="84"/>
        <v>0.12130445207162621</v>
      </c>
      <c r="AA214" s="93">
        <f t="shared" si="85"/>
        <v>-7.4941560049585743E-2</v>
      </c>
      <c r="AB214" s="80"/>
      <c r="AC214" s="80"/>
      <c r="AD214" s="17"/>
      <c r="AE214" s="93">
        <f>'Returns per Bu.'!AD214/'Economic Model'!C$30</f>
        <v>0.39903680770553834</v>
      </c>
      <c r="AF214" s="93">
        <f t="shared" si="86"/>
        <v>0.85995872033023724</v>
      </c>
      <c r="AG214" s="93">
        <f>'Returns per Bu.'!AF214/'Economic Model'!C$30</f>
        <v>1.2589955280357756</v>
      </c>
      <c r="AH214" s="105"/>
      <c r="AI214" s="93"/>
      <c r="AJ214" s="93">
        <f t="shared" si="87"/>
        <v>1.7411955280357756</v>
      </c>
      <c r="AK214" s="93">
        <f t="shared" si="88"/>
        <v>1.9374415401569878</v>
      </c>
      <c r="AL214" s="93"/>
      <c r="AM214" s="104"/>
      <c r="AN214" s="93">
        <f t="shared" si="89"/>
        <v>1.1021173218660982</v>
      </c>
      <c r="AO214" s="93">
        <f t="shared" si="90"/>
        <v>0.90587130974488606</v>
      </c>
      <c r="AP214" s="93">
        <f t="shared" si="91"/>
        <v>-7.4941560049586187E-2</v>
      </c>
      <c r="AQ214" s="93">
        <f t="shared" si="92"/>
        <v>0.98081286979447224</v>
      </c>
      <c r="AR214" s="52"/>
      <c r="AS214" s="27"/>
    </row>
    <row r="215" spans="1:45" x14ac:dyDescent="0.2">
      <c r="A215" s="182">
        <v>44621</v>
      </c>
      <c r="B215" s="52"/>
      <c r="C215" s="93">
        <f>Data!D208+'Economic Model'!C$65</f>
        <v>2.3513043393259463</v>
      </c>
      <c r="D215" s="95">
        <f>Data!E208+'Economic Model'!C$66</f>
        <v>262.71739130434781</v>
      </c>
      <c r="E215" s="319">
        <f>Data!F208+'Economic Model'!C$67</f>
        <v>0.8175</v>
      </c>
      <c r="F215" s="93">
        <f>Data!G208+'Economic Model'!C$68</f>
        <v>7.1393478538679043</v>
      </c>
      <c r="G215" s="96">
        <f>Data!H208+'Economic Model'!C$69</f>
        <v>9.42</v>
      </c>
      <c r="H215" s="85"/>
      <c r="I215" s="16"/>
      <c r="J215" s="93">
        <f t="shared" ref="J215:J223" si="94">C215</f>
        <v>2.3513043393259463</v>
      </c>
      <c r="K215" s="93">
        <f>D215/2000*'Economic Model'!C$32/'Economic Model'!C$30</f>
        <v>0.75588863463005329</v>
      </c>
      <c r="L215" s="319">
        <f>E215*'Economic Model'!C$33/'Economic Model'!C$30</f>
        <v>0.18644736842105264</v>
      </c>
      <c r="M215" s="93">
        <f t="shared" ref="M215:M222" si="95">J215+K215+L215</f>
        <v>3.2936403423770524</v>
      </c>
      <c r="N215" s="110"/>
      <c r="O215" s="108"/>
      <c r="P215" s="93">
        <f>F215/'Economic Model'!C$30</f>
        <v>2.5050343346904929</v>
      </c>
      <c r="Q215" s="93">
        <f>G215/1000*'Economic Model'!C$34</f>
        <v>0.28259999999999996</v>
      </c>
      <c r="R215" s="93">
        <f>('Economic Model'!H$44+'Economic Model'!H$53)/100</f>
        <v>0.21939999999999998</v>
      </c>
      <c r="S215" s="93">
        <f t="shared" ref="S215:S223" si="96">P215+Q215+R215</f>
        <v>3.0070343346904926</v>
      </c>
      <c r="T215" s="93">
        <f>'Economic Model'!H$60/100</f>
        <v>0.19624601212121212</v>
      </c>
      <c r="U215" s="93">
        <f t="shared" ref="U215:U223" si="97">S215+T215</f>
        <v>3.2032803468117046</v>
      </c>
      <c r="V215" s="93">
        <f t="shared" si="93"/>
        <v>2.2609443437605985</v>
      </c>
      <c r="W215" s="105"/>
      <c r="X215" s="93"/>
      <c r="Y215" s="93">
        <f>M215-P215-Q215-('Economic Model'!H$50/100)</f>
        <v>0.46750600768655959</v>
      </c>
      <c r="Z215" s="93">
        <f t="shared" ref="Z215:Z223" si="98">M215-S215</f>
        <v>0.28660600768655975</v>
      </c>
      <c r="AA215" s="93">
        <f t="shared" ref="AA215:AA223" si="99">M215-U215</f>
        <v>9.0359995565347795E-2</v>
      </c>
      <c r="AB215" s="80"/>
      <c r="AC215" s="80"/>
      <c r="AD215" s="17"/>
      <c r="AE215" s="93">
        <f>'Returns per Bu.'!AD215/'Economic Model'!C$30</f>
        <v>0.39903680770553834</v>
      </c>
      <c r="AF215" s="93">
        <f t="shared" ref="AF215:AF223" si="100">AG215-AE215</f>
        <v>0.85995872033023724</v>
      </c>
      <c r="AG215" s="93">
        <f>'Returns per Bu.'!AF215/'Economic Model'!C$30</f>
        <v>1.2589955280357756</v>
      </c>
      <c r="AH215" s="105"/>
      <c r="AI215" s="93"/>
      <c r="AJ215" s="93">
        <f t="shared" ref="AJ215:AJ223" si="101">AG215+Q215+R215</f>
        <v>1.7609955280357756</v>
      </c>
      <c r="AK215" s="93">
        <f t="shared" ref="AK215:AK223" si="102">T215+AJ215</f>
        <v>1.9572415401569878</v>
      </c>
      <c r="AL215" s="93"/>
      <c r="AM215" s="104"/>
      <c r="AN215" s="93">
        <f t="shared" ref="AN215:AN223" si="103">M215-AJ215</f>
        <v>1.5326448143412768</v>
      </c>
      <c r="AO215" s="93">
        <f t="shared" ref="AO215:AO223" si="104">M215-AK215</f>
        <v>1.3363988022200646</v>
      </c>
      <c r="AP215" s="93">
        <f t="shared" ref="AP215:AP223" si="105">AO215-AQ215</f>
        <v>9.0359995565347351E-2</v>
      </c>
      <c r="AQ215" s="93">
        <f t="shared" ref="AQ215:AQ223" si="106">P215-AG215</f>
        <v>1.2460388066547172</v>
      </c>
      <c r="AR215" s="52"/>
      <c r="AS215" s="27"/>
    </row>
    <row r="216" spans="1:45" x14ac:dyDescent="0.2">
      <c r="A216" s="182">
        <v>44652</v>
      </c>
      <c r="B216" s="52"/>
      <c r="C216" s="93">
        <f>Data!D209+'Economic Model'!C$65</f>
        <v>2.5026190848577592</v>
      </c>
      <c r="D216" s="95">
        <f>Data!E209+'Economic Model'!C$66</f>
        <v>286.07142857142856</v>
      </c>
      <c r="E216" s="319">
        <f>Data!F209+'Economic Model'!C$67</f>
        <v>0.80559999999999998</v>
      </c>
      <c r="F216" s="93">
        <f>Data!G209+'Economic Model'!C$68</f>
        <v>7.7159226281302313</v>
      </c>
      <c r="G216" s="96">
        <f>Data!H209+'Economic Model'!C$69</f>
        <v>8.58</v>
      </c>
      <c r="H216" s="85"/>
      <c r="I216" s="16"/>
      <c r="J216" s="93">
        <f t="shared" si="94"/>
        <v>2.5026190848577592</v>
      </c>
      <c r="K216" s="93">
        <f>D216/2000*'Economic Model'!C$32/'Economic Model'!C$30</f>
        <v>0.82308270676691719</v>
      </c>
      <c r="L216" s="319">
        <f>E216*'Economic Model'!C$33/'Economic Model'!C$30</f>
        <v>0.18373333333333333</v>
      </c>
      <c r="M216" s="93">
        <f t="shared" si="95"/>
        <v>3.50943512495801</v>
      </c>
      <c r="N216" s="110"/>
      <c r="O216" s="108"/>
      <c r="P216" s="93">
        <f>F216/'Economic Model'!C$30</f>
        <v>2.7073412730281512</v>
      </c>
      <c r="Q216" s="93">
        <f>G216/1000*'Economic Model'!C$34</f>
        <v>0.25740000000000002</v>
      </c>
      <c r="R216" s="93">
        <f>('Economic Model'!H$44+'Economic Model'!H$53)/100</f>
        <v>0.21939999999999998</v>
      </c>
      <c r="S216" s="93">
        <f t="shared" si="96"/>
        <v>3.1841412730281511</v>
      </c>
      <c r="T216" s="93">
        <f>'Economic Model'!H$60/100</f>
        <v>0.19624601212121212</v>
      </c>
      <c r="U216" s="93">
        <f t="shared" si="97"/>
        <v>3.380387285149363</v>
      </c>
      <c r="V216" s="93">
        <f t="shared" si="93"/>
        <v>2.3735712450491122</v>
      </c>
      <c r="W216" s="105"/>
      <c r="X216" s="93"/>
      <c r="Y216" s="93">
        <f>M216-P216-Q216-('Economic Model'!H$50/100)</f>
        <v>0.50619385192985877</v>
      </c>
      <c r="Z216" s="93">
        <f t="shared" si="98"/>
        <v>0.32529385192985893</v>
      </c>
      <c r="AA216" s="93">
        <f t="shared" si="99"/>
        <v>0.12904783980864698</v>
      </c>
      <c r="AB216" s="80"/>
      <c r="AC216" s="80"/>
      <c r="AD216" s="17"/>
      <c r="AE216" s="93">
        <f>'Returns per Bu.'!AD216/'Economic Model'!C$30</f>
        <v>0.39903680770553834</v>
      </c>
      <c r="AF216" s="93">
        <f t="shared" si="100"/>
        <v>0.85995872033023724</v>
      </c>
      <c r="AG216" s="93">
        <f>'Returns per Bu.'!AF216/'Economic Model'!C$30</f>
        <v>1.2589955280357756</v>
      </c>
      <c r="AH216" s="105"/>
      <c r="AI216" s="93"/>
      <c r="AJ216" s="93">
        <f t="shared" si="101"/>
        <v>1.7357955280357757</v>
      </c>
      <c r="AK216" s="93">
        <f t="shared" si="102"/>
        <v>1.9320415401569879</v>
      </c>
      <c r="AL216" s="93"/>
      <c r="AM216" s="104"/>
      <c r="AN216" s="93">
        <f t="shared" si="103"/>
        <v>1.7736395969222343</v>
      </c>
      <c r="AO216" s="93">
        <f t="shared" si="104"/>
        <v>1.5773935848010221</v>
      </c>
      <c r="AP216" s="93">
        <f t="shared" si="105"/>
        <v>0.12904783980864654</v>
      </c>
      <c r="AQ216" s="93">
        <f t="shared" si="106"/>
        <v>1.4483457449923756</v>
      </c>
      <c r="AR216" s="52"/>
      <c r="AS216" s="27"/>
    </row>
    <row r="217" spans="1:45" x14ac:dyDescent="0.2">
      <c r="A217" s="182">
        <v>44682</v>
      </c>
      <c r="B217" s="52"/>
      <c r="C217" s="93">
        <f>Data!D210+'Economic Model'!C$65</f>
        <v>2.7110526122544942</v>
      </c>
      <c r="D217" s="95">
        <f>Data!E210+'Economic Model'!C$66</f>
        <v>276.75</v>
      </c>
      <c r="E217" s="319">
        <f>Data!F210+'Economic Model'!C$67</f>
        <v>0.82869999999999999</v>
      </c>
      <c r="F217" s="93">
        <f>Data!G210+'Economic Model'!C$68</f>
        <v>7.7598059213764614</v>
      </c>
      <c r="G217" s="96">
        <f>Data!H210+'Economic Model'!C$69</f>
        <v>8.92</v>
      </c>
      <c r="H217" s="85"/>
      <c r="I217" s="16"/>
      <c r="J217" s="93">
        <f t="shared" si="94"/>
        <v>2.7110526122544942</v>
      </c>
      <c r="K217" s="93">
        <f>D217/2000*'Economic Model'!C$32/'Economic Model'!C$30</f>
        <v>0.79626315789473678</v>
      </c>
      <c r="L217" s="319">
        <f>E217*'Economic Model'!C$33/'Economic Model'!C$30</f>
        <v>0.18900175438596489</v>
      </c>
      <c r="M217" s="93">
        <f t="shared" si="95"/>
        <v>3.6963175245351958</v>
      </c>
      <c r="N217" s="110"/>
      <c r="O217" s="108"/>
      <c r="P217" s="93">
        <f>F217/'Economic Model'!C$30</f>
        <v>2.7227389197812144</v>
      </c>
      <c r="Q217" s="93">
        <f>G217/1000*'Economic Model'!C$34</f>
        <v>0.26759999999999995</v>
      </c>
      <c r="R217" s="93">
        <f>('Economic Model'!H$44+'Economic Model'!H$53)/100</f>
        <v>0.21939999999999998</v>
      </c>
      <c r="S217" s="93">
        <f t="shared" si="96"/>
        <v>3.2097389197812141</v>
      </c>
      <c r="T217" s="93">
        <f>'Economic Model'!H$60/100</f>
        <v>0.19624601212121212</v>
      </c>
      <c r="U217" s="93">
        <f t="shared" si="97"/>
        <v>3.405984931902426</v>
      </c>
      <c r="V217" s="93">
        <f t="shared" si="93"/>
        <v>2.4207200196217245</v>
      </c>
      <c r="W217" s="105"/>
      <c r="X217" s="93"/>
      <c r="Y217" s="93">
        <f>M217-P217-Q217-('Economic Model'!H$50/100)</f>
        <v>0.66747860475398146</v>
      </c>
      <c r="Z217" s="93">
        <f t="shared" si="98"/>
        <v>0.48657860475398174</v>
      </c>
      <c r="AA217" s="93">
        <f t="shared" si="99"/>
        <v>0.29033259263276978</v>
      </c>
      <c r="AB217" s="80"/>
      <c r="AC217" s="80"/>
      <c r="AD217" s="17"/>
      <c r="AE217" s="93">
        <f>'Returns per Bu.'!AD217/'Economic Model'!C$30</f>
        <v>0.39903680770553834</v>
      </c>
      <c r="AF217" s="93">
        <f t="shared" si="100"/>
        <v>0.85995872033023724</v>
      </c>
      <c r="AG217" s="93">
        <f>'Returns per Bu.'!AF217/'Economic Model'!C$30</f>
        <v>1.2589955280357756</v>
      </c>
      <c r="AH217" s="105"/>
      <c r="AI217" s="93"/>
      <c r="AJ217" s="93">
        <f t="shared" si="101"/>
        <v>1.7459955280357755</v>
      </c>
      <c r="AK217" s="93">
        <f t="shared" si="102"/>
        <v>1.9422415401569877</v>
      </c>
      <c r="AL217" s="93"/>
      <c r="AM217" s="104"/>
      <c r="AN217" s="93">
        <f t="shared" si="103"/>
        <v>1.9503219964994203</v>
      </c>
      <c r="AO217" s="93">
        <f t="shared" si="104"/>
        <v>1.7540759843782081</v>
      </c>
      <c r="AP217" s="93">
        <f t="shared" si="105"/>
        <v>0.29033259263276934</v>
      </c>
      <c r="AQ217" s="93">
        <f t="shared" si="106"/>
        <v>1.4637433917454388</v>
      </c>
      <c r="AR217" s="52"/>
      <c r="AS217" s="27"/>
    </row>
    <row r="218" spans="1:45" x14ac:dyDescent="0.2">
      <c r="A218" s="182">
        <v>44713</v>
      </c>
      <c r="B218" s="52"/>
      <c r="C218" s="93">
        <f>Data!D211+'Economic Model'!C$65</f>
        <v>2.6997500002384185</v>
      </c>
      <c r="D218" s="95">
        <f>Data!E211+'Economic Model'!C$66</f>
        <v>230.3125</v>
      </c>
      <c r="E218" s="319">
        <f>Data!F211+'Economic Model'!C$67</f>
        <v>0.76430000000000009</v>
      </c>
      <c r="F218" s="93">
        <f>Data!G211+'Economic Model'!C$68</f>
        <v>7.8222812652587894</v>
      </c>
      <c r="G218" s="96">
        <f>Data!H211+'Economic Model'!C$69</f>
        <v>9.19</v>
      </c>
      <c r="H218" s="85"/>
      <c r="I218" s="16"/>
      <c r="J218" s="93">
        <f t="shared" si="94"/>
        <v>2.6997500002384185</v>
      </c>
      <c r="K218" s="93">
        <f>D218/2000*'Economic Model'!C$32/'Economic Model'!C$30</f>
        <v>0.66265350877192974</v>
      </c>
      <c r="L218" s="319">
        <f>E218*'Economic Model'!C$33/'Economic Model'!C$30</f>
        <v>0.17431403508771934</v>
      </c>
      <c r="M218" s="93">
        <f t="shared" si="95"/>
        <v>3.5367175440980674</v>
      </c>
      <c r="N218" s="110"/>
      <c r="O218" s="108"/>
      <c r="P218" s="93">
        <f>F218/'Economic Model'!C$30</f>
        <v>2.7446600930732594</v>
      </c>
      <c r="Q218" s="93">
        <f>G218/1000*'Economic Model'!C$34</f>
        <v>0.2757</v>
      </c>
      <c r="R218" s="93">
        <f>('Economic Model'!H$44+'Economic Model'!H$53)/100</f>
        <v>0.21939999999999998</v>
      </c>
      <c r="S218" s="93">
        <f t="shared" si="96"/>
        <v>3.2397600930732593</v>
      </c>
      <c r="T218" s="93">
        <f>'Economic Model'!H$60/100</f>
        <v>0.19624601212121212</v>
      </c>
      <c r="U218" s="93">
        <f t="shared" si="97"/>
        <v>3.4360061051944712</v>
      </c>
      <c r="V218" s="93">
        <f t="shared" si="93"/>
        <v>2.5990385613348224</v>
      </c>
      <c r="W218" s="105"/>
      <c r="X218" s="93"/>
      <c r="Y218" s="93">
        <f>M218-P218-Q218-('Economic Model'!H$50/100)</f>
        <v>0.47785745102480792</v>
      </c>
      <c r="Z218" s="93">
        <f t="shared" si="98"/>
        <v>0.29695745102480808</v>
      </c>
      <c r="AA218" s="93">
        <f t="shared" si="99"/>
        <v>0.10071143890359613</v>
      </c>
      <c r="AB218" s="80"/>
      <c r="AC218" s="80"/>
      <c r="AD218" s="17"/>
      <c r="AE218" s="93">
        <f>'Returns per Bu.'!AD218/'Economic Model'!C$30</f>
        <v>0.39903680770553834</v>
      </c>
      <c r="AF218" s="93">
        <f t="shared" si="100"/>
        <v>0.85995872033023724</v>
      </c>
      <c r="AG218" s="93">
        <f>'Returns per Bu.'!AF218/'Economic Model'!C$30</f>
        <v>1.2589955280357756</v>
      </c>
      <c r="AH218" s="105"/>
      <c r="AI218" s="93"/>
      <c r="AJ218" s="93">
        <f t="shared" si="101"/>
        <v>1.7540955280357757</v>
      </c>
      <c r="AK218" s="93">
        <f t="shared" si="102"/>
        <v>1.9503415401569879</v>
      </c>
      <c r="AL218" s="93"/>
      <c r="AM218" s="104"/>
      <c r="AN218" s="93">
        <f t="shared" si="103"/>
        <v>1.7826220160622916</v>
      </c>
      <c r="AO218" s="93">
        <f t="shared" si="104"/>
        <v>1.5863760039410795</v>
      </c>
      <c r="AP218" s="93">
        <f t="shared" si="105"/>
        <v>0.10071143890359568</v>
      </c>
      <c r="AQ218" s="93">
        <f t="shared" si="106"/>
        <v>1.4856645650374838</v>
      </c>
      <c r="AR218" s="52"/>
      <c r="AS218" s="27"/>
    </row>
    <row r="219" spans="1:45" x14ac:dyDescent="0.2">
      <c r="A219" s="182">
        <v>44743</v>
      </c>
      <c r="B219" s="52"/>
      <c r="C219" s="93">
        <f>Data!D212+'Economic Model'!C$65</f>
        <v>2.5071428428377422</v>
      </c>
      <c r="D219" s="95">
        <f>Data!E212+'Economic Model'!C$66</f>
        <v>204.827</v>
      </c>
      <c r="E219" s="319">
        <f>Data!F212+'Economic Model'!C$67</f>
        <v>0.68400000000000005</v>
      </c>
      <c r="F219" s="93">
        <f>Data!G212+'Economic Model'!C$68</f>
        <v>7.2395816596730533</v>
      </c>
      <c r="G219" s="96">
        <f>Data!H212+'Economic Model'!C$69</f>
        <v>7.85</v>
      </c>
      <c r="H219" s="85"/>
      <c r="I219" s="16"/>
      <c r="J219" s="93">
        <f t="shared" si="94"/>
        <v>2.5071428428377422</v>
      </c>
      <c r="K219" s="93">
        <f>D219/2000*'Economic Model'!C$32/'Economic Model'!C$30</f>
        <v>0.58932680701754381</v>
      </c>
      <c r="L219" s="319">
        <f>E219*'Economic Model'!C$33/'Economic Model'!C$30</f>
        <v>0.156</v>
      </c>
      <c r="M219" s="93">
        <f t="shared" si="95"/>
        <v>3.2524696498552861</v>
      </c>
      <c r="N219" s="110"/>
      <c r="O219" s="108"/>
      <c r="P219" s="93">
        <f>F219/'Economic Model'!C$30</f>
        <v>2.5402040911133521</v>
      </c>
      <c r="Q219" s="93">
        <f>G219/1000*'Economic Model'!C$34</f>
        <v>0.23549999999999999</v>
      </c>
      <c r="R219" s="93">
        <f>('Economic Model'!H$44+'Economic Model'!H$53)/100</f>
        <v>0.21939999999999998</v>
      </c>
      <c r="S219" s="93">
        <f t="shared" si="96"/>
        <v>2.995104091113352</v>
      </c>
      <c r="T219" s="93">
        <f>'Economic Model'!H$60/100</f>
        <v>0.19624601212121212</v>
      </c>
      <c r="U219" s="93">
        <f t="shared" si="97"/>
        <v>3.1913501032345639</v>
      </c>
      <c r="V219" s="93">
        <f t="shared" si="93"/>
        <v>2.4460232962170201</v>
      </c>
      <c r="W219" s="105"/>
      <c r="X219" s="93"/>
      <c r="Y219" s="93">
        <f>M219-P219-Q219-('Economic Model'!H$50/100)</f>
        <v>0.43826555874193401</v>
      </c>
      <c r="Z219" s="93">
        <f t="shared" si="98"/>
        <v>0.25736555874193412</v>
      </c>
      <c r="AA219" s="93">
        <f t="shared" si="99"/>
        <v>6.1119546620722165E-2</v>
      </c>
      <c r="AB219" s="80"/>
      <c r="AC219" s="80"/>
      <c r="AD219" s="17"/>
      <c r="AE219" s="93">
        <f>'Returns per Bu.'!AD219/'Economic Model'!C$30</f>
        <v>0.39903680770553834</v>
      </c>
      <c r="AF219" s="93">
        <f t="shared" si="100"/>
        <v>0.85995872033023724</v>
      </c>
      <c r="AG219" s="93">
        <f>'Returns per Bu.'!AF219/'Economic Model'!C$30</f>
        <v>1.2589955280357756</v>
      </c>
      <c r="AH219" s="105"/>
      <c r="AI219" s="93"/>
      <c r="AJ219" s="93">
        <f t="shared" si="101"/>
        <v>1.7138955280357757</v>
      </c>
      <c r="AK219" s="93">
        <f t="shared" si="102"/>
        <v>1.9101415401569879</v>
      </c>
      <c r="AL219" s="93"/>
      <c r="AM219" s="104"/>
      <c r="AN219" s="93">
        <f t="shared" si="103"/>
        <v>1.5385741218195104</v>
      </c>
      <c r="AO219" s="93">
        <f t="shared" si="104"/>
        <v>1.3423281096982982</v>
      </c>
      <c r="AP219" s="93">
        <f t="shared" si="105"/>
        <v>6.1119546620721721E-2</v>
      </c>
      <c r="AQ219" s="93">
        <f t="shared" si="106"/>
        <v>1.2812085630775765</v>
      </c>
      <c r="AR219" s="52"/>
      <c r="AS219" s="27"/>
    </row>
    <row r="220" spans="1:45" x14ac:dyDescent="0.2">
      <c r="A220" s="182">
        <v>44774</v>
      </c>
      <c r="B220" s="52"/>
      <c r="C220" s="93">
        <f>Data!D213+'Economic Model'!C$65</f>
        <v>2.4648714285714286</v>
      </c>
      <c r="D220" s="95">
        <f>Data!E213+'Economic Model'!C$66</f>
        <v>225.14249999999998</v>
      </c>
      <c r="E220" s="319">
        <f>Data!F213+'Economic Model'!C$67</f>
        <v>0.70909999999999995</v>
      </c>
      <c r="F220" s="93">
        <f>Data!G213+'Economic Model'!C$68</f>
        <v>7.3412826086956509</v>
      </c>
      <c r="G220" s="96">
        <f>Data!H213+'Economic Model'!C$69</f>
        <v>8.19</v>
      </c>
      <c r="H220" s="85"/>
      <c r="I220" s="16"/>
      <c r="J220" s="93">
        <f t="shared" si="94"/>
        <v>2.4648714285714286</v>
      </c>
      <c r="K220" s="93">
        <f>D220/2000*'Economic Model'!C$32/'Economic Model'!C$30</f>
        <v>0.6477784210526315</v>
      </c>
      <c r="L220" s="319">
        <f>E220*'Economic Model'!C$33/'Economic Model'!C$30</f>
        <v>0.16172456140350874</v>
      </c>
      <c r="M220" s="93">
        <f t="shared" si="95"/>
        <v>3.2743744110275688</v>
      </c>
      <c r="N220" s="110"/>
      <c r="O220" s="108"/>
      <c r="P220" s="93">
        <f>F220/'Economic Model'!C$30</f>
        <v>2.5758886346300529</v>
      </c>
      <c r="Q220" s="93">
        <f>G220/1000*'Economic Model'!C$34</f>
        <v>0.24569999999999997</v>
      </c>
      <c r="R220" s="93">
        <f>('Economic Model'!H$44+'Economic Model'!H$53)/100</f>
        <v>0.21939999999999998</v>
      </c>
      <c r="S220" s="93">
        <f t="shared" si="96"/>
        <v>3.0409886346300525</v>
      </c>
      <c r="T220" s="93">
        <f>'Economic Model'!H$60/100</f>
        <v>0.19624601212121212</v>
      </c>
      <c r="U220" s="93">
        <f t="shared" si="97"/>
        <v>3.2372346467512645</v>
      </c>
      <c r="V220" s="93">
        <f t="shared" si="93"/>
        <v>2.4277316642951243</v>
      </c>
      <c r="W220" s="105"/>
      <c r="X220" s="93"/>
      <c r="Y220" s="93">
        <f>M220-P220-Q220-('Economic Model'!H$50/100)</f>
        <v>0.4142857763975159</v>
      </c>
      <c r="Z220" s="93">
        <f t="shared" si="98"/>
        <v>0.23338577639751623</v>
      </c>
      <c r="AA220" s="93">
        <f t="shared" si="99"/>
        <v>3.7139764276304277E-2</v>
      </c>
      <c r="AB220" s="80"/>
      <c r="AC220" s="80"/>
      <c r="AD220" s="17"/>
      <c r="AE220" s="93">
        <f>'Returns per Bu.'!AD220/'Economic Model'!C$30</f>
        <v>0.39903680770553834</v>
      </c>
      <c r="AF220" s="93">
        <f t="shared" si="100"/>
        <v>0.85995872033023724</v>
      </c>
      <c r="AG220" s="93">
        <f>'Returns per Bu.'!AF220/'Economic Model'!C$30</f>
        <v>1.2589955280357756</v>
      </c>
      <c r="AH220" s="105"/>
      <c r="AI220" s="93"/>
      <c r="AJ220" s="93">
        <f t="shared" si="101"/>
        <v>1.7240955280357757</v>
      </c>
      <c r="AK220" s="93">
        <f t="shared" si="102"/>
        <v>1.9203415401569879</v>
      </c>
      <c r="AL220" s="93"/>
      <c r="AM220" s="104"/>
      <c r="AN220" s="93">
        <f t="shared" si="103"/>
        <v>1.5502788829917931</v>
      </c>
      <c r="AO220" s="93">
        <f t="shared" si="104"/>
        <v>1.3540328708705809</v>
      </c>
      <c r="AP220" s="93">
        <f t="shared" si="105"/>
        <v>3.7139764276303611E-2</v>
      </c>
      <c r="AQ220" s="93">
        <f t="shared" si="106"/>
        <v>1.3168931065942773</v>
      </c>
      <c r="AR220" s="52"/>
      <c r="AS220" s="27"/>
    </row>
    <row r="221" spans="1:45" x14ac:dyDescent="0.2">
      <c r="A221" s="182">
        <v>44805</v>
      </c>
      <c r="B221" s="52"/>
      <c r="C221" s="93">
        <f>Data!D214+'Economic Model'!C$65</f>
        <v>2.3894600000000001</v>
      </c>
      <c r="D221" s="95">
        <f>Data!E214+'Economic Model'!C$66</f>
        <v>251.84200000000001</v>
      </c>
      <c r="E221" s="319">
        <f>Data!F214+'Economic Model'!C$67</f>
        <v>0.73181999999999992</v>
      </c>
      <c r="F221" s="93">
        <f>Data!G214+'Economic Model'!C$68</f>
        <v>7.3726690476190493</v>
      </c>
      <c r="G221" s="96">
        <f>Data!H214+'Economic Model'!C$69</f>
        <v>9.5299999999999994</v>
      </c>
      <c r="H221" s="85"/>
      <c r="I221" s="16"/>
      <c r="J221" s="93">
        <f t="shared" si="94"/>
        <v>2.3894600000000001</v>
      </c>
      <c r="K221" s="93">
        <f>D221/2000*'Economic Model'!C$32/'Economic Model'!C$30</f>
        <v>0.72459803508771925</v>
      </c>
      <c r="L221" s="319">
        <f>E221*'Economic Model'!C$33/'Economic Model'!C$30</f>
        <v>0.16690631578947368</v>
      </c>
      <c r="M221" s="93">
        <f t="shared" si="95"/>
        <v>3.2809643508771931</v>
      </c>
      <c r="N221" s="110"/>
      <c r="O221" s="108"/>
      <c r="P221" s="93">
        <f>F221/'Economic Model'!C$30</f>
        <v>2.58690142021721</v>
      </c>
      <c r="Q221" s="93">
        <f>G221/1000*'Economic Model'!C$34</f>
        <v>0.28589999999999993</v>
      </c>
      <c r="R221" s="93">
        <f>('Economic Model'!H$44+'Economic Model'!H$53)/100</f>
        <v>0.21939999999999998</v>
      </c>
      <c r="S221" s="93">
        <f t="shared" si="96"/>
        <v>3.0922014202172097</v>
      </c>
      <c r="T221" s="93">
        <f>'Economic Model'!H$60/100</f>
        <v>0.19624601212121212</v>
      </c>
      <c r="U221" s="93">
        <f t="shared" si="97"/>
        <v>3.2884474323384216</v>
      </c>
      <c r="V221" s="93">
        <f t="shared" si="93"/>
        <v>2.3969430814612287</v>
      </c>
      <c r="W221" s="105"/>
      <c r="X221" s="93"/>
      <c r="Y221" s="93">
        <f>M221-P221-Q221-('Economic Model'!H$50/100)</f>
        <v>0.36966293065998312</v>
      </c>
      <c r="Z221" s="93">
        <f t="shared" si="98"/>
        <v>0.1887629306599834</v>
      </c>
      <c r="AA221" s="93">
        <f t="shared" si="99"/>
        <v>-7.4830814612285579E-3</v>
      </c>
      <c r="AB221" s="80"/>
      <c r="AC221" s="80"/>
      <c r="AD221" s="17"/>
      <c r="AE221" s="93">
        <f>'Returns per Bu.'!AD221/'Economic Model'!C$30</f>
        <v>0.44912280701754387</v>
      </c>
      <c r="AF221" s="93">
        <f t="shared" si="100"/>
        <v>1.1340087719298246</v>
      </c>
      <c r="AG221" s="93">
        <f>'Returns per Bu.'!AF221/'Economic Model'!C$30</f>
        <v>1.5831315789473686</v>
      </c>
      <c r="AH221" s="105"/>
      <c r="AI221" s="93"/>
      <c r="AJ221" s="93">
        <f t="shared" si="101"/>
        <v>2.0884315789473682</v>
      </c>
      <c r="AK221" s="93">
        <f t="shared" si="102"/>
        <v>2.2846775910685801</v>
      </c>
      <c r="AL221" s="93"/>
      <c r="AM221" s="104"/>
      <c r="AN221" s="93">
        <f t="shared" si="103"/>
        <v>1.1925327719298249</v>
      </c>
      <c r="AO221" s="93">
        <f t="shared" si="104"/>
        <v>0.99628675980861292</v>
      </c>
      <c r="AP221" s="93">
        <f t="shared" si="105"/>
        <v>-7.4830814612285579E-3</v>
      </c>
      <c r="AQ221" s="93">
        <f t="shared" si="106"/>
        <v>1.0037698412698415</v>
      </c>
      <c r="AR221" s="52"/>
      <c r="AS221" s="27"/>
    </row>
    <row r="222" spans="1:45" x14ac:dyDescent="0.2">
      <c r="A222" s="182">
        <v>44835</v>
      </c>
      <c r="B222" s="52"/>
      <c r="C222" s="93">
        <f>Data!D215+'Economic Model'!C$65</f>
        <v>2.33474</v>
      </c>
      <c r="D222" s="95">
        <f>Data!E215+'Economic Model'!C$66</f>
        <v>245.07750000000001</v>
      </c>
      <c r="E222" s="319">
        <f>Data!F215+'Economic Model'!C$67</f>
        <v>0.73180000000000001</v>
      </c>
      <c r="F222" s="93">
        <f>Data!G215+'Economic Model'!C$68</f>
        <v>6.8905924999999995</v>
      </c>
      <c r="G222" s="96">
        <f>Data!H215+'Economic Model'!C$69</f>
        <v>8.19</v>
      </c>
      <c r="H222" s="85"/>
      <c r="I222" s="16"/>
      <c r="J222" s="93">
        <f t="shared" si="94"/>
        <v>2.33474</v>
      </c>
      <c r="K222" s="93">
        <f>D222/2000*'Economic Model'!C$32/'Economic Model'!C$30</f>
        <v>0.70513526315789465</v>
      </c>
      <c r="L222" s="319">
        <f>E222*'Economic Model'!C$33/'Economic Model'!C$30</f>
        <v>0.16690175438596491</v>
      </c>
      <c r="M222" s="93">
        <f t="shared" si="95"/>
        <v>3.2067770175438599</v>
      </c>
      <c r="N222" s="110"/>
      <c r="O222" s="108"/>
      <c r="P222" s="93">
        <f>F222/'Economic Model'!C$30</f>
        <v>2.4177517543859648</v>
      </c>
      <c r="Q222" s="93">
        <f>G222/1000*'Economic Model'!C$34</f>
        <v>0.24569999999999997</v>
      </c>
      <c r="R222" s="93">
        <f>('Economic Model'!H$44+'Economic Model'!H$53)/100</f>
        <v>0.21939999999999998</v>
      </c>
      <c r="S222" s="93">
        <f t="shared" si="96"/>
        <v>2.8828517543859644</v>
      </c>
      <c r="T222" s="93">
        <f>'Economic Model'!H$60/100</f>
        <v>0.19624601212121212</v>
      </c>
      <c r="U222" s="93">
        <f t="shared" si="97"/>
        <v>3.0790977665071764</v>
      </c>
      <c r="V222" s="93">
        <f t="shared" si="93"/>
        <v>2.2070607489633169</v>
      </c>
      <c r="W222" s="105"/>
      <c r="X222" s="93"/>
      <c r="Y222" s="93">
        <f>M222-P222-Q222-('Economic Model'!H$50/100)</f>
        <v>0.50482526315789511</v>
      </c>
      <c r="Z222" s="93">
        <f t="shared" si="98"/>
        <v>0.32392526315789549</v>
      </c>
      <c r="AA222" s="93">
        <f t="shared" si="99"/>
        <v>0.12767925103668354</v>
      </c>
      <c r="AB222" s="80"/>
      <c r="AC222" s="80"/>
      <c r="AD222" s="17"/>
      <c r="AE222" s="93">
        <f>'Returns per Bu.'!AD222/'Economic Model'!C$30</f>
        <v>0.44912280701754387</v>
      </c>
      <c r="AF222" s="93">
        <f t="shared" si="100"/>
        <v>1.1340087719298246</v>
      </c>
      <c r="AG222" s="93">
        <f>'Returns per Bu.'!AF222/'Economic Model'!C$30</f>
        <v>1.5831315789473686</v>
      </c>
      <c r="AH222" s="105"/>
      <c r="AI222" s="93"/>
      <c r="AJ222" s="93">
        <f t="shared" si="101"/>
        <v>2.0482315789473686</v>
      </c>
      <c r="AK222" s="93">
        <f t="shared" si="102"/>
        <v>2.2444775910685806</v>
      </c>
      <c r="AL222" s="93"/>
      <c r="AM222" s="104"/>
      <c r="AN222" s="93">
        <f t="shared" si="103"/>
        <v>1.1585454385964913</v>
      </c>
      <c r="AO222" s="93">
        <f t="shared" si="104"/>
        <v>0.96229942647527933</v>
      </c>
      <c r="AP222" s="93">
        <f t="shared" si="105"/>
        <v>0.12767925103668309</v>
      </c>
      <c r="AQ222" s="93">
        <f t="shared" si="106"/>
        <v>0.83462017543859623</v>
      </c>
      <c r="AR222" s="52"/>
      <c r="AS222" s="27"/>
    </row>
    <row r="223" spans="1:45" x14ac:dyDescent="0.2">
      <c r="A223" s="182">
        <v>44866</v>
      </c>
      <c r="B223" s="52"/>
      <c r="C223" s="93">
        <f>Data!D216+'Economic Model'!C$65</f>
        <v>2.4573428571428573</v>
      </c>
      <c r="D223" s="95">
        <f>Data!E216+'Economic Model'!C$66</f>
        <v>220.80124999999998</v>
      </c>
      <c r="E223" s="319">
        <f>Data!F216+'Economic Model'!C$67</f>
        <v>0.77570000000000006</v>
      </c>
      <c r="F223" s="93">
        <f>Data!G216+'Economic Model'!C$68</f>
        <v>6.8072833333333325</v>
      </c>
      <c r="G223" s="96">
        <f>Data!H216+'Economic Model'!C$69</f>
        <v>7.8</v>
      </c>
      <c r="H223" s="85"/>
      <c r="I223" s="16"/>
      <c r="J223" s="93">
        <f t="shared" si="94"/>
        <v>2.4573428571428573</v>
      </c>
      <c r="K223" s="93">
        <f>D223/2000*'Economic Model'!C$32/'Economic Model'!C$30</f>
        <v>0.63528780701754373</v>
      </c>
      <c r="L223" s="319">
        <f>E223*'Economic Model'!C$33/'Economic Model'!C$30</f>
        <v>0.1769140350877193</v>
      </c>
      <c r="M223" s="93">
        <f>J223+K223+L223</f>
        <v>3.2695446992481205</v>
      </c>
      <c r="N223" s="110"/>
      <c r="O223" s="108"/>
      <c r="P223" s="93">
        <f>F223/'Economic Model'!C$30</f>
        <v>2.388520467836257</v>
      </c>
      <c r="Q223" s="93">
        <f>G223/1000*'Economic Model'!C$34</f>
        <v>0.23399999999999999</v>
      </c>
      <c r="R223" s="93">
        <f>('Economic Model'!H$44+'Economic Model'!H$53)/100</f>
        <v>0.21939999999999998</v>
      </c>
      <c r="S223" s="93">
        <f t="shared" si="96"/>
        <v>2.8419204678362568</v>
      </c>
      <c r="T223" s="93">
        <f>'Economic Model'!H$60/100</f>
        <v>0.19624601212121212</v>
      </c>
      <c r="U223" s="93">
        <f t="shared" si="97"/>
        <v>3.0381664799574688</v>
      </c>
      <c r="V223" s="93">
        <f t="shared" si="93"/>
        <v>2.2259646378522056</v>
      </c>
      <c r="W223" s="105"/>
      <c r="X223" s="93"/>
      <c r="Y223" s="93">
        <f>M223-P223-Q223-('Economic Model'!H$50/100)</f>
        <v>0.60852423141186351</v>
      </c>
      <c r="Z223" s="93">
        <f t="shared" si="98"/>
        <v>0.42762423141186368</v>
      </c>
      <c r="AA223" s="93">
        <f t="shared" si="99"/>
        <v>0.23137821929065172</v>
      </c>
      <c r="AB223" s="80"/>
      <c r="AC223" s="80"/>
      <c r="AD223" s="17"/>
      <c r="AE223" s="93">
        <f>'Returns per Bu.'!AD223/'Economic Model'!C$30</f>
        <v>0.44912280701754387</v>
      </c>
      <c r="AF223" s="93">
        <f t="shared" si="100"/>
        <v>1.1340087719298246</v>
      </c>
      <c r="AG223" s="93">
        <f>'Returns per Bu.'!AF223/'Economic Model'!C$30</f>
        <v>1.5831315789473686</v>
      </c>
      <c r="AH223" s="105"/>
      <c r="AI223" s="93"/>
      <c r="AJ223" s="93">
        <f t="shared" si="101"/>
        <v>2.0365315789473684</v>
      </c>
      <c r="AK223" s="93">
        <f t="shared" si="102"/>
        <v>2.2327775910685803</v>
      </c>
      <c r="AL223" s="93"/>
      <c r="AM223" s="104"/>
      <c r="AN223" s="93">
        <f t="shared" si="103"/>
        <v>1.2330131203007522</v>
      </c>
      <c r="AO223" s="93">
        <f t="shared" si="104"/>
        <v>1.0367671081795402</v>
      </c>
      <c r="AP223" s="93">
        <f t="shared" si="105"/>
        <v>0.23137821929065172</v>
      </c>
      <c r="AQ223" s="93">
        <f t="shared" si="106"/>
        <v>0.80538888888888849</v>
      </c>
      <c r="AR223" s="52"/>
      <c r="AS223" s="27"/>
    </row>
    <row r="224" spans="1:45" x14ac:dyDescent="0.2">
      <c r="A224" s="68">
        <v>44896</v>
      </c>
      <c r="B224" s="64"/>
      <c r="C224" s="97">
        <f>Data!D217+'Economic Model'!C$65</f>
        <v>2.1183999999999998</v>
      </c>
      <c r="D224" s="99">
        <f>Data!E217+'Economic Model'!C$66</f>
        <v>244.79000000000002</v>
      </c>
      <c r="E224" s="320">
        <f>Data!F217+'Economic Model'!C$67</f>
        <v>0.68745999999999996</v>
      </c>
      <c r="F224" s="97">
        <f>Data!G217+'Economic Model'!C$68</f>
        <v>6.760990476190476</v>
      </c>
      <c r="G224" s="100">
        <f>Data!H217+'Economic Model'!C$69</f>
        <v>9.25</v>
      </c>
      <c r="H224" s="87"/>
      <c r="I224" s="71"/>
      <c r="J224" s="97">
        <f t="shared" ref="J224:J226" si="107">C224</f>
        <v>2.1183999999999998</v>
      </c>
      <c r="K224" s="97">
        <f>D224/2000*'Economic Model'!C$32/'Economic Model'!C$30</f>
        <v>0.70430807017543851</v>
      </c>
      <c r="L224" s="320">
        <f>E224*'Economic Model'!C$33/'Economic Model'!C$30</f>
        <v>0.15678912280701754</v>
      </c>
      <c r="M224" s="97">
        <f>J224+K224+L224</f>
        <v>2.9794971929824561</v>
      </c>
      <c r="N224" s="113"/>
      <c r="O224" s="111"/>
      <c r="P224" s="97">
        <f>F224/'Economic Model'!C$30</f>
        <v>2.3722773600668337</v>
      </c>
      <c r="Q224" s="97">
        <f>G224/1000*'Economic Model'!C$34</f>
        <v>0.27749999999999997</v>
      </c>
      <c r="R224" s="97">
        <f>('Economic Model'!H$44+'Economic Model'!H$53)/100</f>
        <v>0.21939999999999998</v>
      </c>
      <c r="S224" s="97">
        <f t="shared" ref="S224:S226" si="108">P224+Q224+R224</f>
        <v>2.8691773600668333</v>
      </c>
      <c r="T224" s="97">
        <f>'Economic Model'!H$60/100</f>
        <v>0.19624601212121212</v>
      </c>
      <c r="U224" s="97">
        <f t="shared" ref="U224:U226" si="109">S224+T224</f>
        <v>3.0654233721880453</v>
      </c>
      <c r="V224" s="97">
        <f t="shared" ref="V224:V226" si="110">U224-K224-L224</f>
        <v>2.204326179205589</v>
      </c>
      <c r="W224" s="107"/>
      <c r="X224" s="97"/>
      <c r="Y224" s="97">
        <f>M224-P224-Q224-('Economic Model'!H$50/100)</f>
        <v>0.29121983291562248</v>
      </c>
      <c r="Z224" s="97">
        <f t="shared" ref="Z224:Z226" si="111">M224-S224</f>
        <v>0.11031983291562275</v>
      </c>
      <c r="AA224" s="97">
        <f t="shared" ref="AA224:AA226" si="112">M224-U224</f>
        <v>-8.5926179205589204E-2</v>
      </c>
      <c r="AB224" s="82"/>
      <c r="AC224" s="82"/>
      <c r="AD224" s="65"/>
      <c r="AE224" s="97">
        <f>'Returns per Bu.'!AD224/'Economic Model'!C$30</f>
        <v>0.44912280701754387</v>
      </c>
      <c r="AF224" s="97">
        <f t="shared" ref="AF224:AF226" si="113">AG224-AE224</f>
        <v>1.1340087719298246</v>
      </c>
      <c r="AG224" s="97">
        <f>'Returns per Bu.'!AF224/'Economic Model'!C$30</f>
        <v>1.5831315789473686</v>
      </c>
      <c r="AH224" s="107"/>
      <c r="AI224" s="97"/>
      <c r="AJ224" s="97">
        <f t="shared" ref="AJ224:AJ226" si="114">AG224+Q224+R224</f>
        <v>2.0800315789473682</v>
      </c>
      <c r="AK224" s="97">
        <f t="shared" ref="AK224:AK226" si="115">T224+AJ224</f>
        <v>2.2762775910685802</v>
      </c>
      <c r="AL224" s="97"/>
      <c r="AM224" s="106"/>
      <c r="AN224" s="97">
        <f t="shared" ref="AN224:AN226" si="116">M224-AJ224</f>
        <v>0.89946561403508785</v>
      </c>
      <c r="AO224" s="97">
        <f t="shared" ref="AO224:AO226" si="117">M224-AK224</f>
        <v>0.70321960191387589</v>
      </c>
      <c r="AP224" s="97">
        <f t="shared" ref="AP224:AP226" si="118">AO224-AQ224</f>
        <v>-8.5926179205589204E-2</v>
      </c>
      <c r="AQ224" s="97">
        <f t="shared" ref="AQ224:AQ226" si="119">P224-AG224</f>
        <v>0.7891457811194651</v>
      </c>
      <c r="AR224" s="64"/>
      <c r="AS224" s="27"/>
    </row>
    <row r="225" spans="1:45" x14ac:dyDescent="0.2">
      <c r="A225" s="292">
        <v>44927</v>
      </c>
      <c r="B225" s="62"/>
      <c r="C225" s="101">
        <f>Data!D218+'Economic Model'!C$65</f>
        <v>2.1330333333333336</v>
      </c>
      <c r="D225" s="103">
        <f>Data!E218+'Economic Model'!C$66</f>
        <v>274.33375000000001</v>
      </c>
      <c r="E225" s="319">
        <f>Data!F218+'Economic Model'!C$67</f>
        <v>0.68020000000000003</v>
      </c>
      <c r="F225" s="101">
        <f>Data!G218+'Economic Model'!C$68</f>
        <v>6.8669299999999991</v>
      </c>
      <c r="G225" s="90">
        <f>Data!H218+'Economic Model'!C$69</f>
        <v>10.84</v>
      </c>
      <c r="H225" s="88"/>
      <c r="I225" s="73"/>
      <c r="J225" s="101">
        <f t="shared" si="107"/>
        <v>2.1330333333333336</v>
      </c>
      <c r="K225" s="101">
        <f>D225/2000*'Economic Model'!C$32/'Economic Model'!C$30</f>
        <v>0.78931114035087713</v>
      </c>
      <c r="L225" s="319">
        <f>E225*'Economic Model'!C$33/'Economic Model'!C$30</f>
        <v>0.15513333333333335</v>
      </c>
      <c r="M225" s="101">
        <f t="shared" ref="M225:M226" si="120">J225+K225+L225</f>
        <v>3.0774778070175444</v>
      </c>
      <c r="N225" s="115"/>
      <c r="O225" s="114"/>
      <c r="P225" s="101">
        <f>F225/'Economic Model'!C$30</f>
        <v>2.409449122807017</v>
      </c>
      <c r="Q225" s="101">
        <f>G225/1000*'Economic Model'!C$34</f>
        <v>0.32520000000000004</v>
      </c>
      <c r="R225" s="101">
        <f>('Economic Model'!H$44+'Economic Model'!H$53)/100</f>
        <v>0.21939999999999998</v>
      </c>
      <c r="S225" s="101">
        <f t="shared" si="108"/>
        <v>2.9540491228070169</v>
      </c>
      <c r="T225" s="101">
        <f>'Economic Model'!H$60/100</f>
        <v>0.19624601212121212</v>
      </c>
      <c r="U225" s="101">
        <f t="shared" si="109"/>
        <v>3.1502951349282289</v>
      </c>
      <c r="V225" s="101">
        <f t="shared" si="110"/>
        <v>2.2058506612440185</v>
      </c>
      <c r="W225" s="116"/>
      <c r="X225" s="101"/>
      <c r="Y225" s="101">
        <f>M225-P225-Q225-('Economic Model'!H$50/100)</f>
        <v>0.30432868421052739</v>
      </c>
      <c r="Z225" s="101">
        <f t="shared" si="111"/>
        <v>0.12342868421052744</v>
      </c>
      <c r="AA225" s="101">
        <f t="shared" si="112"/>
        <v>-7.2817327910684515E-2</v>
      </c>
      <c r="AB225" s="293"/>
      <c r="AC225" s="293"/>
      <c r="AD225" s="288"/>
      <c r="AE225" s="101">
        <f>'Returns per Bu.'!AD225/'Economic Model'!C$30</f>
        <v>0.44912280701754387</v>
      </c>
      <c r="AF225" s="101">
        <f t="shared" si="113"/>
        <v>1.1340087719298246</v>
      </c>
      <c r="AG225" s="101">
        <f>'Returns per Bu.'!AF225/'Economic Model'!C$30</f>
        <v>1.5831315789473686</v>
      </c>
      <c r="AH225" s="116"/>
      <c r="AI225" s="101"/>
      <c r="AJ225" s="101">
        <f t="shared" si="114"/>
        <v>2.1277315789473685</v>
      </c>
      <c r="AK225" s="101">
        <f t="shared" si="115"/>
        <v>2.3239775910685805</v>
      </c>
      <c r="AL225" s="101"/>
      <c r="AM225" s="117"/>
      <c r="AN225" s="101">
        <f t="shared" si="116"/>
        <v>0.94974622807017584</v>
      </c>
      <c r="AO225" s="101">
        <f t="shared" si="117"/>
        <v>0.75350021594896388</v>
      </c>
      <c r="AP225" s="101">
        <f t="shared" si="118"/>
        <v>-7.2817327910684515E-2</v>
      </c>
      <c r="AQ225" s="101">
        <f t="shared" si="119"/>
        <v>0.8263175438596484</v>
      </c>
      <c r="AR225" s="62"/>
      <c r="AS225" s="27"/>
    </row>
    <row r="226" spans="1:45" x14ac:dyDescent="0.2">
      <c r="A226" s="182">
        <v>44958</v>
      </c>
      <c r="B226" s="52"/>
      <c r="C226" s="93">
        <f>Data!D219+'Economic Model'!C$65</f>
        <v>2.0254249999999998</v>
      </c>
      <c r="D226" s="95">
        <f>Data!E219+'Economic Model'!C$66</f>
        <v>268.04124999999999</v>
      </c>
      <c r="E226" s="319">
        <f>Data!F219+'Economic Model'!C$67</f>
        <v>0.63124999999999998</v>
      </c>
      <c r="F226" s="93">
        <f>Data!G219+'Economic Model'!C$68</f>
        <v>6.8781421052631577</v>
      </c>
      <c r="G226" s="96">
        <f>Data!H219+'Economic Model'!C$69</f>
        <v>9.7799999999999994</v>
      </c>
      <c r="H226" s="85"/>
      <c r="I226" s="16"/>
      <c r="J226" s="93">
        <f t="shared" si="107"/>
        <v>2.0254249999999998</v>
      </c>
      <c r="K226" s="93">
        <f>D226/2000*'Economic Model'!C$32/'Economic Model'!C$30</f>
        <v>0.7712064035087719</v>
      </c>
      <c r="L226" s="319">
        <f>E226*'Economic Model'!C$33/'Economic Model'!C$30</f>
        <v>0.14396929824561405</v>
      </c>
      <c r="M226" s="93">
        <f t="shared" si="120"/>
        <v>2.940600701754386</v>
      </c>
      <c r="N226" s="110"/>
      <c r="O226" s="108"/>
      <c r="P226" s="93">
        <f>F226/'Economic Model'!C$30</f>
        <v>2.4133831948291782</v>
      </c>
      <c r="Q226" s="93">
        <f>G226/1000*'Economic Model'!C$34</f>
        <v>0.29339999999999994</v>
      </c>
      <c r="R226" s="93">
        <f>('Economic Model'!H$44+'Economic Model'!H$53)/100</f>
        <v>0.21939999999999998</v>
      </c>
      <c r="S226" s="93">
        <f t="shared" si="108"/>
        <v>2.9261831948291781</v>
      </c>
      <c r="T226" s="93">
        <f>'Economic Model'!H$60/100</f>
        <v>0.19624601212121212</v>
      </c>
      <c r="U226" s="93">
        <f t="shared" si="109"/>
        <v>3.1224292069503901</v>
      </c>
      <c r="V226" s="93">
        <f t="shared" si="110"/>
        <v>2.2072535051960038</v>
      </c>
      <c r="W226" s="105"/>
      <c r="X226" s="93"/>
      <c r="Y226" s="93">
        <f>M226-P226-Q226-('Economic Model'!H$50/100)</f>
        <v>0.19531750692520791</v>
      </c>
      <c r="Z226" s="93">
        <f t="shared" si="111"/>
        <v>1.4417506925207935E-2</v>
      </c>
      <c r="AA226" s="93">
        <f t="shared" si="112"/>
        <v>-0.18182850519600402</v>
      </c>
      <c r="AB226" s="80"/>
      <c r="AC226" s="80"/>
      <c r="AD226" s="17"/>
      <c r="AE226" s="93">
        <f>'Returns per Bu.'!AD226/'Economic Model'!C$30</f>
        <v>0.44912280701754387</v>
      </c>
      <c r="AF226" s="93">
        <f t="shared" si="113"/>
        <v>1.1340087719298246</v>
      </c>
      <c r="AG226" s="93">
        <f>'Returns per Bu.'!AF226/'Economic Model'!C$30</f>
        <v>1.5831315789473686</v>
      </c>
      <c r="AH226" s="105"/>
      <c r="AI226" s="93"/>
      <c r="AJ226" s="93">
        <f t="shared" si="114"/>
        <v>2.0959315789473685</v>
      </c>
      <c r="AK226" s="93">
        <f t="shared" si="115"/>
        <v>2.2921775910685804</v>
      </c>
      <c r="AL226" s="93"/>
      <c r="AM226" s="104"/>
      <c r="AN226" s="93">
        <f t="shared" si="116"/>
        <v>0.84466912280701756</v>
      </c>
      <c r="AO226" s="93">
        <f t="shared" si="117"/>
        <v>0.6484231106858056</v>
      </c>
      <c r="AP226" s="93">
        <f t="shared" si="118"/>
        <v>-0.18182850519600402</v>
      </c>
      <c r="AQ226" s="93">
        <f t="shared" si="119"/>
        <v>0.83025161588180962</v>
      </c>
      <c r="AR226" s="52"/>
      <c r="AS226" s="27"/>
    </row>
    <row r="227" spans="1:45" x14ac:dyDescent="0.2">
      <c r="A227" s="182">
        <v>44986</v>
      </c>
      <c r="B227" s="52"/>
      <c r="C227" s="93">
        <f>Data!D220+'Economic Model'!C$65</f>
        <v>2.1003999999999996</v>
      </c>
      <c r="D227" s="95">
        <f>Data!E220+'Economic Model'!C$66</f>
        <v>249.227</v>
      </c>
      <c r="E227" s="319">
        <f>Data!F220+'Economic Model'!C$67</f>
        <v>0.55728</v>
      </c>
      <c r="F227" s="93">
        <f>Data!G220+'Economic Model'!C$68</f>
        <v>6.567354347826087</v>
      </c>
      <c r="G227" s="96">
        <f>Data!H220+'Economic Model'!C$69</f>
        <v>7.62</v>
      </c>
      <c r="H227" s="85"/>
      <c r="I227" s="16"/>
      <c r="J227" s="93">
        <f t="shared" ref="J227:J228" si="121">C227</f>
        <v>2.1003999999999996</v>
      </c>
      <c r="K227" s="93">
        <f>D227/2000*'Economic Model'!C$32/'Economic Model'!C$30</f>
        <v>0.71707417543859642</v>
      </c>
      <c r="L227" s="319">
        <f>E227*'Economic Model'!C$33/'Economic Model'!C$30</f>
        <v>0.12709894736842106</v>
      </c>
      <c r="M227" s="93">
        <f t="shared" ref="M227:M228" si="122">J227+K227+L227</f>
        <v>2.9445731228070171</v>
      </c>
      <c r="N227" s="110"/>
      <c r="O227" s="108"/>
      <c r="P227" s="93">
        <f>F227/'Economic Model'!C$30</f>
        <v>2.3043348588863464</v>
      </c>
      <c r="Q227" s="93">
        <f>G227/1000*'Economic Model'!C$34</f>
        <v>0.2286</v>
      </c>
      <c r="R227" s="93">
        <f>('Economic Model'!H$44+'Economic Model'!H$53)/100</f>
        <v>0.21939999999999998</v>
      </c>
      <c r="S227" s="93">
        <f t="shared" ref="S227:S228" si="123">P227+Q227+R227</f>
        <v>2.7523348588863463</v>
      </c>
      <c r="T227" s="93">
        <f>'Economic Model'!H$60/100</f>
        <v>0.19624601212121212</v>
      </c>
      <c r="U227" s="93">
        <f t="shared" ref="U227:U228" si="124">S227+T227</f>
        <v>2.9485808710075583</v>
      </c>
      <c r="V227" s="93">
        <f t="shared" ref="V227:V228" si="125">U227-K227-L227</f>
        <v>2.1044077482005408</v>
      </c>
      <c r="W227" s="105"/>
      <c r="X227" s="93"/>
      <c r="Y227" s="93">
        <f>M227-P227-Q227-('Economic Model'!H$50/100)</f>
        <v>0.37313826392067073</v>
      </c>
      <c r="Z227" s="93">
        <f t="shared" ref="Z227:Z228" si="126">M227-S227</f>
        <v>0.19223826392067078</v>
      </c>
      <c r="AA227" s="93">
        <f t="shared" ref="AA227:AA228" si="127">M227-U227</f>
        <v>-4.0077482005411724E-3</v>
      </c>
      <c r="AB227" s="80"/>
      <c r="AC227" s="80"/>
      <c r="AD227" s="17"/>
      <c r="AE227" s="93">
        <f>'Returns per Bu.'!AD227/'Economic Model'!C$30</f>
        <v>0.44912280701754387</v>
      </c>
      <c r="AF227" s="93">
        <f t="shared" ref="AF227:AF228" si="128">AG227-AE227</f>
        <v>1.1340087719298246</v>
      </c>
      <c r="AG227" s="93">
        <f>'Returns per Bu.'!AF227/'Economic Model'!C$30</f>
        <v>1.5831315789473686</v>
      </c>
      <c r="AH227" s="105"/>
      <c r="AI227" s="93"/>
      <c r="AJ227" s="93">
        <f t="shared" ref="AJ227:AJ228" si="129">AG227+Q227+R227</f>
        <v>2.0311315789473685</v>
      </c>
      <c r="AK227" s="93">
        <f t="shared" ref="AK227:AK228" si="130">T227+AJ227</f>
        <v>2.2273775910685805</v>
      </c>
      <c r="AL227" s="93"/>
      <c r="AM227" s="104"/>
      <c r="AN227" s="93">
        <f t="shared" ref="AN227:AN228" si="131">M227-AJ227</f>
        <v>0.9134415438596486</v>
      </c>
      <c r="AO227" s="93">
        <f t="shared" ref="AO227:AO228" si="132">M227-AK227</f>
        <v>0.71719553173843664</v>
      </c>
      <c r="AP227" s="93">
        <f t="shared" ref="AP227:AP228" si="133">AO227-AQ227</f>
        <v>-4.0077482005411724E-3</v>
      </c>
      <c r="AQ227" s="93">
        <f t="shared" ref="AQ227:AQ228" si="134">P227-AG227</f>
        <v>0.72120327993897781</v>
      </c>
      <c r="AR227" s="52"/>
      <c r="AS227" s="27"/>
    </row>
    <row r="228" spans="1:45" x14ac:dyDescent="0.2">
      <c r="A228" s="182">
        <v>45017</v>
      </c>
      <c r="B228" s="52"/>
      <c r="C228" s="93">
        <f>Data!D221+'Economic Model'!C$65</f>
        <v>2.3316833333333333</v>
      </c>
      <c r="D228" s="95">
        <f>Data!E221+'Economic Model'!C$66</f>
        <v>245.10375000000002</v>
      </c>
      <c r="E228" s="319">
        <f>Data!F221+'Economic Model'!C$67</f>
        <v>0.53957500000000003</v>
      </c>
      <c r="F228" s="93">
        <f>Data!G221+'Economic Model'!C$68</f>
        <v>6.7493999999999987</v>
      </c>
      <c r="G228" s="96">
        <f>Data!H221+'Economic Model'!C$69</f>
        <v>6.17</v>
      </c>
      <c r="H228" s="85"/>
      <c r="I228" s="16"/>
      <c r="J228" s="93">
        <f t="shared" si="121"/>
        <v>2.3316833333333333</v>
      </c>
      <c r="K228" s="93">
        <f>D228/2000*'Economic Model'!C$32/'Economic Model'!C$30</f>
        <v>0.70521078947368421</v>
      </c>
      <c r="L228" s="319">
        <f>E228*'Economic Model'!C$33/'Economic Model'!C$30</f>
        <v>0.12306096491228072</v>
      </c>
      <c r="M228" s="93">
        <f t="shared" si="122"/>
        <v>3.1599550877192986</v>
      </c>
      <c r="N228" s="110"/>
      <c r="O228" s="108"/>
      <c r="P228" s="93">
        <f>F228/'Economic Model'!C$30</f>
        <v>2.3682105263157891</v>
      </c>
      <c r="Q228" s="93">
        <f>G228/1000*'Economic Model'!C$34</f>
        <v>0.18510000000000001</v>
      </c>
      <c r="R228" s="93">
        <f>('Economic Model'!H$44+'Economic Model'!H$53)/100</f>
        <v>0.21939999999999998</v>
      </c>
      <c r="S228" s="93">
        <f t="shared" si="123"/>
        <v>2.7727105263157887</v>
      </c>
      <c r="T228" s="93">
        <f>'Economic Model'!H$60/100</f>
        <v>0.19624601212121212</v>
      </c>
      <c r="U228" s="93">
        <f t="shared" si="124"/>
        <v>2.9689565384370007</v>
      </c>
      <c r="V228" s="93">
        <f t="shared" si="125"/>
        <v>2.1406847840510355</v>
      </c>
      <c r="W228" s="105"/>
      <c r="X228" s="93"/>
      <c r="Y228" s="93">
        <f>M228-P228-Q228-('Economic Model'!H$50/100)</f>
        <v>0.56814456140350944</v>
      </c>
      <c r="Z228" s="93">
        <f t="shared" si="126"/>
        <v>0.38724456140350982</v>
      </c>
      <c r="AA228" s="93">
        <f t="shared" si="127"/>
        <v>0.19099854928229787</v>
      </c>
      <c r="AB228" s="80"/>
      <c r="AC228" s="80"/>
      <c r="AD228" s="17"/>
      <c r="AE228" s="93">
        <f>'Returns per Bu.'!AD228/'Economic Model'!C$30</f>
        <v>0.44912280701754387</v>
      </c>
      <c r="AF228" s="93">
        <f t="shared" si="128"/>
        <v>1.1340087719298246</v>
      </c>
      <c r="AG228" s="93">
        <f>'Returns per Bu.'!AF228/'Economic Model'!C$30</f>
        <v>1.5831315789473686</v>
      </c>
      <c r="AH228" s="105"/>
      <c r="AI228" s="93"/>
      <c r="AJ228" s="93">
        <f t="shared" si="129"/>
        <v>1.9876315789473686</v>
      </c>
      <c r="AK228" s="93">
        <f t="shared" si="130"/>
        <v>2.1838775910685806</v>
      </c>
      <c r="AL228" s="93"/>
      <c r="AM228" s="104"/>
      <c r="AN228" s="93">
        <f t="shared" si="131"/>
        <v>1.1723235087719299</v>
      </c>
      <c r="AO228" s="93">
        <f t="shared" si="132"/>
        <v>0.97607749665071797</v>
      </c>
      <c r="AP228" s="93">
        <f t="shared" si="133"/>
        <v>0.19099854928229743</v>
      </c>
      <c r="AQ228" s="93">
        <f t="shared" si="134"/>
        <v>0.78507894736842054</v>
      </c>
      <c r="AR228" s="52"/>
      <c r="AS228" s="27"/>
    </row>
    <row r="229" spans="1:45" x14ac:dyDescent="0.2">
      <c r="A229" s="182">
        <v>45047</v>
      </c>
      <c r="B229" s="52"/>
      <c r="C229" s="93">
        <f>Data!D222+'Economic Model'!C$65</f>
        <v>2.3174333333333332</v>
      </c>
      <c r="D229" s="95">
        <f>Data!E222+'Economic Model'!C$66</f>
        <v>229.10124999999999</v>
      </c>
      <c r="E229" s="319">
        <f>Data!F222+'Economic Model'!C$67</f>
        <v>0.55210000000000004</v>
      </c>
      <c r="F229" s="93">
        <f>Data!G222+'Economic Model'!C$68</f>
        <v>6.3973863636363628</v>
      </c>
      <c r="G229" s="96">
        <f>Data!H222+'Economic Model'!C$69</f>
        <v>5.93</v>
      </c>
      <c r="H229" s="85"/>
      <c r="I229" s="16"/>
      <c r="J229" s="93">
        <f t="shared" ref="J229:J230" si="135">C229</f>
        <v>2.3174333333333332</v>
      </c>
      <c r="K229" s="93">
        <f>D229/2000*'Economic Model'!C$32/'Economic Model'!C$30</f>
        <v>0.65916850877192978</v>
      </c>
      <c r="L229" s="319">
        <f>E229*'Economic Model'!C$33/'Economic Model'!C$30</f>
        <v>0.12591754385964912</v>
      </c>
      <c r="M229" s="93">
        <f t="shared" ref="M229:M230" si="136">J229+K229+L229</f>
        <v>3.1025193859649121</v>
      </c>
      <c r="N229" s="110"/>
      <c r="O229" s="108"/>
      <c r="P229" s="93">
        <f>F229/'Economic Model'!C$30</f>
        <v>2.2446969696969692</v>
      </c>
      <c r="Q229" s="93">
        <f>G229/1000*'Economic Model'!C$34</f>
        <v>0.17789999999999997</v>
      </c>
      <c r="R229" s="93">
        <f>('Economic Model'!H$44+'Economic Model'!H$53)/100</f>
        <v>0.21939999999999998</v>
      </c>
      <c r="S229" s="93">
        <f t="shared" ref="S229:S230" si="137">P229+Q229+R229</f>
        <v>2.6419969696969692</v>
      </c>
      <c r="T229" s="93">
        <f>'Economic Model'!H$60/100</f>
        <v>0.19624601212121212</v>
      </c>
      <c r="U229" s="93">
        <f t="shared" ref="U229:U230" si="138">S229+T229</f>
        <v>2.8382429818181811</v>
      </c>
      <c r="V229" s="93">
        <f t="shared" ref="V229:V230" si="139">U229-K229-L229</f>
        <v>2.0531569291866023</v>
      </c>
      <c r="W229" s="105"/>
      <c r="X229" s="93"/>
      <c r="Y229" s="93">
        <f>M229-P229-Q229-('Economic Model'!H$50/100)</f>
        <v>0.64142241626794294</v>
      </c>
      <c r="Z229" s="93">
        <f t="shared" ref="Z229:Z230" si="140">M229-S229</f>
        <v>0.46052241626794288</v>
      </c>
      <c r="AA229" s="93">
        <f t="shared" ref="AA229:AA230" si="141">M229-U229</f>
        <v>0.26427640414673093</v>
      </c>
      <c r="AB229" s="80"/>
      <c r="AC229" s="80"/>
      <c r="AD229" s="17"/>
      <c r="AE229" s="93">
        <f>'Returns per Bu.'!AD229/'Economic Model'!C$30</f>
        <v>0.44912280701754387</v>
      </c>
      <c r="AF229" s="93">
        <f t="shared" ref="AF229:AF230" si="142">AG229-AE229</f>
        <v>1.1340087719298246</v>
      </c>
      <c r="AG229" s="93">
        <f>'Returns per Bu.'!AF229/'Economic Model'!C$30</f>
        <v>1.5831315789473686</v>
      </c>
      <c r="AH229" s="105"/>
      <c r="AI229" s="93"/>
      <c r="AJ229" s="93">
        <f t="shared" ref="AJ229:AJ230" si="143">AG229+Q229+R229</f>
        <v>1.9804315789473685</v>
      </c>
      <c r="AK229" s="93">
        <f t="shared" ref="AK229:AK230" si="144">T229+AJ229</f>
        <v>2.1766775910685805</v>
      </c>
      <c r="AL229" s="93"/>
      <c r="AM229" s="104"/>
      <c r="AN229" s="93">
        <f t="shared" ref="AN229:AN230" si="145">M229-AJ229</f>
        <v>1.1220878070175435</v>
      </c>
      <c r="AO229" s="93">
        <f t="shared" ref="AO229:AO230" si="146">M229-AK229</f>
        <v>0.92584179489633156</v>
      </c>
      <c r="AP229" s="93">
        <f t="shared" ref="AP229:AP230" si="147">AO229-AQ229</f>
        <v>0.26427640414673093</v>
      </c>
      <c r="AQ229" s="93">
        <f t="shared" ref="AQ229:AQ230" si="148">P229-AG229</f>
        <v>0.66156539074960063</v>
      </c>
      <c r="AR229" s="52"/>
      <c r="AS229" s="27"/>
    </row>
    <row r="230" spans="1:45" x14ac:dyDescent="0.2">
      <c r="A230" s="182">
        <v>45078</v>
      </c>
      <c r="B230" s="52"/>
      <c r="C230" s="93">
        <f>Data!D223+'Economic Model'!C$65</f>
        <v>2.3866142857142854</v>
      </c>
      <c r="D230" s="95">
        <f>Data!E223+'Economic Model'!C$66</f>
        <v>199.54599999999999</v>
      </c>
      <c r="E230" s="319">
        <f>Data!F223+'Economic Model'!C$67</f>
        <v>0.57003999999999999</v>
      </c>
      <c r="F230" s="93">
        <f>Data!G223+'Economic Model'!C$68</f>
        <v>6.5461833333333352</v>
      </c>
      <c r="G230" s="96">
        <f>Data!H223+'Economic Model'!C$69</f>
        <v>5.97</v>
      </c>
      <c r="H230" s="85"/>
      <c r="I230" s="16"/>
      <c r="J230" s="93">
        <f t="shared" si="135"/>
        <v>2.3866142857142854</v>
      </c>
      <c r="K230" s="93">
        <f>D230/2000*'Economic Model'!C$32/'Economic Model'!C$30</f>
        <v>0.57413235087719294</v>
      </c>
      <c r="L230" s="319">
        <f>E230*'Economic Model'!C$33/'Economic Model'!C$30</f>
        <v>0.13000912280701754</v>
      </c>
      <c r="M230" s="93">
        <f t="shared" si="136"/>
        <v>3.0907557593984962</v>
      </c>
      <c r="N230" s="110"/>
      <c r="O230" s="108"/>
      <c r="P230" s="93">
        <f>F230/'Economic Model'!C$30</f>
        <v>2.2969064327485387</v>
      </c>
      <c r="Q230" s="93">
        <f>G230/1000*'Economic Model'!C$34</f>
        <v>0.17909999999999998</v>
      </c>
      <c r="R230" s="93">
        <f>('Economic Model'!H$44+'Economic Model'!H$53)/100</f>
        <v>0.21939999999999998</v>
      </c>
      <c r="S230" s="93">
        <f t="shared" si="137"/>
        <v>2.6954064327485385</v>
      </c>
      <c r="T230" s="93">
        <f>'Economic Model'!H$60/100</f>
        <v>0.19624601212121212</v>
      </c>
      <c r="U230" s="93">
        <f t="shared" si="138"/>
        <v>2.8916524448697505</v>
      </c>
      <c r="V230" s="93">
        <f t="shared" si="139"/>
        <v>2.1875109711855401</v>
      </c>
      <c r="W230" s="105"/>
      <c r="X230" s="93"/>
      <c r="Y230" s="93">
        <f>M230-P230-Q230-('Economic Model'!H$50/100)</f>
        <v>0.57624932664995754</v>
      </c>
      <c r="Z230" s="93">
        <f t="shared" si="140"/>
        <v>0.3953493266499577</v>
      </c>
      <c r="AA230" s="93">
        <f t="shared" si="141"/>
        <v>0.19910331452874575</v>
      </c>
      <c r="AB230" s="80"/>
      <c r="AC230" s="80"/>
      <c r="AD230" s="17"/>
      <c r="AE230" s="93">
        <f>'Returns per Bu.'!AD230/'Economic Model'!C$30</f>
        <v>0.44912280701754387</v>
      </c>
      <c r="AF230" s="93">
        <f t="shared" si="142"/>
        <v>1.1340087719298246</v>
      </c>
      <c r="AG230" s="93">
        <f>'Returns per Bu.'!AF230/'Economic Model'!C$30</f>
        <v>1.5831315789473686</v>
      </c>
      <c r="AH230" s="105"/>
      <c r="AI230" s="93"/>
      <c r="AJ230" s="93">
        <f t="shared" si="143"/>
        <v>1.9816315789473686</v>
      </c>
      <c r="AK230" s="93">
        <f t="shared" si="144"/>
        <v>2.1778775910685808</v>
      </c>
      <c r="AL230" s="93"/>
      <c r="AM230" s="104"/>
      <c r="AN230" s="93">
        <f t="shared" si="145"/>
        <v>1.1091241804511276</v>
      </c>
      <c r="AO230" s="93">
        <f t="shared" si="146"/>
        <v>0.91287816832991542</v>
      </c>
      <c r="AP230" s="93">
        <f t="shared" si="147"/>
        <v>0.1991033145287453</v>
      </c>
      <c r="AQ230" s="93">
        <f t="shared" si="148"/>
        <v>0.71377485380117012</v>
      </c>
      <c r="AR230" s="52"/>
      <c r="AS230" s="27"/>
    </row>
    <row r="231" spans="1:45" x14ac:dyDescent="0.2">
      <c r="A231" s="182">
        <v>45108</v>
      </c>
      <c r="B231" s="52"/>
      <c r="C231" s="93">
        <f>Data!D224+'Economic Model'!C$65</f>
        <v>2.368525</v>
      </c>
      <c r="D231" s="95">
        <f>Data!E224+'Economic Model'!C$66</f>
        <v>191.92875000000001</v>
      </c>
      <c r="E231" s="319">
        <f>Data!F224+'Economic Model'!C$67</f>
        <v>0.650725</v>
      </c>
      <c r="F231" s="93">
        <f>Data!G224+'Economic Model'!C$68</f>
        <v>5.9301549999999992</v>
      </c>
      <c r="G231" s="96">
        <f>Data!H224+'Economic Model'!C$69</f>
        <v>6.26</v>
      </c>
      <c r="H231" s="85"/>
      <c r="I231" s="16"/>
      <c r="J231" s="93">
        <f t="shared" ref="J231:J232" si="149">C231</f>
        <v>2.368525</v>
      </c>
      <c r="K231" s="93">
        <f>D231/2000*'Economic Model'!C$32/'Economic Model'!C$30</f>
        <v>0.55221605263157891</v>
      </c>
      <c r="L231" s="319">
        <f>E231*'Economic Model'!C$33/'Economic Model'!C$30</f>
        <v>0.1484109649122807</v>
      </c>
      <c r="M231" s="93">
        <f t="shared" ref="M231:M232" si="150">J231+K231+L231</f>
        <v>3.0691520175438596</v>
      </c>
      <c r="N231" s="110"/>
      <c r="O231" s="108"/>
      <c r="P231" s="93">
        <f>F231/'Economic Model'!C$30</f>
        <v>2.0807561403508767</v>
      </c>
      <c r="Q231" s="93">
        <f>G231/1000*'Economic Model'!C$34</f>
        <v>0.18779999999999999</v>
      </c>
      <c r="R231" s="93">
        <f>('Economic Model'!H$44+'Economic Model'!H$53)/100</f>
        <v>0.21939999999999998</v>
      </c>
      <c r="S231" s="93">
        <f t="shared" ref="S231:S232" si="151">P231+Q231+R231</f>
        <v>2.4879561403508768</v>
      </c>
      <c r="T231" s="93">
        <f>'Economic Model'!H$60/100</f>
        <v>0.19624601212121212</v>
      </c>
      <c r="U231" s="93">
        <f t="shared" ref="U231:U232" si="152">S231+T231</f>
        <v>2.6842021524720887</v>
      </c>
      <c r="V231" s="93">
        <f t="shared" ref="V231:V232" si="153">U231-K231-L231</f>
        <v>1.9835751349282289</v>
      </c>
      <c r="W231" s="105"/>
      <c r="X231" s="93"/>
      <c r="Y231" s="93">
        <f>M231-P231-Q231-('Economic Model'!H$50/100)</f>
        <v>0.76209587719298288</v>
      </c>
      <c r="Z231" s="93">
        <f t="shared" ref="Z231:Z232" si="154">M231-S231</f>
        <v>0.58119587719298282</v>
      </c>
      <c r="AA231" s="93">
        <f t="shared" ref="AA231:AA232" si="155">M231-U231</f>
        <v>0.38494986507177087</v>
      </c>
      <c r="AB231" s="80"/>
      <c r="AC231" s="80"/>
      <c r="AD231" s="17"/>
      <c r="AE231" s="93">
        <f>'Returns per Bu.'!AD231/'Economic Model'!C$30</f>
        <v>0.44912280701754387</v>
      </c>
      <c r="AF231" s="93">
        <f t="shared" ref="AF231:AF232" si="156">AG231-AE231</f>
        <v>1.1340087719298246</v>
      </c>
      <c r="AG231" s="93">
        <f>'Returns per Bu.'!AF231/'Economic Model'!C$30</f>
        <v>1.5831315789473686</v>
      </c>
      <c r="AH231" s="105"/>
      <c r="AI231" s="93"/>
      <c r="AJ231" s="93">
        <f t="shared" ref="AJ231:AJ232" si="157">AG231+Q231+R231</f>
        <v>1.9903315789473686</v>
      </c>
      <c r="AK231" s="93">
        <f t="shared" ref="AK231:AK232" si="158">T231+AJ231</f>
        <v>2.1865775910685805</v>
      </c>
      <c r="AL231" s="93"/>
      <c r="AM231" s="104"/>
      <c r="AN231" s="93">
        <f t="shared" ref="AN231:AN232" si="159">M231-AJ231</f>
        <v>1.078820438596491</v>
      </c>
      <c r="AO231" s="93">
        <f t="shared" ref="AO231:AO232" si="160">M231-AK231</f>
        <v>0.88257442647527906</v>
      </c>
      <c r="AP231" s="93">
        <f t="shared" ref="AP231:AP232" si="161">AO231-AQ231</f>
        <v>0.38494986507177087</v>
      </c>
      <c r="AQ231" s="93">
        <f t="shared" ref="AQ231:AQ232" si="162">P231-AG231</f>
        <v>0.49762456140350819</v>
      </c>
      <c r="AR231" s="52"/>
      <c r="AS231" s="27"/>
    </row>
    <row r="232" spans="1:45" x14ac:dyDescent="0.2">
      <c r="A232" s="182">
        <v>45139</v>
      </c>
      <c r="B232" s="52"/>
      <c r="C232" s="93">
        <f>Data!D225+'Economic Model'!C$65</f>
        <v>2.1169799999999999</v>
      </c>
      <c r="D232" s="95">
        <f>Data!E225+'Economic Model'!C$66</f>
        <v>190.86374999999998</v>
      </c>
      <c r="E232" s="319">
        <f>Data!F225+'Economic Model'!C$67</f>
        <v>0.68402499999999988</v>
      </c>
      <c r="F232" s="93">
        <f>Data!G225+'Economic Model'!C$68</f>
        <v>5.5886043478260872</v>
      </c>
      <c r="G232" s="96">
        <f>Data!H225+'Economic Model'!C$69</f>
        <v>6.05</v>
      </c>
      <c r="H232" s="85"/>
      <c r="I232" s="16"/>
      <c r="J232" s="93">
        <f t="shared" si="149"/>
        <v>2.1169799999999999</v>
      </c>
      <c r="K232" s="93">
        <f>D232/2000*'Economic Model'!C$32/'Economic Model'!C$30</f>
        <v>0.54915184210526302</v>
      </c>
      <c r="L232" s="319">
        <f>E232*'Economic Model'!C$33/'Economic Model'!C$30</f>
        <v>0.15600570175438594</v>
      </c>
      <c r="M232" s="93">
        <f t="shared" si="150"/>
        <v>2.822137543859649</v>
      </c>
      <c r="N232" s="110"/>
      <c r="O232" s="108"/>
      <c r="P232" s="93">
        <f>F232/'Economic Model'!C$30</f>
        <v>1.9609138062547673</v>
      </c>
      <c r="Q232" s="93">
        <f>G232/1000*'Economic Model'!C$34</f>
        <v>0.18149999999999999</v>
      </c>
      <c r="R232" s="93">
        <f>('Economic Model'!H$44+'Economic Model'!H$53)/100</f>
        <v>0.21939999999999998</v>
      </c>
      <c r="S232" s="93">
        <f t="shared" si="151"/>
        <v>2.3618138062547671</v>
      </c>
      <c r="T232" s="93">
        <f>'Economic Model'!H$60/100</f>
        <v>0.19624601212121212</v>
      </c>
      <c r="U232" s="93">
        <f t="shared" si="152"/>
        <v>2.5580598183759791</v>
      </c>
      <c r="V232" s="93">
        <f t="shared" si="153"/>
        <v>1.8529022745163302</v>
      </c>
      <c r="W232" s="105"/>
      <c r="X232" s="93"/>
      <c r="Y232" s="93">
        <f>M232-P232-Q232-('Economic Model'!H$50/100)</f>
        <v>0.64122373760488172</v>
      </c>
      <c r="Z232" s="93">
        <f t="shared" si="154"/>
        <v>0.46032373760488188</v>
      </c>
      <c r="AA232" s="93">
        <f t="shared" si="155"/>
        <v>0.26407772548366992</v>
      </c>
      <c r="AB232" s="80"/>
      <c r="AC232" s="80"/>
      <c r="AD232" s="17"/>
      <c r="AE232" s="93">
        <f>'Returns per Bu.'!AD232/'Economic Model'!C$30</f>
        <v>0.44912280701754387</v>
      </c>
      <c r="AF232" s="93">
        <f t="shared" si="156"/>
        <v>1.1340087719298246</v>
      </c>
      <c r="AG232" s="93">
        <f>'Returns per Bu.'!AF232/'Economic Model'!C$30</f>
        <v>1.5831315789473686</v>
      </c>
      <c r="AH232" s="105"/>
      <c r="AI232" s="93"/>
      <c r="AJ232" s="93">
        <f t="shared" si="157"/>
        <v>1.9840315789473686</v>
      </c>
      <c r="AK232" s="93">
        <f t="shared" si="158"/>
        <v>2.1802775910685805</v>
      </c>
      <c r="AL232" s="93"/>
      <c r="AM232" s="104"/>
      <c r="AN232" s="93">
        <f t="shared" si="159"/>
        <v>0.8381059649122804</v>
      </c>
      <c r="AO232" s="93">
        <f t="shared" si="160"/>
        <v>0.64185995279106844</v>
      </c>
      <c r="AP232" s="93">
        <f t="shared" si="161"/>
        <v>0.2640777254836697</v>
      </c>
      <c r="AQ232" s="93">
        <f t="shared" si="162"/>
        <v>0.37778222730739874</v>
      </c>
      <c r="AR232" s="52"/>
      <c r="AS232" s="27"/>
    </row>
    <row r="233" spans="1:45" x14ac:dyDescent="0.2">
      <c r="A233" s="182">
        <v>45170</v>
      </c>
      <c r="B233" s="52"/>
      <c r="C233" s="93">
        <f>Data!D226+'Economic Model'!C$65</f>
        <v>2.205888888888889</v>
      </c>
      <c r="D233" s="95">
        <f>Data!E226+'Economic Model'!C$66</f>
        <v>189.80699999999999</v>
      </c>
      <c r="E233" s="319">
        <f>Data!F226+'Economic Model'!C$67</f>
        <v>0.6765000000000001</v>
      </c>
      <c r="F233" s="93">
        <f>Data!G226+'Economic Model'!C$68</f>
        <v>4.8854025000000005</v>
      </c>
      <c r="G233" s="96">
        <f>Data!H226+'Economic Model'!C$69</f>
        <v>5.1100000000000003</v>
      </c>
      <c r="H233" s="85"/>
      <c r="I233" s="16"/>
      <c r="J233" s="93">
        <f t="shared" ref="J233:J235" si="163">C233</f>
        <v>2.205888888888889</v>
      </c>
      <c r="K233" s="93">
        <f>D233/2000*'Economic Model'!C$32/'Economic Model'!C$30</f>
        <v>0.54611136842105257</v>
      </c>
      <c r="L233" s="319">
        <f>E233*'Economic Model'!C$33/'Economic Model'!C$30</f>
        <v>0.15428947368421056</v>
      </c>
      <c r="M233" s="93">
        <f t="shared" ref="M233:M235" si="164">J233+K233+L233</f>
        <v>2.906289730994152</v>
      </c>
      <c r="N233" s="110"/>
      <c r="O233" s="108"/>
      <c r="P233" s="93">
        <f>F233/'Economic Model'!C$30</f>
        <v>1.7141763157894738</v>
      </c>
      <c r="Q233" s="93">
        <f>G233/1000*'Economic Model'!C$34</f>
        <v>0.15329999999999999</v>
      </c>
      <c r="R233" s="93">
        <f>('Economic Model'!H$44+'Economic Model'!H$53)/100</f>
        <v>0.21939999999999998</v>
      </c>
      <c r="S233" s="93">
        <f t="shared" ref="S233:S235" si="165">P233+Q233+R233</f>
        <v>2.0868763157894739</v>
      </c>
      <c r="T233" s="93">
        <f>'Economic Model'!H$60/100</f>
        <v>0.19624601212121212</v>
      </c>
      <c r="U233" s="93">
        <f t="shared" ref="U233:U235" si="166">S233+T233</f>
        <v>2.2831223279106858</v>
      </c>
      <c r="V233" s="93">
        <f t="shared" ref="V233:V235" si="167">U233-K233-L233</f>
        <v>1.5827214858054226</v>
      </c>
      <c r="W233" s="105"/>
      <c r="X233" s="93"/>
      <c r="Y233" s="93">
        <f>M233-P233-Q233-('Economic Model'!H$50/100)</f>
        <v>1.0003134152046782</v>
      </c>
      <c r="Z233" s="93">
        <f t="shared" ref="Z233:Z235" si="168">M233-S233</f>
        <v>0.81941341520467814</v>
      </c>
      <c r="AA233" s="93">
        <f t="shared" ref="AA233:AA235" si="169">M233-U233</f>
        <v>0.62316740308346619</v>
      </c>
      <c r="AB233" s="80"/>
      <c r="AC233" s="80"/>
      <c r="AD233" s="17"/>
      <c r="AE233" s="93">
        <f>'Returns per Bu.'!AD233/'Economic Model'!C$30</f>
        <v>0.51523545706371188</v>
      </c>
      <c r="AF233" s="93">
        <f t="shared" ref="AF233:AF235" si="170">AG233-AE233</f>
        <v>1.3558467220683286</v>
      </c>
      <c r="AG233" s="93">
        <f>'Returns per Bu.'!AF233/'Economic Model'!C$30</f>
        <v>1.8710821791320404</v>
      </c>
      <c r="AH233" s="105"/>
      <c r="AI233" s="93"/>
      <c r="AJ233" s="93">
        <f t="shared" ref="AJ233:AJ235" si="171">AG233+Q233+R233</f>
        <v>2.2437821791320403</v>
      </c>
      <c r="AK233" s="93">
        <f t="shared" ref="AK233:AK235" si="172">T233+AJ233</f>
        <v>2.4400281912532522</v>
      </c>
      <c r="AL233" s="93"/>
      <c r="AM233" s="104"/>
      <c r="AN233" s="93">
        <f t="shared" ref="AN233:AN235" si="173">M233-AJ233</f>
        <v>0.66250755186211174</v>
      </c>
      <c r="AO233" s="93">
        <f t="shared" ref="AO233:AO235" si="174">M233-AK233</f>
        <v>0.46626153974089979</v>
      </c>
      <c r="AP233" s="93">
        <f t="shared" ref="AP233:AP235" si="175">AO233-AQ233</f>
        <v>0.62316740308346641</v>
      </c>
      <c r="AQ233" s="93">
        <f t="shared" ref="AQ233:AQ235" si="176">P233-AG233</f>
        <v>-0.15690586334256662</v>
      </c>
      <c r="AR233" s="52"/>
      <c r="AS233" s="27"/>
    </row>
    <row r="234" spans="1:45" x14ac:dyDescent="0.2">
      <c r="A234" s="182">
        <v>45200</v>
      </c>
      <c r="B234" s="52"/>
      <c r="C234" s="93">
        <f>Data!D227+'Economic Model'!C$65</f>
        <v>2.160425</v>
      </c>
      <c r="D234" s="95">
        <f>Data!E227+'Economic Model'!C$66</f>
        <v>183.35124999999999</v>
      </c>
      <c r="E234" s="319">
        <f>Data!F227+'Economic Model'!C$67</f>
        <v>0.623475</v>
      </c>
      <c r="F234" s="93">
        <f>Data!G227+'Economic Model'!C$68</f>
        <v>4.7835357142857138</v>
      </c>
      <c r="G234" s="96">
        <f>Data!H227+'Economic Model'!C$69</f>
        <v>4.83</v>
      </c>
      <c r="H234" s="85"/>
      <c r="I234" s="16"/>
      <c r="J234" s="93">
        <f t="shared" si="163"/>
        <v>2.160425</v>
      </c>
      <c r="K234" s="93">
        <f>D234/2000*'Economic Model'!C$32/'Economic Model'!C$30</f>
        <v>0.52753692982456135</v>
      </c>
      <c r="L234" s="319">
        <f>E234*'Economic Model'!C$33/'Economic Model'!C$30</f>
        <v>0.14219605263157895</v>
      </c>
      <c r="M234" s="93">
        <f t="shared" si="164"/>
        <v>2.8301579824561403</v>
      </c>
      <c r="N234" s="110"/>
      <c r="O234" s="108"/>
      <c r="P234" s="93">
        <f>F234/'Economic Model'!C$30</f>
        <v>1.6784335839598996</v>
      </c>
      <c r="Q234" s="93">
        <f>G234/1000*'Economic Model'!C$34</f>
        <v>0.1449</v>
      </c>
      <c r="R234" s="93">
        <f>('Economic Model'!H$44+'Economic Model'!H$53)/100</f>
        <v>0.21939999999999998</v>
      </c>
      <c r="S234" s="93">
        <f t="shared" si="165"/>
        <v>2.0427335839598997</v>
      </c>
      <c r="T234" s="93">
        <f>'Economic Model'!H$60/100</f>
        <v>0.19624601212121212</v>
      </c>
      <c r="U234" s="93">
        <f t="shared" si="166"/>
        <v>2.2389795960811116</v>
      </c>
      <c r="V234" s="93">
        <f t="shared" si="167"/>
        <v>1.5692466136249714</v>
      </c>
      <c r="W234" s="105"/>
      <c r="X234" s="93"/>
      <c r="Y234" s="93">
        <f>M234-P234-Q234-('Economic Model'!H$50/100)</f>
        <v>0.96832439849624063</v>
      </c>
      <c r="Z234" s="93">
        <f t="shared" si="168"/>
        <v>0.78742439849624057</v>
      </c>
      <c r="AA234" s="93">
        <f t="shared" si="169"/>
        <v>0.59117838637502862</v>
      </c>
      <c r="AB234" s="80"/>
      <c r="AC234" s="80"/>
      <c r="AD234" s="17"/>
      <c r="AE234" s="93">
        <f>'Returns per Bu.'!AD234/'Economic Model'!C$30</f>
        <v>0.51523545706371188</v>
      </c>
      <c r="AF234" s="93">
        <f t="shared" si="170"/>
        <v>1.3558467220683286</v>
      </c>
      <c r="AG234" s="93">
        <f>'Returns per Bu.'!AF234/'Economic Model'!C$30</f>
        <v>1.8710821791320404</v>
      </c>
      <c r="AH234" s="105"/>
      <c r="AI234" s="93"/>
      <c r="AJ234" s="93">
        <f t="shared" si="171"/>
        <v>2.2353821791320403</v>
      </c>
      <c r="AK234" s="93">
        <f t="shared" si="172"/>
        <v>2.4316281912532522</v>
      </c>
      <c r="AL234" s="93"/>
      <c r="AM234" s="104"/>
      <c r="AN234" s="93">
        <f t="shared" si="173"/>
        <v>0.59477580332409996</v>
      </c>
      <c r="AO234" s="93">
        <f t="shared" si="174"/>
        <v>0.39852979120288801</v>
      </c>
      <c r="AP234" s="93">
        <f t="shared" si="175"/>
        <v>0.59117838637502884</v>
      </c>
      <c r="AQ234" s="93">
        <f t="shared" si="176"/>
        <v>-0.19264859517214084</v>
      </c>
      <c r="AR234" s="52"/>
      <c r="AS234" s="27"/>
    </row>
    <row r="235" spans="1:45" x14ac:dyDescent="0.2">
      <c r="A235" s="182">
        <v>45231</v>
      </c>
      <c r="B235" s="52"/>
      <c r="C235" s="93">
        <f>Data!D228+'Economic Model'!C$65</f>
        <v>1.8783000000000001</v>
      </c>
      <c r="D235" s="95">
        <f>Data!E228+'Economic Model'!C$66</f>
        <v>194.29833333333332</v>
      </c>
      <c r="E235" s="319">
        <f>Data!F228+'Economic Model'!C$67</f>
        <v>0.5534</v>
      </c>
      <c r="F235" s="93">
        <f>Data!G228+'Economic Model'!C$68</f>
        <v>4.7615249999999989</v>
      </c>
      <c r="G235" s="96">
        <f>Data!H228+'Economic Model'!C$69</f>
        <v>5.49</v>
      </c>
      <c r="H235" s="85"/>
      <c r="I235" s="16"/>
      <c r="J235" s="93">
        <f t="shared" si="163"/>
        <v>1.8783000000000001</v>
      </c>
      <c r="K235" s="93">
        <f>D235/2000*'Economic Model'!C$32/'Economic Model'!C$30</f>
        <v>0.55903380116959056</v>
      </c>
      <c r="L235" s="319">
        <f>E235*'Economic Model'!C$33/'Economic Model'!C$30</f>
        <v>0.12621403508771931</v>
      </c>
      <c r="M235" s="93">
        <f t="shared" si="164"/>
        <v>2.5635478362573103</v>
      </c>
      <c r="N235" s="110"/>
      <c r="O235" s="108"/>
      <c r="P235" s="93">
        <f>F235/'Economic Model'!C$30</f>
        <v>1.6707105263157891</v>
      </c>
      <c r="Q235" s="93">
        <f>G235/1000*'Economic Model'!C$34</f>
        <v>0.16470000000000001</v>
      </c>
      <c r="R235" s="93">
        <f>('Economic Model'!H$44+'Economic Model'!H$53)/100</f>
        <v>0.21939999999999998</v>
      </c>
      <c r="S235" s="93">
        <f t="shared" si="165"/>
        <v>2.054810526315789</v>
      </c>
      <c r="T235" s="93">
        <f>'Economic Model'!H$60/100</f>
        <v>0.19624601212121212</v>
      </c>
      <c r="U235" s="93">
        <f t="shared" si="166"/>
        <v>2.2510565384370009</v>
      </c>
      <c r="V235" s="93">
        <f t="shared" si="167"/>
        <v>1.5658087021796911</v>
      </c>
      <c r="W235" s="105"/>
      <c r="X235" s="93"/>
      <c r="Y235" s="93">
        <f>M235-P235-Q235-('Economic Model'!H$50/100)</f>
        <v>0.68963730994152117</v>
      </c>
      <c r="Z235" s="93">
        <f t="shared" si="168"/>
        <v>0.50873730994152133</v>
      </c>
      <c r="AA235" s="93">
        <f t="shared" si="169"/>
        <v>0.31249129782030938</v>
      </c>
      <c r="AB235" s="80"/>
      <c r="AC235" s="80"/>
      <c r="AD235" s="17"/>
      <c r="AE235" s="93">
        <f>'Returns per Bu.'!AD235/'Economic Model'!C$30</f>
        <v>0.51523545706371188</v>
      </c>
      <c r="AF235" s="93">
        <f t="shared" si="170"/>
        <v>1.3558467220683286</v>
      </c>
      <c r="AG235" s="93">
        <f>'Returns per Bu.'!AF235/'Economic Model'!C$30</f>
        <v>1.8710821791320404</v>
      </c>
      <c r="AH235" s="105"/>
      <c r="AI235" s="93"/>
      <c r="AJ235" s="93">
        <f t="shared" si="171"/>
        <v>2.2551821791320403</v>
      </c>
      <c r="AK235" s="93">
        <f t="shared" si="172"/>
        <v>2.4514281912532523</v>
      </c>
      <c r="AL235" s="93"/>
      <c r="AM235" s="104"/>
      <c r="AN235" s="93">
        <f t="shared" si="173"/>
        <v>0.30836565712526998</v>
      </c>
      <c r="AO235" s="93">
        <f t="shared" si="174"/>
        <v>0.11211964500405802</v>
      </c>
      <c r="AP235" s="93">
        <f t="shared" si="175"/>
        <v>0.31249129782030938</v>
      </c>
      <c r="AQ235" s="93">
        <f t="shared" si="176"/>
        <v>-0.20037165281625136</v>
      </c>
      <c r="AR235" s="52"/>
      <c r="AS235" s="27"/>
    </row>
    <row r="236" spans="1:45" x14ac:dyDescent="0.2">
      <c r="A236" s="68">
        <v>45261</v>
      </c>
      <c r="B236" s="64"/>
      <c r="C236" s="97">
        <f>Data!D229+'Economic Model'!C$65</f>
        <v>1.5902000000000003</v>
      </c>
      <c r="D236" s="99">
        <f>Data!E229+'Economic Model'!C$66</f>
        <v>209.66499999999999</v>
      </c>
      <c r="E236" s="320">
        <f>Data!F229+'Economic Model'!C$67</f>
        <v>0.52507499999999996</v>
      </c>
      <c r="F236" s="97">
        <f>Data!G229+'Economic Model'!C$68</f>
        <v>4.8121174999999994</v>
      </c>
      <c r="G236" s="100">
        <f>Data!H229+'Economic Model'!C$69</f>
        <v>5.79</v>
      </c>
      <c r="H236" s="87"/>
      <c r="I236" s="71"/>
      <c r="J236" s="97">
        <f t="shared" ref="J236:J238" si="177">C236</f>
        <v>1.5902000000000003</v>
      </c>
      <c r="K236" s="97">
        <f>D236/2000*'Economic Model'!C$32/'Economic Model'!C$30</f>
        <v>0.60324666666666649</v>
      </c>
      <c r="L236" s="320">
        <f>E236*'Economic Model'!C$33/'Economic Model'!C$30</f>
        <v>0.11975394736842104</v>
      </c>
      <c r="M236" s="97">
        <f t="shared" ref="M236:M238" si="178">J236+K236+L236</f>
        <v>2.3132006140350878</v>
      </c>
      <c r="N236" s="113"/>
      <c r="O236" s="111"/>
      <c r="P236" s="97">
        <f>F236/'Economic Model'!C$30</f>
        <v>1.6884622807017542</v>
      </c>
      <c r="Q236" s="97">
        <f>G236/1000*'Economic Model'!C$34</f>
        <v>0.17369999999999999</v>
      </c>
      <c r="R236" s="97">
        <f>('Economic Model'!H$44+'Economic Model'!H$53)/100</f>
        <v>0.21939999999999998</v>
      </c>
      <c r="S236" s="97">
        <f t="shared" ref="S236:S238" si="179">P236+Q236+R236</f>
        <v>2.0815622807017542</v>
      </c>
      <c r="T236" s="97">
        <f>'Economic Model'!H$60/100</f>
        <v>0.19624601212121212</v>
      </c>
      <c r="U236" s="97">
        <f t="shared" ref="U236:U238" si="180">S236+T236</f>
        <v>2.2778082928229662</v>
      </c>
      <c r="V236" s="97">
        <f t="shared" ref="V236:V238" si="181">U236-K236-L236</f>
        <v>1.5548076787878786</v>
      </c>
      <c r="W236" s="107"/>
      <c r="X236" s="97"/>
      <c r="Y236" s="97">
        <f>M236-P236-Q236-('Economic Model'!H$50/100)</f>
        <v>0.41253833333333367</v>
      </c>
      <c r="Z236" s="97">
        <f t="shared" ref="Z236:Z238" si="182">M236-S236</f>
        <v>0.23163833333333361</v>
      </c>
      <c r="AA236" s="97">
        <f t="shared" ref="AA236:AA238" si="183">M236-U236</f>
        <v>3.5392321212121658E-2</v>
      </c>
      <c r="AB236" s="82"/>
      <c r="AC236" s="82"/>
      <c r="AD236" s="65"/>
      <c r="AE236" s="97">
        <f>'Returns per Bu.'!AD236/'Economic Model'!C$30</f>
        <v>0.51523545706371188</v>
      </c>
      <c r="AF236" s="97">
        <f t="shared" ref="AF236:AF238" si="184">AG236-AE236</f>
        <v>1.3558467220683286</v>
      </c>
      <c r="AG236" s="97">
        <f>'Returns per Bu.'!AF236/'Economic Model'!C$30</f>
        <v>1.8710821791320404</v>
      </c>
      <c r="AH236" s="107"/>
      <c r="AI236" s="97"/>
      <c r="AJ236" s="97">
        <f t="shared" ref="AJ236:AJ238" si="185">AG236+Q236+R236</f>
        <v>2.2641821791320402</v>
      </c>
      <c r="AK236" s="97">
        <f t="shared" ref="AK236:AK238" si="186">T236+AJ236</f>
        <v>2.4604281912532522</v>
      </c>
      <c r="AL236" s="97"/>
      <c r="AM236" s="106"/>
      <c r="AN236" s="97">
        <f t="shared" ref="AN236:AN238" si="187">M236-AJ236</f>
        <v>4.9018434903047581E-2</v>
      </c>
      <c r="AO236" s="97">
        <f t="shared" ref="AO236:AO238" si="188">M236-AK236</f>
        <v>-0.14722757721816437</v>
      </c>
      <c r="AP236" s="97">
        <f t="shared" ref="AP236:AP238" si="189">AO236-AQ236</f>
        <v>3.539232121212188E-2</v>
      </c>
      <c r="AQ236" s="97">
        <f t="shared" ref="AQ236:AQ238" si="190">P236-AG236</f>
        <v>-0.18261989843028625</v>
      </c>
      <c r="AR236" s="64"/>
      <c r="AS236" s="27"/>
    </row>
    <row r="237" spans="1:45" x14ac:dyDescent="0.2">
      <c r="A237" s="292">
        <v>45292</v>
      </c>
      <c r="B237" s="62"/>
      <c r="C237" s="101">
        <f>Data!D230+'Economic Model'!C$65</f>
        <v>1.4786250000000001</v>
      </c>
      <c r="D237" s="103">
        <f>Data!E230+'Economic Model'!C$66</f>
        <v>196.51</v>
      </c>
      <c r="E237" s="319">
        <f>Data!F230+'Economic Model'!C$67</f>
        <v>0.48694999999999999</v>
      </c>
      <c r="F237" s="101">
        <f>Data!G230+'Economic Model'!C$68</f>
        <v>4.5717761904761911</v>
      </c>
      <c r="G237" s="90">
        <f>Data!H230+'Economic Model'!C$69</f>
        <v>5.79</v>
      </c>
      <c r="H237" s="88"/>
      <c r="I237" s="73"/>
      <c r="J237" s="101">
        <f t="shared" si="177"/>
        <v>1.4786250000000001</v>
      </c>
      <c r="K237" s="101">
        <f>D237/2000*'Economic Model'!C$32/'Economic Model'!C$30</f>
        <v>0.56539719298245605</v>
      </c>
      <c r="L237" s="319">
        <f>E237*'Economic Model'!C$33/'Economic Model'!C$30</f>
        <v>0.11105877192982457</v>
      </c>
      <c r="M237" s="101">
        <f t="shared" si="178"/>
        <v>2.1550809649122806</v>
      </c>
      <c r="N237" s="115"/>
      <c r="O237" s="114"/>
      <c r="P237" s="101">
        <f>F237/'Economic Model'!C$30</f>
        <v>1.6041319966583125</v>
      </c>
      <c r="Q237" s="101">
        <f>G237/1000*'Economic Model'!C$34</f>
        <v>0.17369999999999999</v>
      </c>
      <c r="R237" s="101">
        <f>('Economic Model'!H$44+'Economic Model'!H$53)/100</f>
        <v>0.21939999999999998</v>
      </c>
      <c r="S237" s="101">
        <f t="shared" si="179"/>
        <v>1.9972319966583125</v>
      </c>
      <c r="T237" s="101">
        <f>'Economic Model'!H$60/100</f>
        <v>0.19624601212121212</v>
      </c>
      <c r="U237" s="101">
        <f t="shared" si="180"/>
        <v>2.1934780087795245</v>
      </c>
      <c r="V237" s="101">
        <f t="shared" si="181"/>
        <v>1.5170220438672437</v>
      </c>
      <c r="W237" s="116"/>
      <c r="X237" s="101"/>
      <c r="Y237" s="101">
        <f>M237-P237-Q237-('Economic Model'!H$50/100)</f>
        <v>0.33874896825396816</v>
      </c>
      <c r="Z237" s="101">
        <f t="shared" si="182"/>
        <v>0.1578489682539681</v>
      </c>
      <c r="AA237" s="101">
        <f t="shared" si="183"/>
        <v>-3.8397043867243852E-2</v>
      </c>
      <c r="AB237" s="293"/>
      <c r="AC237" s="293"/>
      <c r="AD237" s="288"/>
      <c r="AE237" s="101">
        <f>'Returns per Bu.'!AD237/'Economic Model'!C$30</f>
        <v>0.51523545706371188</v>
      </c>
      <c r="AF237" s="101">
        <f t="shared" si="184"/>
        <v>1.3558467220683286</v>
      </c>
      <c r="AG237" s="101">
        <f>'Returns per Bu.'!AF237/'Economic Model'!C$30</f>
        <v>1.8710821791320404</v>
      </c>
      <c r="AH237" s="116"/>
      <c r="AI237" s="101"/>
      <c r="AJ237" s="101">
        <f t="shared" si="185"/>
        <v>2.2641821791320402</v>
      </c>
      <c r="AK237" s="101">
        <f t="shared" si="186"/>
        <v>2.4604281912532522</v>
      </c>
      <c r="AL237" s="101"/>
      <c r="AM237" s="117"/>
      <c r="AN237" s="101">
        <f t="shared" si="187"/>
        <v>-0.1091012142197596</v>
      </c>
      <c r="AO237" s="101">
        <f t="shared" si="188"/>
        <v>-0.30534722634097156</v>
      </c>
      <c r="AP237" s="101">
        <f t="shared" si="189"/>
        <v>-3.839704386724363E-2</v>
      </c>
      <c r="AQ237" s="101">
        <f t="shared" si="190"/>
        <v>-0.26695018247372793</v>
      </c>
      <c r="AR237" s="62"/>
      <c r="AS237" s="27"/>
    </row>
    <row r="238" spans="1:45" ht="13.5" thickBot="1" x14ac:dyDescent="0.25">
      <c r="A238" s="182">
        <v>45323</v>
      </c>
      <c r="B238" s="52"/>
      <c r="C238" s="93">
        <f>Data!D231+'Economic Model'!C$65</f>
        <v>1.460925</v>
      </c>
      <c r="D238" s="95">
        <f>Data!E231+'Economic Model'!C$66</f>
        <v>193.05500000000001</v>
      </c>
      <c r="E238" s="319">
        <f>Data!F231+'Economic Model'!C$67</f>
        <v>0.45290000000000002</v>
      </c>
      <c r="F238" s="93">
        <f>Data!G231+'Economic Model'!C$68</f>
        <v>4.3014525000000008</v>
      </c>
      <c r="G238" s="96">
        <f>Data!H231+'Economic Model'!C$69</f>
        <v>5.79</v>
      </c>
      <c r="H238" s="85"/>
      <c r="I238" s="16"/>
      <c r="J238" s="93">
        <f t="shared" si="177"/>
        <v>1.460925</v>
      </c>
      <c r="K238" s="93">
        <f>D238/2000*'Economic Model'!C$32/'Economic Model'!C$30</f>
        <v>0.55545649122807017</v>
      </c>
      <c r="L238" s="319">
        <f>E238*'Economic Model'!C$33/'Economic Model'!C$30</f>
        <v>0.10329298245614035</v>
      </c>
      <c r="M238" s="93">
        <f t="shared" si="178"/>
        <v>2.1196744736842104</v>
      </c>
      <c r="N238" s="110"/>
      <c r="O238" s="108"/>
      <c r="P238" s="93">
        <f>F238/'Economic Model'!C$30</f>
        <v>1.5092815789473686</v>
      </c>
      <c r="Q238" s="93">
        <f>G238/1000*'Economic Model'!C$34</f>
        <v>0.17369999999999999</v>
      </c>
      <c r="R238" s="93">
        <f>('Economic Model'!H$44+'Economic Model'!H$53)/100</f>
        <v>0.21939999999999998</v>
      </c>
      <c r="S238" s="93">
        <f t="shared" si="179"/>
        <v>1.9023815789473686</v>
      </c>
      <c r="T238" s="93">
        <f>'Economic Model'!H$60/100</f>
        <v>0.19624601212121212</v>
      </c>
      <c r="U238" s="93">
        <f t="shared" si="180"/>
        <v>2.0986275910685808</v>
      </c>
      <c r="V238" s="93">
        <f t="shared" si="181"/>
        <v>1.4398781173843702</v>
      </c>
      <c r="W238" s="105"/>
      <c r="X238" s="93"/>
      <c r="Y238" s="93">
        <f>M238-P238-Q238-('Economic Model'!H$50/100)</f>
        <v>0.39819289473684183</v>
      </c>
      <c r="Z238" s="93">
        <f t="shared" si="182"/>
        <v>0.21729289473684177</v>
      </c>
      <c r="AA238" s="93">
        <f t="shared" si="183"/>
        <v>2.1046882615629592E-2</v>
      </c>
      <c r="AB238" s="80"/>
      <c r="AC238" s="80"/>
      <c r="AD238" s="17"/>
      <c r="AE238" s="93">
        <f>'Returns per Bu.'!AD238/'Economic Model'!C$30</f>
        <v>0.51523545706371188</v>
      </c>
      <c r="AF238" s="93">
        <f t="shared" si="184"/>
        <v>1.3558467220683286</v>
      </c>
      <c r="AG238" s="93">
        <f>'Returns per Bu.'!AF238/'Economic Model'!C$30</f>
        <v>1.8710821791320404</v>
      </c>
      <c r="AH238" s="105"/>
      <c r="AI238" s="93"/>
      <c r="AJ238" s="93">
        <f t="shared" si="185"/>
        <v>2.2641821791320402</v>
      </c>
      <c r="AK238" s="93">
        <f t="shared" si="186"/>
        <v>2.4604281912532522</v>
      </c>
      <c r="AL238" s="93"/>
      <c r="AM238" s="104"/>
      <c r="AN238" s="93">
        <f t="shared" si="187"/>
        <v>-0.14450770544782987</v>
      </c>
      <c r="AO238" s="93">
        <f t="shared" si="188"/>
        <v>-0.34075371756904183</v>
      </c>
      <c r="AP238" s="93">
        <f t="shared" si="189"/>
        <v>2.1046882615630036E-2</v>
      </c>
      <c r="AQ238" s="93">
        <f t="shared" si="190"/>
        <v>-0.36180060018467186</v>
      </c>
      <c r="AR238" s="52"/>
      <c r="AS238" s="27"/>
    </row>
    <row r="239" spans="1:45" hidden="1" x14ac:dyDescent="0.2">
      <c r="A239" s="182">
        <v>45352</v>
      </c>
      <c r="B239" s="52"/>
      <c r="C239" s="93"/>
      <c r="D239" s="95"/>
      <c r="E239" s="319"/>
      <c r="F239" s="93"/>
      <c r="G239" s="96"/>
      <c r="H239" s="85"/>
      <c r="I239" s="16"/>
      <c r="J239" s="93"/>
      <c r="K239" s="93"/>
      <c r="L239" s="319"/>
      <c r="M239" s="93"/>
      <c r="N239" s="110"/>
      <c r="O239" s="108"/>
      <c r="P239" s="93"/>
      <c r="Q239" s="93"/>
      <c r="R239" s="93"/>
      <c r="S239" s="93"/>
      <c r="T239" s="93"/>
      <c r="U239" s="93"/>
      <c r="V239" s="93"/>
      <c r="W239" s="105"/>
      <c r="X239" s="93"/>
      <c r="Y239" s="93"/>
      <c r="Z239" s="93"/>
      <c r="AA239" s="93"/>
      <c r="AB239" s="80"/>
      <c r="AC239" s="80"/>
      <c r="AD239" s="17"/>
      <c r="AE239" s="93"/>
      <c r="AF239" s="93"/>
      <c r="AG239" s="93"/>
      <c r="AH239" s="105"/>
      <c r="AI239" s="93"/>
      <c r="AJ239" s="93"/>
      <c r="AK239" s="93"/>
      <c r="AL239" s="93"/>
      <c r="AM239" s="104"/>
      <c r="AN239" s="93"/>
      <c r="AO239" s="93"/>
      <c r="AP239" s="93"/>
      <c r="AQ239" s="93"/>
      <c r="AR239" s="52"/>
      <c r="AS239" s="27"/>
    </row>
    <row r="240" spans="1:45" hidden="1" x14ac:dyDescent="0.2">
      <c r="A240" s="182">
        <v>45383</v>
      </c>
      <c r="B240" s="52"/>
      <c r="C240" s="93"/>
      <c r="D240" s="95"/>
      <c r="E240" s="319"/>
      <c r="F240" s="93"/>
      <c r="G240" s="96"/>
      <c r="H240" s="85"/>
      <c r="I240" s="16"/>
      <c r="J240" s="93"/>
      <c r="K240" s="93"/>
      <c r="L240" s="319"/>
      <c r="M240" s="93"/>
      <c r="N240" s="110"/>
      <c r="O240" s="108"/>
      <c r="P240" s="93"/>
      <c r="Q240" s="93"/>
      <c r="R240" s="93"/>
      <c r="S240" s="93"/>
      <c r="T240" s="93"/>
      <c r="U240" s="93"/>
      <c r="V240" s="93"/>
      <c r="W240" s="105"/>
      <c r="X240" s="93"/>
      <c r="Y240" s="93"/>
      <c r="Z240" s="93"/>
      <c r="AA240" s="93"/>
      <c r="AB240" s="80"/>
      <c r="AC240" s="80"/>
      <c r="AD240" s="17"/>
      <c r="AE240" s="93"/>
      <c r="AF240" s="93"/>
      <c r="AG240" s="93"/>
      <c r="AH240" s="105"/>
      <c r="AI240" s="93"/>
      <c r="AJ240" s="93"/>
      <c r="AK240" s="93"/>
      <c r="AL240" s="93"/>
      <c r="AM240" s="104"/>
      <c r="AN240" s="93"/>
      <c r="AO240" s="93"/>
      <c r="AP240" s="93"/>
      <c r="AQ240" s="93"/>
      <c r="AR240" s="52"/>
      <c r="AS240" s="27"/>
    </row>
    <row r="241" spans="1:45" hidden="1" x14ac:dyDescent="0.2">
      <c r="A241" s="182">
        <v>45413</v>
      </c>
      <c r="B241" s="52"/>
      <c r="C241" s="93"/>
      <c r="D241" s="95"/>
      <c r="E241" s="319"/>
      <c r="F241" s="93"/>
      <c r="G241" s="96"/>
      <c r="H241" s="85"/>
      <c r="I241" s="16"/>
      <c r="J241" s="93"/>
      <c r="K241" s="93"/>
      <c r="L241" s="319"/>
      <c r="M241" s="93"/>
      <c r="N241" s="110"/>
      <c r="O241" s="108"/>
      <c r="P241" s="93"/>
      <c r="Q241" s="93"/>
      <c r="R241" s="93"/>
      <c r="S241" s="93"/>
      <c r="T241" s="93"/>
      <c r="U241" s="93"/>
      <c r="V241" s="93"/>
      <c r="W241" s="105"/>
      <c r="X241" s="93"/>
      <c r="Y241" s="93"/>
      <c r="Z241" s="93"/>
      <c r="AA241" s="93"/>
      <c r="AB241" s="80"/>
      <c r="AC241" s="80"/>
      <c r="AD241" s="17"/>
      <c r="AE241" s="93"/>
      <c r="AF241" s="93"/>
      <c r="AG241" s="93"/>
      <c r="AH241" s="105"/>
      <c r="AI241" s="93"/>
      <c r="AJ241" s="93"/>
      <c r="AK241" s="93"/>
      <c r="AL241" s="93"/>
      <c r="AM241" s="104"/>
      <c r="AN241" s="93"/>
      <c r="AO241" s="93"/>
      <c r="AP241" s="93"/>
      <c r="AQ241" s="93"/>
      <c r="AR241" s="52"/>
      <c r="AS241" s="27"/>
    </row>
    <row r="242" spans="1:45" hidden="1" x14ac:dyDescent="0.2">
      <c r="A242" s="182">
        <v>45444</v>
      </c>
      <c r="B242" s="52"/>
      <c r="C242" s="93"/>
      <c r="D242" s="95"/>
      <c r="E242" s="319"/>
      <c r="F242" s="93"/>
      <c r="G242" s="96"/>
      <c r="H242" s="85"/>
      <c r="I242" s="16"/>
      <c r="J242" s="93"/>
      <c r="K242" s="93"/>
      <c r="L242" s="319"/>
      <c r="M242" s="93"/>
      <c r="N242" s="110"/>
      <c r="O242" s="108"/>
      <c r="P242" s="93"/>
      <c r="Q242" s="93"/>
      <c r="R242" s="93"/>
      <c r="S242" s="93"/>
      <c r="T242" s="93"/>
      <c r="U242" s="93"/>
      <c r="V242" s="93"/>
      <c r="W242" s="105"/>
      <c r="X242" s="93"/>
      <c r="Y242" s="93"/>
      <c r="Z242" s="93"/>
      <c r="AA242" s="93"/>
      <c r="AB242" s="80"/>
      <c r="AC242" s="80"/>
      <c r="AD242" s="17"/>
      <c r="AE242" s="93"/>
      <c r="AF242" s="93"/>
      <c r="AG242" s="93"/>
      <c r="AH242" s="105"/>
      <c r="AI242" s="93"/>
      <c r="AJ242" s="93"/>
      <c r="AK242" s="93"/>
      <c r="AL242" s="93"/>
      <c r="AM242" s="104"/>
      <c r="AN242" s="93"/>
      <c r="AO242" s="93"/>
      <c r="AP242" s="93"/>
      <c r="AQ242" s="93"/>
      <c r="AR242" s="52"/>
      <c r="AS242" s="27"/>
    </row>
    <row r="243" spans="1:45" hidden="1" x14ac:dyDescent="0.2">
      <c r="A243" s="182">
        <v>45474</v>
      </c>
      <c r="B243" s="52"/>
      <c r="C243" s="93"/>
      <c r="D243" s="95"/>
      <c r="E243" s="319"/>
      <c r="F243" s="93"/>
      <c r="G243" s="96"/>
      <c r="H243" s="85"/>
      <c r="I243" s="16"/>
      <c r="J243" s="93"/>
      <c r="K243" s="93"/>
      <c r="L243" s="319"/>
      <c r="M243" s="93"/>
      <c r="N243" s="110"/>
      <c r="O243" s="108"/>
      <c r="P243" s="93"/>
      <c r="Q243" s="93"/>
      <c r="R243" s="93"/>
      <c r="S243" s="93"/>
      <c r="T243" s="93"/>
      <c r="U243" s="93"/>
      <c r="V243" s="93"/>
      <c r="W243" s="105"/>
      <c r="X243" s="93"/>
      <c r="Y243" s="93"/>
      <c r="Z243" s="93"/>
      <c r="AA243" s="93"/>
      <c r="AB243" s="80"/>
      <c r="AC243" s="80"/>
      <c r="AD243" s="17"/>
      <c r="AE243" s="93"/>
      <c r="AF243" s="93"/>
      <c r="AG243" s="93"/>
      <c r="AH243" s="105"/>
      <c r="AI243" s="93"/>
      <c r="AJ243" s="93"/>
      <c r="AK243" s="93"/>
      <c r="AL243" s="93"/>
      <c r="AM243" s="104"/>
      <c r="AN243" s="93"/>
      <c r="AO243" s="93"/>
      <c r="AP243" s="93"/>
      <c r="AQ243" s="93"/>
      <c r="AR243" s="52"/>
      <c r="AS243" s="27"/>
    </row>
    <row r="244" spans="1:45" ht="13.5" hidden="1" thickBot="1" x14ac:dyDescent="0.25">
      <c r="A244" s="182">
        <v>45505</v>
      </c>
      <c r="B244" s="52"/>
      <c r="C244" s="93"/>
      <c r="D244" s="95"/>
      <c r="E244" s="319"/>
      <c r="F244" s="93"/>
      <c r="G244" s="96"/>
      <c r="H244" s="85"/>
      <c r="I244" s="16"/>
      <c r="J244" s="93"/>
      <c r="K244" s="93"/>
      <c r="L244" s="319"/>
      <c r="M244" s="93"/>
      <c r="N244" s="110"/>
      <c r="O244" s="108"/>
      <c r="P244" s="93"/>
      <c r="Q244" s="93"/>
      <c r="R244" s="93"/>
      <c r="S244" s="93"/>
      <c r="T244" s="93"/>
      <c r="U244" s="93"/>
      <c r="V244" s="93"/>
      <c r="W244" s="105"/>
      <c r="X244" s="93"/>
      <c r="Y244" s="93"/>
      <c r="Z244" s="93"/>
      <c r="AA244" s="93"/>
      <c r="AB244" s="80"/>
      <c r="AC244" s="80"/>
      <c r="AD244" s="17"/>
      <c r="AE244" s="93"/>
      <c r="AF244" s="93"/>
      <c r="AG244" s="93"/>
      <c r="AH244" s="105"/>
      <c r="AI244" s="93"/>
      <c r="AJ244" s="93"/>
      <c r="AK244" s="93"/>
      <c r="AL244" s="93"/>
      <c r="AM244" s="104"/>
      <c r="AN244" s="93"/>
      <c r="AO244" s="93"/>
      <c r="AP244" s="93"/>
      <c r="AQ244" s="93"/>
      <c r="AR244" s="52"/>
      <c r="AS244" s="27"/>
    </row>
    <row r="245" spans="1:45" x14ac:dyDescent="0.2">
      <c r="A245" s="277"/>
      <c r="B245" s="276"/>
      <c r="C245" s="276"/>
      <c r="D245" s="276"/>
      <c r="E245" s="328"/>
      <c r="F245" s="276"/>
      <c r="G245" s="298"/>
      <c r="H245" s="299"/>
      <c r="I245" s="300"/>
      <c r="J245" s="301"/>
      <c r="K245" s="301"/>
      <c r="L245" s="329"/>
      <c r="M245" s="301"/>
      <c r="N245" s="300"/>
      <c r="O245" s="300"/>
      <c r="P245" s="300"/>
      <c r="Q245" s="300"/>
      <c r="R245" s="300"/>
      <c r="S245" s="300"/>
      <c r="T245" s="300"/>
      <c r="U245" s="301"/>
      <c r="V245" s="301"/>
      <c r="W245" s="299"/>
      <c r="X245" s="299"/>
      <c r="Y245" s="299"/>
      <c r="Z245" s="301"/>
      <c r="AA245" s="302"/>
      <c r="AB245" s="276"/>
      <c r="AC245" s="276"/>
      <c r="AD245" s="276"/>
      <c r="AE245" s="276"/>
      <c r="AF245" s="276"/>
      <c r="AG245" s="276"/>
      <c r="AH245" s="276"/>
      <c r="AI245" s="276"/>
      <c r="AJ245" s="276"/>
      <c r="AK245" s="276"/>
      <c r="AL245" s="276"/>
      <c r="AM245" s="276"/>
      <c r="AN245" s="276"/>
      <c r="AO245" s="276"/>
      <c r="AP245" s="276"/>
      <c r="AQ245" s="276"/>
      <c r="AR245" s="276"/>
    </row>
    <row r="246" spans="1:45" x14ac:dyDescent="0.2">
      <c r="A246" s="311" t="s">
        <v>217</v>
      </c>
      <c r="B246" s="307"/>
      <c r="C246" s="307"/>
      <c r="D246" s="307"/>
      <c r="E246" s="89"/>
      <c r="F246" s="307"/>
      <c r="G246" s="307"/>
    </row>
    <row r="247" spans="1:45" x14ac:dyDescent="0.2">
      <c r="A247" s="310" t="s">
        <v>227</v>
      </c>
      <c r="B247" s="307"/>
      <c r="C247" s="307"/>
      <c r="D247" s="307"/>
      <c r="E247" s="89"/>
      <c r="F247" s="307"/>
      <c r="G247" s="307"/>
    </row>
    <row r="248" spans="1:45" x14ac:dyDescent="0.2">
      <c r="A248" s="310" t="s">
        <v>228</v>
      </c>
      <c r="B248" s="307"/>
      <c r="C248" s="307"/>
      <c r="D248" s="307"/>
      <c r="E248" s="89"/>
      <c r="F248" s="307"/>
      <c r="G248" s="307"/>
    </row>
    <row r="249" spans="1:45" x14ac:dyDescent="0.2">
      <c r="A249" s="310" t="s">
        <v>80</v>
      </c>
    </row>
  </sheetData>
  <sheetProtection sheet="1" objects="1" scenarios="1"/>
  <mergeCells count="10">
    <mergeCell ref="C2:AR2"/>
    <mergeCell ref="AD4:AR4"/>
    <mergeCell ref="AN5:AQ5"/>
    <mergeCell ref="AD5:AH5"/>
    <mergeCell ref="AI5:AL5"/>
    <mergeCell ref="C4:AB4"/>
    <mergeCell ref="C5:H5"/>
    <mergeCell ref="I5:N5"/>
    <mergeCell ref="O5:W5"/>
    <mergeCell ref="X5:AB5"/>
  </mergeCells>
  <phoneticPr fontId="10" type="noConversion"/>
  <pageMargins left="0.5" right="0.5" top="0.5" bottom="0.5" header="0.5" footer="0.5"/>
  <pageSetup scale="61" orientation="portrait" r:id="rId1"/>
  <headerFooter alignWithMargins="0"/>
  <rowBreaks count="2" manualBreakCount="2">
    <brk id="47" max="16383" man="1"/>
    <brk id="7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2" tint="-9.9978637043366805E-2"/>
    <pageSetUpPr fitToPage="1"/>
  </sheetPr>
  <dimension ref="A2:AW251"/>
  <sheetViews>
    <sheetView showGridLines="0" zoomScale="90" zoomScaleNormal="90" workbookViewId="0">
      <pane xSplit="2" ySplit="8" topLeftCell="C207" activePane="bottomRight" state="frozen"/>
      <selection activeCell="K236" sqref="K236"/>
      <selection pane="topRight" activeCell="K236" sqref="K236"/>
      <selection pane="bottomLeft" activeCell="K236" sqref="K236"/>
      <selection pane="bottomRight" activeCell="A246" sqref="A246"/>
    </sheetView>
  </sheetViews>
  <sheetFormatPr defaultColWidth="8.85546875" defaultRowHeight="12.75" x14ac:dyDescent="0.2"/>
  <cols>
    <col min="1" max="1" width="7.7109375" bestFit="1" customWidth="1"/>
    <col min="2" max="3" width="1.42578125" customWidth="1"/>
    <col min="4" max="8" width="9.140625" style="35" customWidth="1"/>
    <col min="9" max="10" width="1.42578125" customWidth="1"/>
    <col min="11" max="12" width="9.140625" customWidth="1"/>
    <col min="13" max="13" width="9.140625" style="35" customWidth="1"/>
    <col min="14" max="15" width="9.140625" customWidth="1"/>
    <col min="16" max="17" width="1.42578125" customWidth="1"/>
    <col min="18" max="19" width="9.140625" customWidth="1"/>
    <col min="20" max="21" width="1.42578125" customWidth="1"/>
    <col min="22" max="23" width="9.140625" customWidth="1"/>
    <col min="24" max="25" width="1.42578125" customWidth="1"/>
    <col min="26" max="26" width="8.42578125" bestFit="1" customWidth="1"/>
    <col min="27" max="29" width="1.42578125" customWidth="1"/>
    <col min="30" max="32" width="9.140625" customWidth="1"/>
    <col min="33" max="33" width="1.42578125" customWidth="1"/>
    <col min="34" max="35" width="9.140625" customWidth="1"/>
    <col min="36" max="36" width="1.42578125" customWidth="1"/>
    <col min="37" max="40" width="9.140625" customWidth="1"/>
    <col min="41" max="41" width="1.42578125" customWidth="1"/>
    <col min="42" max="42" width="4.7109375" customWidth="1"/>
    <col min="43" max="43" width="6" customWidth="1"/>
    <col min="45" max="45" width="9.42578125" bestFit="1" customWidth="1"/>
  </cols>
  <sheetData>
    <row r="2" spans="1:49" ht="20.25" x14ac:dyDescent="0.3">
      <c r="B2" s="48"/>
      <c r="C2" s="48"/>
      <c r="D2" s="406" t="s">
        <v>168</v>
      </c>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08"/>
      <c r="AN2" s="408"/>
    </row>
    <row r="3" spans="1:49" ht="21" thickBot="1" x14ac:dyDescent="0.35">
      <c r="A3" s="48"/>
      <c r="B3" s="48"/>
      <c r="C3" s="48"/>
      <c r="D3" s="63"/>
      <c r="E3" s="63"/>
      <c r="F3" s="63"/>
      <c r="G3" s="63"/>
      <c r="H3" s="63"/>
      <c r="I3" s="48"/>
      <c r="J3" s="48"/>
      <c r="K3" s="48"/>
      <c r="L3" s="48"/>
      <c r="M3" s="63"/>
      <c r="N3" s="48"/>
      <c r="O3" s="48"/>
      <c r="P3" s="48"/>
      <c r="Q3" s="48"/>
      <c r="R3" s="48"/>
      <c r="S3" s="48"/>
      <c r="T3" s="48"/>
      <c r="U3" s="48"/>
      <c r="V3" s="48"/>
      <c r="W3" s="48"/>
      <c r="X3" s="10"/>
      <c r="Y3" s="10"/>
      <c r="Z3" s="10"/>
      <c r="AA3" s="10"/>
      <c r="AB3" s="10"/>
    </row>
    <row r="4" spans="1:49" s="34" customFormat="1" ht="18" customHeight="1" x14ac:dyDescent="0.25">
      <c r="A4" s="32"/>
      <c r="B4" s="32"/>
      <c r="C4" s="427" t="s">
        <v>166</v>
      </c>
      <c r="D4" s="428"/>
      <c r="E4" s="428"/>
      <c r="F4" s="428"/>
      <c r="G4" s="428"/>
      <c r="H4" s="428"/>
      <c r="I4" s="428"/>
      <c r="J4" s="428"/>
      <c r="K4" s="428"/>
      <c r="L4" s="428"/>
      <c r="M4" s="428"/>
      <c r="N4" s="428"/>
      <c r="O4" s="428"/>
      <c r="P4" s="428"/>
      <c r="Q4" s="428"/>
      <c r="R4" s="428"/>
      <c r="S4" s="428"/>
      <c r="T4" s="428"/>
      <c r="U4" s="428"/>
      <c r="V4" s="428"/>
      <c r="W4" s="428"/>
      <c r="X4" s="428"/>
      <c r="Y4" s="428"/>
      <c r="Z4" s="428"/>
      <c r="AA4" s="431"/>
      <c r="AB4" s="58"/>
      <c r="AC4" s="427" t="s">
        <v>167</v>
      </c>
      <c r="AD4" s="428"/>
      <c r="AE4" s="428"/>
      <c r="AF4" s="428"/>
      <c r="AG4" s="428"/>
      <c r="AH4" s="428"/>
      <c r="AI4" s="428"/>
      <c r="AJ4" s="428"/>
      <c r="AK4" s="428"/>
      <c r="AL4" s="428"/>
      <c r="AM4" s="417"/>
      <c r="AN4" s="417"/>
      <c r="AO4" s="418"/>
      <c r="AP4" s="54"/>
    </row>
    <row r="5" spans="1:49" ht="14.25" x14ac:dyDescent="0.2">
      <c r="C5" s="53"/>
      <c r="D5" s="432" t="s">
        <v>4</v>
      </c>
      <c r="E5" s="432"/>
      <c r="F5" s="432"/>
      <c r="G5" s="432"/>
      <c r="H5" s="432"/>
      <c r="I5" s="27"/>
      <c r="J5" s="279"/>
      <c r="K5" s="419" t="s">
        <v>73</v>
      </c>
      <c r="L5" s="419"/>
      <c r="M5" s="419"/>
      <c r="N5" s="423"/>
      <c r="O5" s="423"/>
      <c r="P5" s="3"/>
      <c r="Q5" s="61"/>
      <c r="R5" s="419" t="s">
        <v>171</v>
      </c>
      <c r="S5" s="423"/>
      <c r="T5" s="19"/>
      <c r="U5" s="61"/>
      <c r="V5" s="419" t="s">
        <v>67</v>
      </c>
      <c r="W5" s="423"/>
      <c r="X5" s="280"/>
      <c r="Y5" s="61"/>
      <c r="Z5" s="280" t="s">
        <v>37</v>
      </c>
      <c r="AA5" s="49"/>
      <c r="AB5" s="11"/>
      <c r="AC5" s="53"/>
      <c r="AD5" s="412" t="s">
        <v>170</v>
      </c>
      <c r="AE5" s="430"/>
      <c r="AF5" s="430"/>
      <c r="AG5" s="27"/>
      <c r="AH5" s="412" t="s">
        <v>171</v>
      </c>
      <c r="AI5" s="413"/>
      <c r="AJ5" s="278"/>
      <c r="AK5" s="412" t="s">
        <v>67</v>
      </c>
      <c r="AL5" s="413"/>
      <c r="AM5" s="413"/>
      <c r="AN5" s="413"/>
      <c r="AO5" s="52"/>
      <c r="AP5" s="27"/>
    </row>
    <row r="6" spans="1:49" s="7" customFormat="1" x14ac:dyDescent="0.2">
      <c r="A6" s="4" t="s">
        <v>39</v>
      </c>
      <c r="B6" s="4"/>
      <c r="C6" s="50"/>
      <c r="D6" s="59" t="s">
        <v>25</v>
      </c>
      <c r="E6" s="59" t="s">
        <v>14</v>
      </c>
      <c r="F6" s="59" t="s">
        <v>218</v>
      </c>
      <c r="G6" s="59" t="s">
        <v>3</v>
      </c>
      <c r="H6" s="3" t="s">
        <v>35</v>
      </c>
      <c r="I6" s="3"/>
      <c r="J6" s="13"/>
      <c r="K6" s="3" t="s">
        <v>0</v>
      </c>
      <c r="L6" s="3" t="s">
        <v>0</v>
      </c>
      <c r="M6" s="59" t="s">
        <v>0</v>
      </c>
      <c r="N6" s="3"/>
      <c r="O6" s="3" t="s">
        <v>3</v>
      </c>
      <c r="P6" s="3"/>
      <c r="Q6" s="13"/>
      <c r="R6" s="74"/>
      <c r="S6" s="3" t="s">
        <v>69</v>
      </c>
      <c r="T6" s="3"/>
      <c r="U6" s="13"/>
      <c r="V6" s="3" t="s">
        <v>62</v>
      </c>
      <c r="W6" s="3" t="s">
        <v>62</v>
      </c>
      <c r="X6" s="3"/>
      <c r="Y6" s="28"/>
      <c r="Z6" s="75" t="s">
        <v>174</v>
      </c>
      <c r="AA6" s="76"/>
      <c r="AB6" s="75"/>
      <c r="AC6" s="77"/>
      <c r="AD6" s="74"/>
      <c r="AE6" s="74"/>
      <c r="AF6" s="74"/>
      <c r="AG6" s="74"/>
      <c r="AH6" s="74"/>
      <c r="AI6" s="3" t="s">
        <v>69</v>
      </c>
      <c r="AJ6" s="3"/>
      <c r="AK6" s="3" t="s">
        <v>62</v>
      </c>
      <c r="AL6" s="3" t="s">
        <v>62</v>
      </c>
      <c r="AM6" s="3" t="s">
        <v>175</v>
      </c>
      <c r="AN6" s="3" t="s">
        <v>175</v>
      </c>
      <c r="AO6" s="78"/>
      <c r="AP6" s="74"/>
    </row>
    <row r="7" spans="1:49" s="7" customFormat="1" x14ac:dyDescent="0.2">
      <c r="A7" s="4" t="s">
        <v>40</v>
      </c>
      <c r="B7" s="4"/>
      <c r="C7" s="50"/>
      <c r="D7" s="59" t="s">
        <v>38</v>
      </c>
      <c r="E7" s="59" t="s">
        <v>38</v>
      </c>
      <c r="F7" s="59" t="s">
        <v>38</v>
      </c>
      <c r="G7" s="59" t="s">
        <v>38</v>
      </c>
      <c r="H7" s="3" t="s">
        <v>133</v>
      </c>
      <c r="I7" s="74"/>
      <c r="J7" s="13"/>
      <c r="K7" s="3" t="s">
        <v>0</v>
      </c>
      <c r="L7" s="3" t="s">
        <v>0</v>
      </c>
      <c r="M7" s="59" t="s">
        <v>0</v>
      </c>
      <c r="N7" s="3" t="s">
        <v>69</v>
      </c>
      <c r="O7" s="3" t="s">
        <v>146</v>
      </c>
      <c r="P7" s="3"/>
      <c r="Q7" s="13"/>
      <c r="R7" s="3" t="s">
        <v>69</v>
      </c>
      <c r="S7" s="3" t="s">
        <v>65</v>
      </c>
      <c r="T7" s="3"/>
      <c r="U7" s="13"/>
      <c r="V7" s="3" t="s">
        <v>65</v>
      </c>
      <c r="W7" s="3" t="s">
        <v>63</v>
      </c>
      <c r="X7" s="3"/>
      <c r="Y7" s="28"/>
      <c r="Z7" s="79" t="s">
        <v>74</v>
      </c>
      <c r="AA7" s="51"/>
      <c r="AB7" s="3"/>
      <c r="AC7" s="77"/>
      <c r="AD7" s="3" t="s">
        <v>161</v>
      </c>
      <c r="AE7" s="3" t="s">
        <v>163</v>
      </c>
      <c r="AF7" s="3" t="s">
        <v>69</v>
      </c>
      <c r="AG7" s="74"/>
      <c r="AH7" s="3" t="s">
        <v>69</v>
      </c>
      <c r="AI7" s="3" t="s">
        <v>65</v>
      </c>
      <c r="AJ7" s="3"/>
      <c r="AK7" s="3" t="s">
        <v>65</v>
      </c>
      <c r="AL7" s="3" t="s">
        <v>63</v>
      </c>
      <c r="AM7" s="3" t="s">
        <v>25</v>
      </c>
      <c r="AN7" s="3" t="s">
        <v>3</v>
      </c>
      <c r="AO7" s="78"/>
      <c r="AP7" s="74"/>
    </row>
    <row r="8" spans="1:49" s="7" customFormat="1" x14ac:dyDescent="0.2">
      <c r="A8" s="2" t="s">
        <v>41</v>
      </c>
      <c r="B8" s="3"/>
      <c r="C8" s="50"/>
      <c r="D8" s="5" t="s">
        <v>129</v>
      </c>
      <c r="E8" s="5" t="s">
        <v>130</v>
      </c>
      <c r="F8" s="5" t="s">
        <v>223</v>
      </c>
      <c r="G8" s="5" t="s">
        <v>131</v>
      </c>
      <c r="H8" s="2" t="s">
        <v>134</v>
      </c>
      <c r="I8" s="74"/>
      <c r="J8" s="13"/>
      <c r="K8" s="2" t="s">
        <v>25</v>
      </c>
      <c r="L8" s="2" t="s">
        <v>14</v>
      </c>
      <c r="M8" s="5" t="s">
        <v>218</v>
      </c>
      <c r="N8" s="2" t="s">
        <v>222</v>
      </c>
      <c r="O8" s="2" t="s">
        <v>147</v>
      </c>
      <c r="P8" s="3"/>
      <c r="Q8" s="13"/>
      <c r="R8" s="2" t="s">
        <v>65</v>
      </c>
      <c r="S8" s="2" t="s">
        <v>132</v>
      </c>
      <c r="T8" s="3"/>
      <c r="U8" s="13"/>
      <c r="V8" s="2" t="s">
        <v>64</v>
      </c>
      <c r="W8" s="2" t="s">
        <v>64</v>
      </c>
      <c r="X8" s="3"/>
      <c r="Y8" s="28"/>
      <c r="Z8" s="5" t="s">
        <v>75</v>
      </c>
      <c r="AA8" s="60"/>
      <c r="AB8" s="59"/>
      <c r="AC8" s="77"/>
      <c r="AD8" s="3" t="s">
        <v>162</v>
      </c>
      <c r="AE8" s="3" t="s">
        <v>164</v>
      </c>
      <c r="AF8" s="3" t="s">
        <v>165</v>
      </c>
      <c r="AG8" s="74"/>
      <c r="AH8" s="3" t="s">
        <v>65</v>
      </c>
      <c r="AI8" s="3" t="s">
        <v>132</v>
      </c>
      <c r="AJ8" s="3"/>
      <c r="AK8" s="3" t="s">
        <v>64</v>
      </c>
      <c r="AL8" s="3" t="s">
        <v>64</v>
      </c>
      <c r="AM8" s="3" t="s">
        <v>176</v>
      </c>
      <c r="AN8" s="3" t="s">
        <v>177</v>
      </c>
      <c r="AO8" s="78"/>
      <c r="AP8" s="74"/>
    </row>
    <row r="9" spans="1:49" hidden="1" x14ac:dyDescent="0.2">
      <c r="A9" s="21">
        <v>38353</v>
      </c>
      <c r="B9" s="6"/>
      <c r="C9" s="50"/>
      <c r="D9" s="118">
        <f>'Returns per Gal.'!C9</f>
        <v>1.5149515423207636</v>
      </c>
      <c r="E9" s="119">
        <f>'Returns per Gal.'!D9</f>
        <v>68.211307006683171</v>
      </c>
      <c r="F9" s="119"/>
      <c r="G9" s="118">
        <f>'Returns per Gal.'!F9</f>
        <v>1.745099267659205</v>
      </c>
      <c r="H9" s="118">
        <f>'Returns per Gal.'!G9</f>
        <v>8.17</v>
      </c>
      <c r="I9" s="120"/>
      <c r="J9" s="104"/>
      <c r="K9" s="93">
        <f>D9*'Economic Model'!C$30</f>
        <v>4.317611895614176</v>
      </c>
      <c r="L9" s="93">
        <f>E9/2000*('Economic Model'!C$32+0.5)</f>
        <v>0.5763855442064727</v>
      </c>
      <c r="M9" s="319"/>
      <c r="N9" s="93">
        <f t="shared" ref="N9:N40" si="0">K9+L9</f>
        <v>4.8939974398206489</v>
      </c>
      <c r="O9" s="93">
        <f t="shared" ref="O9:O40" si="1">N9-S9+G9</f>
        <v>3.0108713052751934</v>
      </c>
      <c r="P9" s="93"/>
      <c r="Q9" s="104"/>
      <c r="R9" s="93">
        <f>G9+(H9*'Economic Model'!C$30*'Economic Model'!C$34/1000)+('Economic Model'!K$63/100)</f>
        <v>3.0689242676592055</v>
      </c>
      <c r="S9" s="93">
        <f>R9+('Economic Model'!K$60/100)</f>
        <v>3.6282254022046603</v>
      </c>
      <c r="T9" s="121"/>
      <c r="U9" s="104"/>
      <c r="V9" s="93">
        <f t="shared" ref="V9:V40" si="2">N9-R9</f>
        <v>1.8250731721614435</v>
      </c>
      <c r="W9" s="93">
        <f t="shared" ref="W9:W40" si="3">N9-S9</f>
        <v>1.2657720376159887</v>
      </c>
      <c r="X9" s="105"/>
      <c r="Y9" s="120"/>
      <c r="Z9" s="147">
        <f>W9/('Economic Model'!H$14*(1-'Economic Model'!C$25/100))</f>
        <v>0.38544420628128856</v>
      </c>
      <c r="AA9" s="124"/>
      <c r="AB9" s="123"/>
      <c r="AC9" s="125"/>
      <c r="AD9" s="262">
        <v>0.72375690607734811</v>
      </c>
      <c r="AE9" s="93">
        <f t="shared" ref="AE9:AE40" si="4">AF9-AD9</f>
        <v>1.518232044198895</v>
      </c>
      <c r="AF9" s="17">
        <v>2.2419889502762431</v>
      </c>
      <c r="AG9" s="120"/>
      <c r="AH9" s="93">
        <f>AF9+(H9*'Economic Model'!C$30*'Economic Model'!C$34/1000)+('Economic Model'!K$63/100)</f>
        <v>3.5658139502762434</v>
      </c>
      <c r="AI9" s="93">
        <f>AH9+('Economic Model'!K$60/100)</f>
        <v>4.1251150848216982</v>
      </c>
      <c r="AJ9" s="120"/>
      <c r="AK9" s="91">
        <f t="shared" ref="AK9:AK40" si="5">N9-AH9</f>
        <v>1.3281834895444056</v>
      </c>
      <c r="AL9" s="91">
        <f t="shared" ref="AL9:AL40" si="6">N9-AI9</f>
        <v>0.76888235499895075</v>
      </c>
      <c r="AM9" s="91">
        <f t="shared" ref="AM9:AM40" si="7">O9-G9</f>
        <v>1.2657720376159884</v>
      </c>
      <c r="AN9" s="91">
        <f t="shared" ref="AN9:AN40" si="8">G9-AF9</f>
        <v>-0.49688968261703814</v>
      </c>
      <c r="AO9" s="127"/>
      <c r="AP9" s="120"/>
      <c r="AR9" s="186"/>
      <c r="AS9" s="15"/>
      <c r="AW9" s="273"/>
    </row>
    <row r="10" spans="1:49" hidden="1" x14ac:dyDescent="0.2">
      <c r="A10" s="8">
        <v>38384</v>
      </c>
      <c r="B10" s="6"/>
      <c r="C10" s="50"/>
      <c r="D10" s="118">
        <f>'Returns per Gal.'!C10</f>
        <v>1.3740258174537157</v>
      </c>
      <c r="E10" s="119">
        <f>'Returns per Gal.'!D10</f>
        <v>70.13275227447707</v>
      </c>
      <c r="F10" s="119"/>
      <c r="G10" s="118">
        <f>'Returns per Gal.'!F10</f>
        <v>1.7757299715284061</v>
      </c>
      <c r="H10" s="118">
        <f>'Returns per Gal.'!G10</f>
        <v>7.8</v>
      </c>
      <c r="I10" s="120"/>
      <c r="J10" s="104"/>
      <c r="K10" s="93">
        <f>D10*'Economic Model'!C$30</f>
        <v>3.9159735797430897</v>
      </c>
      <c r="L10" s="93">
        <f>E10/2000*('Economic Model'!C$32+0.5)</f>
        <v>0.59262175671933126</v>
      </c>
      <c r="M10" s="319"/>
      <c r="N10" s="93">
        <f t="shared" si="0"/>
        <v>4.5085953364624212</v>
      </c>
      <c r="O10" s="93">
        <f t="shared" si="1"/>
        <v>2.6571042019169671</v>
      </c>
      <c r="P10" s="93"/>
      <c r="Q10" s="104"/>
      <c r="R10" s="93">
        <f>G10+(H10*'Economic Model'!C$30*'Economic Model'!C$34/1000)+('Economic Model'!K$63/100)</f>
        <v>3.067919971528406</v>
      </c>
      <c r="S10" s="93">
        <f>R10+('Economic Model'!K$60/100)</f>
        <v>3.6272211060738604</v>
      </c>
      <c r="T10" s="121"/>
      <c r="U10" s="104"/>
      <c r="V10" s="93">
        <f t="shared" si="2"/>
        <v>1.4406753649340152</v>
      </c>
      <c r="W10" s="93">
        <f t="shared" si="3"/>
        <v>0.88137423038856078</v>
      </c>
      <c r="X10" s="105"/>
      <c r="Y10" s="120"/>
      <c r="Z10" s="147">
        <f>W10/('Economic Model'!H$14*(1-'Economic Model'!C$25/100))</f>
        <v>0.26839002646064553</v>
      </c>
      <c r="AA10" s="124"/>
      <c r="AB10" s="123"/>
      <c r="AC10" s="125"/>
      <c r="AD10" s="262">
        <v>0.72375690607734811</v>
      </c>
      <c r="AE10" s="93">
        <f t="shared" si="4"/>
        <v>1.518232044198895</v>
      </c>
      <c r="AF10" s="17">
        <v>2.2419889502762431</v>
      </c>
      <c r="AG10" s="120"/>
      <c r="AH10" s="93">
        <f>AF10+(H10*'Economic Model'!C$30*'Economic Model'!C$34/1000)+('Economic Model'!K$63/100)</f>
        <v>3.5341789502762433</v>
      </c>
      <c r="AI10" s="93">
        <f>AH10+('Economic Model'!K$60/100)</f>
        <v>4.0934800848216977</v>
      </c>
      <c r="AJ10" s="120"/>
      <c r="AK10" s="91">
        <f t="shared" si="5"/>
        <v>0.97441638618617787</v>
      </c>
      <c r="AL10" s="91">
        <f t="shared" si="6"/>
        <v>0.41511525164072349</v>
      </c>
      <c r="AM10" s="91">
        <f t="shared" si="7"/>
        <v>0.881374230388561</v>
      </c>
      <c r="AN10" s="91">
        <f t="shared" si="8"/>
        <v>-0.46625897874783706</v>
      </c>
      <c r="AO10" s="127"/>
      <c r="AP10" s="120"/>
      <c r="AR10" s="186"/>
      <c r="AS10" s="274"/>
      <c r="AW10" s="275"/>
    </row>
    <row r="11" spans="1:49" hidden="1" x14ac:dyDescent="0.2">
      <c r="A11" s="6">
        <v>38412</v>
      </c>
      <c r="B11" s="6"/>
      <c r="C11" s="50"/>
      <c r="D11" s="118">
        <f>'Returns per Gal.'!C11</f>
        <v>1.1538293723489537</v>
      </c>
      <c r="E11" s="119">
        <f>'Returns per Gal.'!D11</f>
        <v>70.613113591425545</v>
      </c>
      <c r="F11" s="119"/>
      <c r="G11" s="118">
        <f>'Returns per Gal.'!F11</f>
        <v>1.8650695244802427</v>
      </c>
      <c r="H11" s="118">
        <f>'Returns per Gal.'!G11</f>
        <v>8.09</v>
      </c>
      <c r="I11" s="120"/>
      <c r="J11" s="104"/>
      <c r="K11" s="93">
        <f>D11*'Economic Model'!C$30</f>
        <v>3.2884137111945182</v>
      </c>
      <c r="L11" s="93">
        <f>E11/2000*('Economic Model'!C$32+0.5)</f>
        <v>0.59668080984754579</v>
      </c>
      <c r="M11" s="319"/>
      <c r="N11" s="93">
        <f t="shared" si="0"/>
        <v>3.8850945210420642</v>
      </c>
      <c r="O11" s="93">
        <f t="shared" si="1"/>
        <v>2.0088083864966091</v>
      </c>
      <c r="P11" s="93"/>
      <c r="Q11" s="104"/>
      <c r="R11" s="93">
        <f>G11+(H11*'Economic Model'!C$30*'Economic Model'!C$34/1000)+('Economic Model'!K$63/100)</f>
        <v>3.1820545244802427</v>
      </c>
      <c r="S11" s="93">
        <f>R11+('Economic Model'!K$60/100)</f>
        <v>3.7413556590256976</v>
      </c>
      <c r="T11" s="121"/>
      <c r="U11" s="104"/>
      <c r="V11" s="93">
        <f t="shared" si="2"/>
        <v>0.70303999656182148</v>
      </c>
      <c r="W11" s="93">
        <f t="shared" si="3"/>
        <v>0.14373886201636665</v>
      </c>
      <c r="X11" s="105"/>
      <c r="Y11" s="120"/>
      <c r="Z11" s="147">
        <f>W11/('Economic Model'!H$14*(1-'Economic Model'!C$25/100))</f>
        <v>4.377037091609573E-2</v>
      </c>
      <c r="AA11" s="124"/>
      <c r="AB11" s="123"/>
      <c r="AC11" s="125"/>
      <c r="AD11" s="262">
        <v>0.72375690607734811</v>
      </c>
      <c r="AE11" s="93">
        <f t="shared" si="4"/>
        <v>1.518232044198895</v>
      </c>
      <c r="AF11" s="17">
        <v>2.2419889502762431</v>
      </c>
      <c r="AG11" s="120"/>
      <c r="AH11" s="93">
        <f>AF11+(H11*'Economic Model'!C$30*'Economic Model'!C$34/1000)+('Economic Model'!K$63/100)</f>
        <v>3.558973950276243</v>
      </c>
      <c r="AI11" s="93">
        <f>AH11+('Economic Model'!K$60/100)</f>
        <v>4.1182750848216978</v>
      </c>
      <c r="AJ11" s="120"/>
      <c r="AK11" s="91">
        <f t="shared" si="5"/>
        <v>0.32612057076582124</v>
      </c>
      <c r="AL11" s="91">
        <f t="shared" si="6"/>
        <v>-0.23318056377963359</v>
      </c>
      <c r="AM11" s="91">
        <f t="shared" si="7"/>
        <v>0.14373886201636643</v>
      </c>
      <c r="AN11" s="91">
        <f t="shared" si="8"/>
        <v>-0.37691942579600046</v>
      </c>
      <c r="AO11" s="127"/>
      <c r="AP11" s="120"/>
      <c r="AR11" s="186"/>
      <c r="AS11" s="15"/>
      <c r="AW11" s="273"/>
    </row>
    <row r="12" spans="1:49" hidden="1" x14ac:dyDescent="0.2">
      <c r="A12" s="8">
        <v>38443</v>
      </c>
      <c r="B12" s="6"/>
      <c r="C12" s="50"/>
      <c r="D12" s="118">
        <f>'Returns per Gal.'!C12</f>
        <v>1.0569429365028582</v>
      </c>
      <c r="E12" s="119">
        <f>'Returns per Gal.'!D12</f>
        <v>71.09347490837402</v>
      </c>
      <c r="F12" s="119"/>
      <c r="G12" s="118">
        <f>'Returns per Gal.'!F12</f>
        <v>1.8301845561847634</v>
      </c>
      <c r="H12" s="118">
        <f>'Returns per Gal.'!G12</f>
        <v>7.66</v>
      </c>
      <c r="I12" s="120"/>
      <c r="J12" s="104"/>
      <c r="K12" s="93">
        <f>D12*'Economic Model'!C$30</f>
        <v>3.012287369033146</v>
      </c>
      <c r="L12" s="93">
        <f>E12/2000*('Economic Model'!C$32+0.5)</f>
        <v>0.60073986297576043</v>
      </c>
      <c r="M12" s="319"/>
      <c r="N12" s="93">
        <f t="shared" si="0"/>
        <v>3.6130272320089065</v>
      </c>
      <c r="O12" s="93">
        <f t="shared" si="1"/>
        <v>1.7735060974634516</v>
      </c>
      <c r="P12" s="93"/>
      <c r="Q12" s="104"/>
      <c r="R12" s="93">
        <f>G12+(H12*'Economic Model'!C$30*'Economic Model'!C$34/1000)+('Economic Model'!K$63/100)</f>
        <v>3.1104045561847635</v>
      </c>
      <c r="S12" s="93">
        <f>R12+('Economic Model'!K$60/100)</f>
        <v>3.6697056907302184</v>
      </c>
      <c r="T12" s="121"/>
      <c r="U12" s="104"/>
      <c r="V12" s="93">
        <f t="shared" si="2"/>
        <v>0.50262267582414299</v>
      </c>
      <c r="W12" s="93">
        <f t="shared" si="3"/>
        <v>-5.6678458721311831E-2</v>
      </c>
      <c r="X12" s="105"/>
      <c r="Y12" s="120"/>
      <c r="Z12" s="147">
        <f>W12/('Economic Model'!H$14*(1-'Economic Model'!C$25/100))</f>
        <v>-1.7259334924343301E-2</v>
      </c>
      <c r="AA12" s="124"/>
      <c r="AB12" s="123"/>
      <c r="AC12" s="125"/>
      <c r="AD12" s="262">
        <v>0.72375690607734811</v>
      </c>
      <c r="AE12" s="93">
        <f t="shared" si="4"/>
        <v>1.518232044198895</v>
      </c>
      <c r="AF12" s="17">
        <v>2.2419889502762431</v>
      </c>
      <c r="AG12" s="120"/>
      <c r="AH12" s="93">
        <f>AF12+(H12*'Economic Model'!C$30*'Economic Model'!C$34/1000)+('Economic Model'!K$63/100)</f>
        <v>3.522208950276243</v>
      </c>
      <c r="AI12" s="93">
        <f>AH12+('Economic Model'!K$60/100)</f>
        <v>4.0815100848216979</v>
      </c>
      <c r="AJ12" s="120"/>
      <c r="AK12" s="91">
        <f t="shared" si="5"/>
        <v>9.0818281732663486E-2</v>
      </c>
      <c r="AL12" s="91">
        <f t="shared" si="6"/>
        <v>-0.46848285281279134</v>
      </c>
      <c r="AM12" s="91">
        <f t="shared" si="7"/>
        <v>-5.6678458721311831E-2</v>
      </c>
      <c r="AN12" s="91">
        <f t="shared" si="8"/>
        <v>-0.41180439409147973</v>
      </c>
      <c r="AO12" s="127"/>
      <c r="AP12" s="120"/>
      <c r="AR12" s="186"/>
      <c r="AS12" s="15"/>
      <c r="AW12" s="273"/>
    </row>
    <row r="13" spans="1:49" hidden="1" x14ac:dyDescent="0.2">
      <c r="A13" s="6">
        <v>38473</v>
      </c>
      <c r="B13" s="6"/>
      <c r="C13" s="50"/>
      <c r="D13" s="118">
        <f>'Returns per Gal.'!C13</f>
        <v>1.0569429365028582</v>
      </c>
      <c r="E13" s="119">
        <f>'Returns per Gal.'!D13</f>
        <v>73.014920176167905</v>
      </c>
      <c r="F13" s="119"/>
      <c r="G13" s="118">
        <f>'Returns per Gal.'!F13</f>
        <v>1.8259302917584859</v>
      </c>
      <c r="H13" s="118">
        <f>'Returns per Gal.'!G13</f>
        <v>8.11</v>
      </c>
      <c r="I13" s="120"/>
      <c r="J13" s="104"/>
      <c r="K13" s="93">
        <f>D13*'Economic Model'!C$30</f>
        <v>3.012287369033146</v>
      </c>
      <c r="L13" s="93">
        <f>E13/2000*('Economic Model'!C$32+0.5)</f>
        <v>0.61697607548861877</v>
      </c>
      <c r="M13" s="319"/>
      <c r="N13" s="93">
        <f t="shared" si="0"/>
        <v>3.6292634445217646</v>
      </c>
      <c r="O13" s="93">
        <f t="shared" si="1"/>
        <v>1.7512673099763099</v>
      </c>
      <c r="P13" s="93"/>
      <c r="Q13" s="104"/>
      <c r="R13" s="93">
        <f>G13+(H13*'Economic Model'!C$30*'Economic Model'!C$34/1000)+('Economic Model'!K$63/100)</f>
        <v>3.1446252917584858</v>
      </c>
      <c r="S13" s="93">
        <f>R13+('Economic Model'!K$60/100)</f>
        <v>3.7039264263039406</v>
      </c>
      <c r="T13" s="121"/>
      <c r="U13" s="104"/>
      <c r="V13" s="93">
        <f t="shared" si="2"/>
        <v>0.48463815276327882</v>
      </c>
      <c r="W13" s="93">
        <f t="shared" si="3"/>
        <v>-7.4662981782176008E-2</v>
      </c>
      <c r="X13" s="105"/>
      <c r="Y13" s="120"/>
      <c r="Z13" s="147">
        <f>W13/('Economic Model'!H$14*(1-'Economic Model'!C$25/100))</f>
        <v>-2.2735858350787778E-2</v>
      </c>
      <c r="AA13" s="124"/>
      <c r="AB13" s="123"/>
      <c r="AC13" s="125"/>
      <c r="AD13" s="262">
        <v>0.72375690607734811</v>
      </c>
      <c r="AE13" s="93">
        <f t="shared" si="4"/>
        <v>1.518232044198895</v>
      </c>
      <c r="AF13" s="17">
        <v>2.2419889502762431</v>
      </c>
      <c r="AG13" s="120"/>
      <c r="AH13" s="93">
        <f>AF13+(H13*'Economic Model'!C$30*'Economic Model'!C$34/1000)+('Economic Model'!K$63/100)</f>
        <v>3.5606839502762431</v>
      </c>
      <c r="AI13" s="93">
        <f>AH13+('Economic Model'!K$60/100)</f>
        <v>4.1199850848216979</v>
      </c>
      <c r="AJ13" s="120"/>
      <c r="AK13" s="91">
        <f t="shared" si="5"/>
        <v>6.8579494245521566E-2</v>
      </c>
      <c r="AL13" s="91">
        <f t="shared" si="6"/>
        <v>-0.49072164029993326</v>
      </c>
      <c r="AM13" s="91">
        <f t="shared" si="7"/>
        <v>-7.4662981782176008E-2</v>
      </c>
      <c r="AN13" s="91">
        <f t="shared" si="8"/>
        <v>-0.41605865851775725</v>
      </c>
      <c r="AO13" s="127"/>
      <c r="AP13" s="120"/>
      <c r="AR13" s="186"/>
      <c r="AS13" s="15"/>
      <c r="AW13" s="273"/>
    </row>
    <row r="14" spans="1:49" hidden="1" x14ac:dyDescent="0.2">
      <c r="A14" s="8">
        <v>38504</v>
      </c>
      <c r="B14" s="6"/>
      <c r="C14" s="50"/>
      <c r="D14" s="118">
        <f>'Returns per Gal.'!C14</f>
        <v>1.2507158081950489</v>
      </c>
      <c r="E14" s="119">
        <f>'Returns per Gal.'!D14</f>
        <v>73.014920176167905</v>
      </c>
      <c r="F14" s="119"/>
      <c r="G14" s="118">
        <f>'Returns per Gal.'!F14</f>
        <v>1.8691536183294688</v>
      </c>
      <c r="H14" s="118">
        <f>'Returns per Gal.'!G14</f>
        <v>7.65</v>
      </c>
      <c r="I14" s="120"/>
      <c r="J14" s="104"/>
      <c r="K14" s="93">
        <f>D14*'Economic Model'!C$30</f>
        <v>3.5645400533558895</v>
      </c>
      <c r="L14" s="93">
        <f>E14/2000*('Economic Model'!C$32+0.5)</f>
        <v>0.61697607548861877</v>
      </c>
      <c r="M14" s="319"/>
      <c r="N14" s="93">
        <f t="shared" si="0"/>
        <v>4.1815161288445086</v>
      </c>
      <c r="O14" s="93">
        <f t="shared" si="1"/>
        <v>2.3428499942990535</v>
      </c>
      <c r="P14" s="93"/>
      <c r="Q14" s="104"/>
      <c r="R14" s="93">
        <f>G14+(H14*'Economic Model'!C$30*'Economic Model'!C$34/1000)+('Economic Model'!K$63/100)</f>
        <v>3.1485186183294691</v>
      </c>
      <c r="S14" s="93">
        <f>R14+('Economic Model'!K$60/100)</f>
        <v>3.7078197528749239</v>
      </c>
      <c r="T14" s="121"/>
      <c r="U14" s="104"/>
      <c r="V14" s="93">
        <f t="shared" si="2"/>
        <v>1.0329975105150395</v>
      </c>
      <c r="W14" s="93">
        <f t="shared" si="3"/>
        <v>0.47369637596958469</v>
      </c>
      <c r="X14" s="105"/>
      <c r="Y14" s="120"/>
      <c r="Z14" s="147">
        <f>W14/('Economic Model'!H$14*(1-'Economic Model'!C$25/100))</f>
        <v>0.1442467665803436</v>
      </c>
      <c r="AA14" s="124"/>
      <c r="AB14" s="123"/>
      <c r="AC14" s="125"/>
      <c r="AD14" s="262">
        <v>0.72375690607734811</v>
      </c>
      <c r="AE14" s="93">
        <f t="shared" si="4"/>
        <v>1.518232044198895</v>
      </c>
      <c r="AF14" s="17">
        <v>2.2419889502762431</v>
      </c>
      <c r="AG14" s="120"/>
      <c r="AH14" s="93">
        <f>AF14+(H14*'Economic Model'!C$30*'Economic Model'!C$34/1000)+('Economic Model'!K$63/100)</f>
        <v>3.5213539502762434</v>
      </c>
      <c r="AI14" s="93">
        <f>AH14+('Economic Model'!K$60/100)</f>
        <v>4.0806550848216983</v>
      </c>
      <c r="AJ14" s="120"/>
      <c r="AK14" s="91">
        <f t="shared" si="5"/>
        <v>0.6601621785682652</v>
      </c>
      <c r="AL14" s="91">
        <f t="shared" si="6"/>
        <v>0.10086104402281038</v>
      </c>
      <c r="AM14" s="91">
        <f t="shared" si="7"/>
        <v>0.47369637596958469</v>
      </c>
      <c r="AN14" s="91">
        <f t="shared" si="8"/>
        <v>-0.37283533194677432</v>
      </c>
      <c r="AO14" s="127"/>
      <c r="AP14" s="120"/>
      <c r="AR14" s="186"/>
      <c r="AS14" s="15"/>
      <c r="AW14" s="273"/>
    </row>
    <row r="15" spans="1:49" hidden="1" x14ac:dyDescent="0.2">
      <c r="A15" s="6">
        <v>38534</v>
      </c>
      <c r="B15" s="6"/>
      <c r="C15" s="50"/>
      <c r="D15" s="118">
        <f>'Returns per Gal.'!C15</f>
        <v>1.5677986891459064</v>
      </c>
      <c r="E15" s="119">
        <f>'Returns per Gal.'!D15</f>
        <v>76.85781071175569</v>
      </c>
      <c r="F15" s="119"/>
      <c r="G15" s="118">
        <f>'Returns per Gal.'!F15</f>
        <v>1.9978025745801133</v>
      </c>
      <c r="H15" s="118">
        <f>'Returns per Gal.'!G15</f>
        <v>7.92</v>
      </c>
      <c r="I15" s="120"/>
      <c r="J15" s="104"/>
      <c r="K15" s="93">
        <f>D15*'Economic Model'!C$30</f>
        <v>4.4682262640658337</v>
      </c>
      <c r="L15" s="93">
        <f>E15/2000*('Economic Model'!C$32+0.5)</f>
        <v>0.64944850051433556</v>
      </c>
      <c r="M15" s="319"/>
      <c r="N15" s="93">
        <f t="shared" si="0"/>
        <v>5.117674764580169</v>
      </c>
      <c r="O15" s="93">
        <f t="shared" si="1"/>
        <v>3.2559236300347143</v>
      </c>
      <c r="P15" s="93"/>
      <c r="Q15" s="104"/>
      <c r="R15" s="93">
        <f>G15+(H15*'Economic Model'!C$30*'Economic Model'!C$34/1000)+('Economic Model'!K$63/100)</f>
        <v>3.3002525745801132</v>
      </c>
      <c r="S15" s="93">
        <f>R15+('Economic Model'!K$60/100)</f>
        <v>3.8595537091255681</v>
      </c>
      <c r="T15" s="121"/>
      <c r="U15" s="104"/>
      <c r="V15" s="93">
        <f t="shared" si="2"/>
        <v>1.8174221900000558</v>
      </c>
      <c r="W15" s="93">
        <f t="shared" si="3"/>
        <v>1.258121055454601</v>
      </c>
      <c r="X15" s="105"/>
      <c r="Y15" s="120"/>
      <c r="Z15" s="147">
        <f>W15/('Economic Model'!H$14*(1-'Economic Model'!C$25/100))</f>
        <v>0.3831143817482528</v>
      </c>
      <c r="AA15" s="124"/>
      <c r="AB15" s="123"/>
      <c r="AC15" s="125"/>
      <c r="AD15" s="262">
        <v>0.72375690607734811</v>
      </c>
      <c r="AE15" s="93">
        <f t="shared" si="4"/>
        <v>1.518232044198895</v>
      </c>
      <c r="AF15" s="17">
        <v>2.2419889502762431</v>
      </c>
      <c r="AG15" s="120"/>
      <c r="AH15" s="93">
        <f>AF15+(H15*'Economic Model'!C$30*'Economic Model'!C$34/1000)+('Economic Model'!K$63/100)</f>
        <v>3.5444389502762434</v>
      </c>
      <c r="AI15" s="93">
        <f>AH15+('Economic Model'!K$60/100)</f>
        <v>4.1037400848216983</v>
      </c>
      <c r="AJ15" s="120"/>
      <c r="AK15" s="91">
        <f t="shared" si="5"/>
        <v>1.5732358143039256</v>
      </c>
      <c r="AL15" s="91">
        <f t="shared" si="6"/>
        <v>1.0139346797584707</v>
      </c>
      <c r="AM15" s="91">
        <f t="shared" si="7"/>
        <v>1.258121055454601</v>
      </c>
      <c r="AN15" s="91">
        <f t="shared" si="8"/>
        <v>-0.24418637569612978</v>
      </c>
      <c r="AO15" s="127"/>
      <c r="AP15" s="120"/>
      <c r="AR15" s="186"/>
      <c r="AS15" s="15"/>
      <c r="AW15" s="273"/>
    </row>
    <row r="16" spans="1:49" hidden="1" x14ac:dyDescent="0.2">
      <c r="A16" s="8">
        <v>38565</v>
      </c>
      <c r="B16" s="6"/>
      <c r="C16" s="50"/>
      <c r="D16" s="118">
        <f>'Returns per Gal.'!C16</f>
        <v>1.8232265654674302</v>
      </c>
      <c r="E16" s="119">
        <f>'Returns per Gal.'!D16</f>
        <v>76.85781071175569</v>
      </c>
      <c r="F16" s="119"/>
      <c r="G16" s="118">
        <f>'Returns per Gal.'!F16</f>
        <v>1.7459501205444605</v>
      </c>
      <c r="H16" s="118">
        <f>'Returns per Gal.'!G16</f>
        <v>9.24</v>
      </c>
      <c r="I16" s="120"/>
      <c r="J16" s="104"/>
      <c r="K16" s="93">
        <f>D16*'Economic Model'!C$30</f>
        <v>5.1961957115821766</v>
      </c>
      <c r="L16" s="93">
        <f>E16/2000*('Economic Model'!C$32+0.5)</f>
        <v>0.64944850051433556</v>
      </c>
      <c r="M16" s="319"/>
      <c r="N16" s="93">
        <f t="shared" si="0"/>
        <v>5.845644212096512</v>
      </c>
      <c r="O16" s="93">
        <f t="shared" si="1"/>
        <v>3.8710330775510569</v>
      </c>
      <c r="P16" s="93"/>
      <c r="Q16" s="104"/>
      <c r="R16" s="93">
        <f>G16+(H16*'Economic Model'!C$30*'Economic Model'!C$34/1000)+('Economic Model'!K$63/100)</f>
        <v>3.1612601205444606</v>
      </c>
      <c r="S16" s="93">
        <f>R16+('Economic Model'!K$60/100)</f>
        <v>3.7205612550899154</v>
      </c>
      <c r="T16" s="121"/>
      <c r="U16" s="104"/>
      <c r="V16" s="93">
        <f t="shared" si="2"/>
        <v>2.6843840915520514</v>
      </c>
      <c r="W16" s="93">
        <f t="shared" si="3"/>
        <v>2.1250829570065966</v>
      </c>
      <c r="X16" s="105"/>
      <c r="Y16" s="120"/>
      <c r="Z16" s="147">
        <f>W16/('Economic Model'!H$14*(1-'Economic Model'!C$25/100))</f>
        <v>0.64711566483016358</v>
      </c>
      <c r="AA16" s="124"/>
      <c r="AB16" s="123"/>
      <c r="AC16" s="125"/>
      <c r="AD16" s="262">
        <v>0.72375690607734811</v>
      </c>
      <c r="AE16" s="93">
        <f t="shared" si="4"/>
        <v>1.518232044198895</v>
      </c>
      <c r="AF16" s="17">
        <v>2.2419889502762431</v>
      </c>
      <c r="AG16" s="120"/>
      <c r="AH16" s="93">
        <f>AF16+(H16*'Economic Model'!C$30*'Economic Model'!C$34/1000)+('Economic Model'!K$63/100)</f>
        <v>3.6572989502762434</v>
      </c>
      <c r="AI16" s="93">
        <f>AH16+('Economic Model'!K$60/100)</f>
        <v>4.2166000848216978</v>
      </c>
      <c r="AJ16" s="120"/>
      <c r="AK16" s="91">
        <f t="shared" si="5"/>
        <v>2.1883452618202686</v>
      </c>
      <c r="AL16" s="91">
        <f t="shared" si="6"/>
        <v>1.6290441272748142</v>
      </c>
      <c r="AM16" s="91">
        <f t="shared" si="7"/>
        <v>2.1250829570065966</v>
      </c>
      <c r="AN16" s="91">
        <f t="shared" si="8"/>
        <v>-0.49603882973178259</v>
      </c>
      <c r="AO16" s="127"/>
      <c r="AP16" s="120"/>
      <c r="AR16" s="186"/>
      <c r="AS16" s="15"/>
      <c r="AW16" s="273"/>
    </row>
    <row r="17" spans="1:49" hidden="1" x14ac:dyDescent="0.2">
      <c r="A17" s="6">
        <v>38596</v>
      </c>
      <c r="B17" s="6"/>
      <c r="C17" s="50"/>
      <c r="D17" s="118">
        <f>'Returns per Gal.'!C17</f>
        <v>2.4133530383481934</v>
      </c>
      <c r="E17" s="119">
        <f>'Returns per Gal.'!D17</f>
        <v>74.93636544396179</v>
      </c>
      <c r="F17" s="119"/>
      <c r="G17" s="118">
        <f>'Returns per Gal.'!F17</f>
        <v>1.5764602258015483</v>
      </c>
      <c r="H17" s="118">
        <f>'Returns per Gal.'!G17</f>
        <v>10.27</v>
      </c>
      <c r="I17" s="120"/>
      <c r="J17" s="104"/>
      <c r="K17" s="93">
        <f>D17*'Economic Model'!C$30</f>
        <v>6.8780561592923517</v>
      </c>
      <c r="L17" s="93">
        <f>E17/2000*('Economic Model'!C$32+0.5)</f>
        <v>0.63321228800147711</v>
      </c>
      <c r="M17" s="319"/>
      <c r="N17" s="93">
        <f t="shared" si="0"/>
        <v>7.5112684472938289</v>
      </c>
      <c r="O17" s="93">
        <f t="shared" si="1"/>
        <v>5.4485923127483735</v>
      </c>
      <c r="P17" s="93"/>
      <c r="Q17" s="104"/>
      <c r="R17" s="93">
        <f>G17+(H17*'Economic Model'!C$30*'Economic Model'!C$34/1000)+('Economic Model'!K$63/100)</f>
        <v>3.0798352258015487</v>
      </c>
      <c r="S17" s="93">
        <f>R17+('Economic Model'!K$60/100)</f>
        <v>3.6391363603470035</v>
      </c>
      <c r="T17" s="121"/>
      <c r="U17" s="104"/>
      <c r="V17" s="93">
        <f t="shared" si="2"/>
        <v>4.4314332214922807</v>
      </c>
      <c r="W17" s="93">
        <f t="shared" si="3"/>
        <v>3.8721320869468254</v>
      </c>
      <c r="X17" s="105"/>
      <c r="Y17" s="120"/>
      <c r="Z17" s="147">
        <f>W17/('Economic Model'!H$14*(1-'Economic Model'!C$25/100))</f>
        <v>1.1791150653640226</v>
      </c>
      <c r="AA17" s="124"/>
      <c r="AB17" s="123"/>
      <c r="AC17" s="125"/>
      <c r="AD17" s="262">
        <v>0.78034682080924855</v>
      </c>
      <c r="AE17" s="93">
        <f t="shared" si="4"/>
        <v>1.7864739884393062</v>
      </c>
      <c r="AF17" s="17">
        <v>2.5668208092485547</v>
      </c>
      <c r="AG17" s="120"/>
      <c r="AH17" s="93">
        <f>AF17+(H17*'Economic Model'!C$30*'Economic Model'!C$34/1000)+('Economic Model'!K$63/100)</f>
        <v>4.0701958092485544</v>
      </c>
      <c r="AI17" s="93">
        <f>AH17+('Economic Model'!K$60/100)</f>
        <v>4.6294969437940088</v>
      </c>
      <c r="AJ17" s="120"/>
      <c r="AK17" s="91">
        <f t="shared" si="5"/>
        <v>3.4410726380452745</v>
      </c>
      <c r="AL17" s="91">
        <f t="shared" si="6"/>
        <v>2.8817715034998201</v>
      </c>
      <c r="AM17" s="91">
        <f t="shared" si="7"/>
        <v>3.8721320869468254</v>
      </c>
      <c r="AN17" s="91">
        <f t="shared" si="8"/>
        <v>-0.99036058344700639</v>
      </c>
      <c r="AO17" s="127"/>
      <c r="AP17" s="120"/>
      <c r="AR17" s="186"/>
      <c r="AS17" s="15"/>
      <c r="AW17" s="273"/>
    </row>
    <row r="18" spans="1:49" hidden="1" x14ac:dyDescent="0.2">
      <c r="A18" s="8">
        <v>38626</v>
      </c>
      <c r="B18" s="6"/>
      <c r="C18" s="50"/>
      <c r="D18" s="118">
        <f>'Returns per Gal.'!C18</f>
        <v>2.1755408776350502</v>
      </c>
      <c r="E18" s="119">
        <f>'Returns per Gal.'!D18</f>
        <v>74.93636544396179</v>
      </c>
      <c r="F18" s="119"/>
      <c r="G18" s="118">
        <f>'Returns per Gal.'!F18</f>
        <v>1.4847382847709956</v>
      </c>
      <c r="H18" s="118">
        <f>'Returns per Gal.'!G18</f>
        <v>11.53</v>
      </c>
      <c r="I18" s="120"/>
      <c r="J18" s="104"/>
      <c r="K18" s="93">
        <f>D18*'Economic Model'!C$30</f>
        <v>6.2002915012598931</v>
      </c>
      <c r="L18" s="93">
        <f>E18/2000*('Economic Model'!C$32+0.5)</f>
        <v>0.63321228800147711</v>
      </c>
      <c r="M18" s="319"/>
      <c r="N18" s="93">
        <f t="shared" si="0"/>
        <v>6.8335037892613704</v>
      </c>
      <c r="O18" s="93">
        <f t="shared" si="1"/>
        <v>4.6630976547159149</v>
      </c>
      <c r="P18" s="93"/>
      <c r="Q18" s="104"/>
      <c r="R18" s="93">
        <f>G18+(H18*'Economic Model'!C$30*'Economic Model'!C$34/1000)+('Economic Model'!K$63/100)</f>
        <v>3.095843284770996</v>
      </c>
      <c r="S18" s="93">
        <f>R18+('Economic Model'!K$60/100)</f>
        <v>3.6551444193164508</v>
      </c>
      <c r="T18" s="121"/>
      <c r="U18" s="104"/>
      <c r="V18" s="93">
        <f t="shared" si="2"/>
        <v>3.7376605044903743</v>
      </c>
      <c r="W18" s="93">
        <f t="shared" si="3"/>
        <v>3.1783593699449195</v>
      </c>
      <c r="X18" s="105"/>
      <c r="Y18" s="120"/>
      <c r="Z18" s="147">
        <f>W18/('Economic Model'!H$14*(1-'Economic Model'!C$25/100))</f>
        <v>0.96785216312132039</v>
      </c>
      <c r="AA18" s="124"/>
      <c r="AB18" s="123"/>
      <c r="AC18" s="125"/>
      <c r="AD18" s="262">
        <v>0.78034682080924855</v>
      </c>
      <c r="AE18" s="93">
        <f t="shared" si="4"/>
        <v>1.7864739884393062</v>
      </c>
      <c r="AF18" s="17">
        <v>2.5668208092485547</v>
      </c>
      <c r="AG18" s="120"/>
      <c r="AH18" s="93">
        <f>AF18+(H18*'Economic Model'!C$30*'Economic Model'!C$34/1000)+('Economic Model'!K$63/100)</f>
        <v>4.1779258092485545</v>
      </c>
      <c r="AI18" s="93">
        <f>AH18+('Economic Model'!K$60/100)</f>
        <v>4.7372269437940089</v>
      </c>
      <c r="AJ18" s="120"/>
      <c r="AK18" s="91">
        <f t="shared" si="5"/>
        <v>2.6555779800128159</v>
      </c>
      <c r="AL18" s="91">
        <f t="shared" si="6"/>
        <v>2.0962768454673615</v>
      </c>
      <c r="AM18" s="91">
        <f t="shared" si="7"/>
        <v>3.1783593699449195</v>
      </c>
      <c r="AN18" s="91">
        <f t="shared" si="8"/>
        <v>-1.0820825244775591</v>
      </c>
      <c r="AO18" s="127"/>
      <c r="AP18" s="120"/>
      <c r="AR18" s="186"/>
      <c r="AS18" s="15"/>
      <c r="AW18" s="273"/>
    </row>
    <row r="19" spans="1:49" hidden="1" x14ac:dyDescent="0.2">
      <c r="A19" s="6">
        <v>38657</v>
      </c>
      <c r="B19" s="6"/>
      <c r="C19" s="50"/>
      <c r="D19" s="118">
        <f>'Returns per Gal.'!C19</f>
        <v>1.8408422810758114</v>
      </c>
      <c r="E19" s="119">
        <f>'Returns per Gal.'!D19</f>
        <v>74.93636544396179</v>
      </c>
      <c r="F19" s="119"/>
      <c r="G19" s="118">
        <f>'Returns per Gal.'!F19</f>
        <v>1.5306843405747976</v>
      </c>
      <c r="H19" s="118">
        <f>'Returns per Gal.'!G19</f>
        <v>12.18</v>
      </c>
      <c r="I19" s="120"/>
      <c r="J19" s="104"/>
      <c r="K19" s="93">
        <f>D19*'Economic Model'!C$30</f>
        <v>5.2464005010660628</v>
      </c>
      <c r="L19" s="93">
        <f>E19/2000*('Economic Model'!C$32+0.5)</f>
        <v>0.63321228800147711</v>
      </c>
      <c r="M19" s="319"/>
      <c r="N19" s="93">
        <f t="shared" si="0"/>
        <v>5.87961278906754</v>
      </c>
      <c r="O19" s="93">
        <f t="shared" si="1"/>
        <v>3.6536316545220853</v>
      </c>
      <c r="P19" s="93"/>
      <c r="Q19" s="104"/>
      <c r="R19" s="93">
        <f>G19+(H19*'Economic Model'!C$30*'Economic Model'!C$34/1000)+('Economic Model'!K$63/100)</f>
        <v>3.1973643405747976</v>
      </c>
      <c r="S19" s="93">
        <f>R19+('Economic Model'!K$60/100)</f>
        <v>3.7566654751202524</v>
      </c>
      <c r="T19" s="121"/>
      <c r="U19" s="104"/>
      <c r="V19" s="93">
        <f t="shared" si="2"/>
        <v>2.6822484484927425</v>
      </c>
      <c r="W19" s="93">
        <f t="shared" si="3"/>
        <v>2.1229473139472876</v>
      </c>
      <c r="X19" s="105"/>
      <c r="Y19" s="120"/>
      <c r="Z19" s="147">
        <f>W19/('Economic Model'!H$14*(1-'Economic Model'!C$25/100))</f>
        <v>0.64646533347551782</v>
      </c>
      <c r="AA19" s="124"/>
      <c r="AB19" s="123"/>
      <c r="AC19" s="125"/>
      <c r="AD19" s="262">
        <v>0.78034682080924855</v>
      </c>
      <c r="AE19" s="93">
        <f t="shared" si="4"/>
        <v>1.7864739884393062</v>
      </c>
      <c r="AF19" s="17">
        <v>2.5668208092485547</v>
      </c>
      <c r="AG19" s="120"/>
      <c r="AH19" s="93">
        <f>AF19+(H19*'Economic Model'!C$30*'Economic Model'!C$34/1000)+('Economic Model'!K$63/100)</f>
        <v>4.2335008092485547</v>
      </c>
      <c r="AI19" s="93">
        <f>AH19+('Economic Model'!K$60/100)</f>
        <v>4.792801943794009</v>
      </c>
      <c r="AJ19" s="120"/>
      <c r="AK19" s="91">
        <f t="shared" si="5"/>
        <v>1.6461119798189854</v>
      </c>
      <c r="AL19" s="91">
        <f t="shared" si="6"/>
        <v>1.086810845273531</v>
      </c>
      <c r="AM19" s="91">
        <f t="shared" si="7"/>
        <v>2.1229473139472876</v>
      </c>
      <c r="AN19" s="91">
        <f t="shared" si="8"/>
        <v>-1.0361364686737571</v>
      </c>
      <c r="AO19" s="127"/>
      <c r="AP19" s="120"/>
      <c r="AR19" s="186"/>
      <c r="AS19" s="15"/>
      <c r="AW19" s="273"/>
    </row>
    <row r="20" spans="1:49" hidden="1" x14ac:dyDescent="0.2">
      <c r="A20" s="68">
        <v>38687</v>
      </c>
      <c r="B20" s="70"/>
      <c r="C20" s="67"/>
      <c r="D20" s="128">
        <f>'Returns per Gal.'!C20</f>
        <v>1.7527637030339065</v>
      </c>
      <c r="E20" s="129">
        <f>'Returns per Gal.'!D20</f>
        <v>84.15930272937247</v>
      </c>
      <c r="F20" s="129"/>
      <c r="G20" s="128">
        <f>'Returns per Gal.'!F20</f>
        <v>1.7132773697506458</v>
      </c>
      <c r="H20" s="128">
        <f>'Returns per Gal.'!G20</f>
        <v>12.05</v>
      </c>
      <c r="I20" s="130"/>
      <c r="J20" s="106"/>
      <c r="K20" s="97">
        <f>D20*'Economic Model'!C$30</f>
        <v>4.9953765536466337</v>
      </c>
      <c r="L20" s="97">
        <f>E20/2000*('Economic Model'!C$32+0.5)</f>
        <v>0.71114610806319734</v>
      </c>
      <c r="M20" s="320"/>
      <c r="N20" s="97">
        <f t="shared" si="0"/>
        <v>5.7065226617098315</v>
      </c>
      <c r="O20" s="97">
        <f t="shared" si="1"/>
        <v>3.4916565271643769</v>
      </c>
      <c r="P20" s="97"/>
      <c r="Q20" s="106"/>
      <c r="R20" s="97">
        <f>G20+(H20*'Economic Model'!C$30*'Economic Model'!C$34/1000)+('Economic Model'!K$63/100)</f>
        <v>3.368842369750646</v>
      </c>
      <c r="S20" s="97">
        <f>R20+('Economic Model'!K$60/100)</f>
        <v>3.9281435042961004</v>
      </c>
      <c r="T20" s="131"/>
      <c r="U20" s="106"/>
      <c r="V20" s="97">
        <f t="shared" si="2"/>
        <v>2.3376802919591855</v>
      </c>
      <c r="W20" s="97">
        <f t="shared" si="3"/>
        <v>1.7783791574137311</v>
      </c>
      <c r="X20" s="107"/>
      <c r="Y20" s="130"/>
      <c r="Z20" s="148">
        <f>W20/('Economic Model'!H$14*(1-'Economic Model'!C$25/100))</f>
        <v>0.54153980529350243</v>
      </c>
      <c r="AA20" s="133"/>
      <c r="AB20" s="123"/>
      <c r="AC20" s="134"/>
      <c r="AD20" s="263">
        <v>0.78034682080924855</v>
      </c>
      <c r="AE20" s="97">
        <f t="shared" si="4"/>
        <v>1.7864739884393062</v>
      </c>
      <c r="AF20" s="65">
        <v>2.5668208092485547</v>
      </c>
      <c r="AG20" s="130"/>
      <c r="AH20" s="97">
        <f>AF20+(H20*'Economic Model'!C$30*'Economic Model'!C$34/1000)+('Economic Model'!K$63/100)</f>
        <v>4.2223858092485544</v>
      </c>
      <c r="AI20" s="97">
        <f>AH20+('Economic Model'!K$60/100)</f>
        <v>4.7816869437940088</v>
      </c>
      <c r="AJ20" s="130"/>
      <c r="AK20" s="92">
        <f t="shared" si="5"/>
        <v>1.484136852461277</v>
      </c>
      <c r="AL20" s="92">
        <f t="shared" si="6"/>
        <v>0.92483571791582264</v>
      </c>
      <c r="AM20" s="92">
        <f t="shared" si="7"/>
        <v>1.7783791574137311</v>
      </c>
      <c r="AN20" s="92">
        <f t="shared" si="8"/>
        <v>-0.8535434394979089</v>
      </c>
      <c r="AO20" s="136"/>
      <c r="AP20" s="120"/>
      <c r="AR20" s="186"/>
      <c r="AS20" s="15"/>
      <c r="AW20" s="273"/>
    </row>
    <row r="21" spans="1:49" hidden="1" x14ac:dyDescent="0.2">
      <c r="A21" s="21">
        <v>38718</v>
      </c>
      <c r="B21" s="6"/>
      <c r="C21" s="50"/>
      <c r="D21" s="118">
        <f>'Returns per Gal.'!C21</f>
        <v>1.8760737122925732</v>
      </c>
      <c r="E21" s="119">
        <f>'Returns per Gal.'!D21</f>
        <v>88.386482318519043</v>
      </c>
      <c r="F21" s="119"/>
      <c r="G21" s="118">
        <f>'Returns per Gal.'!F21</f>
        <v>1.7825367946104507</v>
      </c>
      <c r="H21" s="118">
        <f>'Returns per Gal.'!G21</f>
        <v>10.95</v>
      </c>
      <c r="I21" s="120"/>
      <c r="J21" s="104"/>
      <c r="K21" s="93">
        <f>D21*'Economic Model'!C$30</f>
        <v>5.3468100800338343</v>
      </c>
      <c r="L21" s="93">
        <f>E21/2000*('Economic Model'!C$32+0.5)</f>
        <v>0.74686577559148593</v>
      </c>
      <c r="M21" s="319"/>
      <c r="N21" s="93">
        <f t="shared" si="0"/>
        <v>6.0936758556253201</v>
      </c>
      <c r="O21" s="93">
        <f t="shared" si="1"/>
        <v>3.9728597210798657</v>
      </c>
      <c r="P21" s="93"/>
      <c r="Q21" s="104"/>
      <c r="R21" s="93">
        <f>G21+(H21*'Economic Model'!C$30*'Economic Model'!C$34/1000)+('Economic Model'!K$63/100)</f>
        <v>3.3440517946104507</v>
      </c>
      <c r="S21" s="93">
        <f>R21+('Economic Model'!K$60/100)</f>
        <v>3.903352929155905</v>
      </c>
      <c r="T21" s="121"/>
      <c r="U21" s="104"/>
      <c r="V21" s="93">
        <f t="shared" si="2"/>
        <v>2.7496240610148694</v>
      </c>
      <c r="W21" s="93">
        <f t="shared" si="3"/>
        <v>2.1903229264694151</v>
      </c>
      <c r="X21" s="105"/>
      <c r="Y21" s="120"/>
      <c r="Z21" s="147">
        <f>W21/('Economic Model'!H$14*(1-'Economic Model'!C$25/100))</f>
        <v>0.66698209219632132</v>
      </c>
      <c r="AA21" s="124"/>
      <c r="AB21" s="123"/>
      <c r="AC21" s="125"/>
      <c r="AD21" s="262">
        <v>0.78034682080924855</v>
      </c>
      <c r="AE21" s="93">
        <f t="shared" si="4"/>
        <v>1.7864739884393062</v>
      </c>
      <c r="AF21" s="17">
        <v>2.5668208092485547</v>
      </c>
      <c r="AG21" s="120"/>
      <c r="AH21" s="93">
        <f>AF21+(H21*'Economic Model'!C$30*'Economic Model'!C$34/1000)+('Economic Model'!K$63/100)</f>
        <v>4.1283358092485543</v>
      </c>
      <c r="AI21" s="93">
        <f>AH21+('Economic Model'!K$60/100)</f>
        <v>4.6876369437940086</v>
      </c>
      <c r="AJ21" s="120"/>
      <c r="AK21" s="91">
        <f t="shared" si="5"/>
        <v>1.9653400463767658</v>
      </c>
      <c r="AL21" s="91">
        <f t="shared" si="6"/>
        <v>1.4060389118313115</v>
      </c>
      <c r="AM21" s="91">
        <f t="shared" si="7"/>
        <v>2.1903229264694151</v>
      </c>
      <c r="AN21" s="91">
        <f t="shared" si="8"/>
        <v>-0.78428401463810404</v>
      </c>
      <c r="AO21" s="127"/>
      <c r="AP21" s="120"/>
      <c r="AR21" s="186"/>
      <c r="AS21" s="15"/>
      <c r="AW21" s="273"/>
    </row>
    <row r="22" spans="1:49" hidden="1" x14ac:dyDescent="0.2">
      <c r="A22" s="8">
        <v>38749</v>
      </c>
      <c r="B22" s="6"/>
      <c r="C22" s="50"/>
      <c r="D22" s="118">
        <f>'Returns per Gal.'!C22</f>
        <v>2.2195801666560024</v>
      </c>
      <c r="E22" s="119">
        <f>'Returns per Gal.'!D22</f>
        <v>91.268650220209878</v>
      </c>
      <c r="F22" s="119"/>
      <c r="G22" s="118">
        <f>'Returns per Gal.'!F22</f>
        <v>1.8880425523821436</v>
      </c>
      <c r="H22" s="118">
        <f>'Returns per Gal.'!G22</f>
        <v>10.210000000000001</v>
      </c>
      <c r="I22" s="120"/>
      <c r="J22" s="104"/>
      <c r="K22" s="93">
        <f>D22*'Economic Model'!C$30</f>
        <v>6.3258034749696073</v>
      </c>
      <c r="L22" s="93">
        <f>E22/2000*('Economic Model'!C$32+0.5)</f>
        <v>0.77122009436077343</v>
      </c>
      <c r="M22" s="319"/>
      <c r="N22" s="93">
        <f t="shared" si="0"/>
        <v>7.0970235693303803</v>
      </c>
      <c r="O22" s="93">
        <f t="shared" si="1"/>
        <v>5.039477434784926</v>
      </c>
      <c r="P22" s="93"/>
      <c r="Q22" s="104"/>
      <c r="R22" s="93">
        <f>G22+(H22*'Economic Model'!C$30*'Economic Model'!C$34/1000)+('Economic Model'!K$63/100)</f>
        <v>3.3862875523821439</v>
      </c>
      <c r="S22" s="93">
        <f>R22+('Economic Model'!K$60/100)</f>
        <v>3.9455886869275982</v>
      </c>
      <c r="T22" s="121"/>
      <c r="U22" s="104"/>
      <c r="V22" s="93">
        <f t="shared" si="2"/>
        <v>3.7107360169482364</v>
      </c>
      <c r="W22" s="93">
        <f t="shared" si="3"/>
        <v>3.151434882402782</v>
      </c>
      <c r="X22" s="105"/>
      <c r="Y22" s="120"/>
      <c r="Z22" s="147">
        <f>W22/('Economic Model'!H$14*(1-'Economic Model'!C$25/100))</f>
        <v>0.95965330311983399</v>
      </c>
      <c r="AA22" s="124"/>
      <c r="AB22" s="123"/>
      <c r="AC22" s="125"/>
      <c r="AD22" s="262">
        <v>0.78034682080924855</v>
      </c>
      <c r="AE22" s="93">
        <f t="shared" si="4"/>
        <v>1.7864739884393062</v>
      </c>
      <c r="AF22" s="17">
        <v>2.5668208092485547</v>
      </c>
      <c r="AG22" s="120"/>
      <c r="AH22" s="93">
        <f>AF22+(H22*'Economic Model'!C$30*'Economic Model'!C$34/1000)+('Economic Model'!K$63/100)</f>
        <v>4.065065809248555</v>
      </c>
      <c r="AI22" s="93">
        <f>AH22+('Economic Model'!K$60/100)</f>
        <v>4.6243669437940094</v>
      </c>
      <c r="AJ22" s="120"/>
      <c r="AK22" s="91">
        <f t="shared" si="5"/>
        <v>3.0319577600818253</v>
      </c>
      <c r="AL22" s="91">
        <f t="shared" si="6"/>
        <v>2.4726566255363709</v>
      </c>
      <c r="AM22" s="91">
        <f t="shared" si="7"/>
        <v>3.1514348824027825</v>
      </c>
      <c r="AN22" s="91">
        <f t="shared" si="8"/>
        <v>-0.67877825686641113</v>
      </c>
      <c r="AO22" s="127"/>
      <c r="AP22" s="120"/>
      <c r="AR22" s="186"/>
      <c r="AS22" s="15"/>
      <c r="AW22" s="273"/>
    </row>
    <row r="23" spans="1:49" hidden="1" x14ac:dyDescent="0.2">
      <c r="A23" s="6">
        <v>38777</v>
      </c>
      <c r="B23" s="6"/>
      <c r="C23" s="50"/>
      <c r="D23" s="118">
        <f>'Returns per Gal.'!C23</f>
        <v>2.1315015886140976</v>
      </c>
      <c r="E23" s="119">
        <f>'Returns per Gal.'!D23</f>
        <v>91.268650220209878</v>
      </c>
      <c r="F23" s="119"/>
      <c r="G23" s="118">
        <f>'Returns per Gal.'!F23</f>
        <v>1.8820865821853541</v>
      </c>
      <c r="H23" s="118">
        <f>'Returns per Gal.'!G23</f>
        <v>9.1999999999999993</v>
      </c>
      <c r="I23" s="120"/>
      <c r="J23" s="104"/>
      <c r="K23" s="93">
        <f>D23*'Economic Model'!C$30</f>
        <v>6.0747795275501781</v>
      </c>
      <c r="L23" s="93">
        <f>E23/2000*('Economic Model'!C$32+0.5)</f>
        <v>0.77122009436077343</v>
      </c>
      <c r="M23" s="319"/>
      <c r="N23" s="93">
        <f t="shared" si="0"/>
        <v>6.845999621910952</v>
      </c>
      <c r="O23" s="93">
        <f t="shared" si="1"/>
        <v>4.874808487365498</v>
      </c>
      <c r="P23" s="93"/>
      <c r="Q23" s="104"/>
      <c r="R23" s="93">
        <f>G23+(H23*'Economic Model'!C$30*'Economic Model'!C$34/1000)+('Economic Model'!K$63/100)</f>
        <v>3.2939765821853539</v>
      </c>
      <c r="S23" s="93">
        <f>R23+('Economic Model'!K$60/100)</f>
        <v>3.8532777167308083</v>
      </c>
      <c r="T23" s="121"/>
      <c r="U23" s="104"/>
      <c r="V23" s="93">
        <f t="shared" si="2"/>
        <v>3.5520230397255981</v>
      </c>
      <c r="W23" s="93">
        <f t="shared" si="3"/>
        <v>2.9927219051801437</v>
      </c>
      <c r="X23" s="105"/>
      <c r="Y23" s="120"/>
      <c r="Z23" s="147">
        <f>W23/('Economic Model'!H$14*(1-'Economic Model'!C$25/100))</f>
        <v>0.91132311749862238</v>
      </c>
      <c r="AA23" s="124"/>
      <c r="AB23" s="123"/>
      <c r="AC23" s="125"/>
      <c r="AD23" s="262">
        <v>0.78034682080924855</v>
      </c>
      <c r="AE23" s="93">
        <f t="shared" si="4"/>
        <v>1.7864739884393062</v>
      </c>
      <c r="AF23" s="17">
        <v>2.5668208092485547</v>
      </c>
      <c r="AG23" s="120"/>
      <c r="AH23" s="93">
        <f>AF23+(H23*'Economic Model'!C$30*'Economic Model'!C$34/1000)+('Economic Model'!K$63/100)</f>
        <v>3.9787108092485548</v>
      </c>
      <c r="AI23" s="93">
        <f>AH23+('Economic Model'!K$60/100)</f>
        <v>4.5380119437940092</v>
      </c>
      <c r="AJ23" s="120"/>
      <c r="AK23" s="91">
        <f t="shared" si="5"/>
        <v>2.8672888126623972</v>
      </c>
      <c r="AL23" s="91">
        <f t="shared" si="6"/>
        <v>2.3079876781169428</v>
      </c>
      <c r="AM23" s="91">
        <f t="shared" si="7"/>
        <v>2.9927219051801437</v>
      </c>
      <c r="AN23" s="91">
        <f t="shared" si="8"/>
        <v>-0.68473422706320064</v>
      </c>
      <c r="AO23" s="127"/>
      <c r="AP23" s="120"/>
      <c r="AR23" s="186"/>
      <c r="AS23" s="15"/>
      <c r="AW23" s="273"/>
    </row>
    <row r="24" spans="1:49" hidden="1" x14ac:dyDescent="0.2">
      <c r="A24" s="8">
        <v>38808</v>
      </c>
      <c r="B24" s="6"/>
      <c r="C24" s="50"/>
      <c r="D24" s="118">
        <f>'Returns per Gal.'!C24</f>
        <v>2.1579251620266691</v>
      </c>
      <c r="E24" s="119">
        <f>'Returns per Gal.'!D24</f>
        <v>88.386482318519043</v>
      </c>
      <c r="F24" s="119"/>
      <c r="G24" s="118">
        <f>'Returns per Gal.'!F24</f>
        <v>1.9867414870717905</v>
      </c>
      <c r="H24" s="118">
        <f>'Returns per Gal.'!G24</f>
        <v>8.6199999999999992</v>
      </c>
      <c r="I24" s="120"/>
      <c r="J24" s="104"/>
      <c r="K24" s="93">
        <f>D24*'Economic Model'!C$30</f>
        <v>6.150086711776007</v>
      </c>
      <c r="L24" s="93">
        <f>E24/2000*('Economic Model'!C$32+0.5)</f>
        <v>0.74686577559148593</v>
      </c>
      <c r="M24" s="319"/>
      <c r="N24" s="93">
        <f t="shared" si="0"/>
        <v>6.8969524873674928</v>
      </c>
      <c r="O24" s="93">
        <f t="shared" si="1"/>
        <v>4.9753513528220381</v>
      </c>
      <c r="P24" s="93"/>
      <c r="Q24" s="104"/>
      <c r="R24" s="93">
        <f>G24+(H24*'Economic Model'!C$30*'Economic Model'!C$34/1000)+('Economic Model'!K$63/100)</f>
        <v>3.3490414870717906</v>
      </c>
      <c r="S24" s="93">
        <f>R24+('Economic Model'!K$60/100)</f>
        <v>3.908342621617245</v>
      </c>
      <c r="T24" s="121"/>
      <c r="U24" s="104"/>
      <c r="V24" s="93">
        <f t="shared" si="2"/>
        <v>3.5479110002957022</v>
      </c>
      <c r="W24" s="93">
        <f t="shared" si="3"/>
        <v>2.9886098657502478</v>
      </c>
      <c r="X24" s="105"/>
      <c r="Y24" s="120"/>
      <c r="Z24" s="147">
        <f>W24/('Economic Model'!H$14*(1-'Economic Model'!C$25/100))</f>
        <v>0.91007094749711182</v>
      </c>
      <c r="AA24" s="124"/>
      <c r="AB24" s="123"/>
      <c r="AC24" s="125"/>
      <c r="AD24" s="262">
        <v>0.78034682080924855</v>
      </c>
      <c r="AE24" s="93">
        <f t="shared" si="4"/>
        <v>1.7864739884393062</v>
      </c>
      <c r="AF24" s="17">
        <v>2.5668208092485547</v>
      </c>
      <c r="AG24" s="120"/>
      <c r="AH24" s="93">
        <f>AF24+(H24*'Economic Model'!C$30*'Economic Model'!C$34/1000)+('Economic Model'!K$63/100)</f>
        <v>3.929120809248555</v>
      </c>
      <c r="AI24" s="93">
        <f>AH24+('Economic Model'!K$60/100)</f>
        <v>4.4884219437940098</v>
      </c>
      <c r="AJ24" s="120"/>
      <c r="AK24" s="91">
        <f t="shared" si="5"/>
        <v>2.9678316781189378</v>
      </c>
      <c r="AL24" s="91">
        <f t="shared" si="6"/>
        <v>2.408530543573483</v>
      </c>
      <c r="AM24" s="91">
        <f t="shared" si="7"/>
        <v>2.9886098657502478</v>
      </c>
      <c r="AN24" s="91">
        <f t="shared" si="8"/>
        <v>-0.58007932217676417</v>
      </c>
      <c r="AO24" s="127"/>
      <c r="AP24" s="120"/>
      <c r="AR24" s="186"/>
      <c r="AS24" s="15"/>
      <c r="AW24" s="273"/>
    </row>
    <row r="25" spans="1:49" hidden="1" x14ac:dyDescent="0.2">
      <c r="A25" s="6">
        <v>38838</v>
      </c>
      <c r="B25" s="6"/>
      <c r="C25" s="50"/>
      <c r="D25" s="118">
        <f>'Returns per Gal.'!C25</f>
        <v>2.6775887724739076</v>
      </c>
      <c r="E25" s="119">
        <f>'Returns per Gal.'!D25</f>
        <v>83.582869149034309</v>
      </c>
      <c r="F25" s="119"/>
      <c r="G25" s="118">
        <f>'Returns per Gal.'!F25</f>
        <v>2.0071619563179253</v>
      </c>
      <c r="H25" s="118">
        <f>'Returns per Gal.'!G25</f>
        <v>8</v>
      </c>
      <c r="I25" s="120"/>
      <c r="J25" s="104"/>
      <c r="K25" s="93">
        <f>D25*'Economic Model'!C$30</f>
        <v>7.6311280015506364</v>
      </c>
      <c r="L25" s="93">
        <f>E25/2000*('Economic Model'!C$32+0.5)</f>
        <v>0.70627524430933974</v>
      </c>
      <c r="M25" s="319"/>
      <c r="N25" s="93">
        <f t="shared" si="0"/>
        <v>8.3374032458599761</v>
      </c>
      <c r="O25" s="93">
        <f t="shared" si="1"/>
        <v>6.4688121113145209</v>
      </c>
      <c r="P25" s="93"/>
      <c r="Q25" s="104"/>
      <c r="R25" s="93">
        <f>G25+(H25*'Economic Model'!C$30*'Economic Model'!C$34/1000)+('Economic Model'!K$63/100)</f>
        <v>3.3164519563179256</v>
      </c>
      <c r="S25" s="93">
        <f>R25+('Economic Model'!K$60/100)</f>
        <v>3.8757530908633804</v>
      </c>
      <c r="T25" s="121"/>
      <c r="U25" s="104"/>
      <c r="V25" s="93">
        <f t="shared" si="2"/>
        <v>5.0209512895420509</v>
      </c>
      <c r="W25" s="93">
        <f t="shared" si="3"/>
        <v>4.4616501549965957</v>
      </c>
      <c r="X25" s="105"/>
      <c r="Y25" s="120"/>
      <c r="Z25" s="147">
        <f>W25/('Economic Model'!H$14*(1-'Economic Model'!C$25/100))</f>
        <v>1.3586310580350967</v>
      </c>
      <c r="AA25" s="124"/>
      <c r="AB25" s="123"/>
      <c r="AC25" s="125"/>
      <c r="AD25" s="262">
        <v>0.78034682080924855</v>
      </c>
      <c r="AE25" s="93">
        <f t="shared" si="4"/>
        <v>1.7864739884393062</v>
      </c>
      <c r="AF25" s="17">
        <v>2.5668208092485547</v>
      </c>
      <c r="AG25" s="120"/>
      <c r="AH25" s="93">
        <f>AF25+(H25*'Economic Model'!C$30*'Economic Model'!C$34/1000)+('Economic Model'!K$63/100)</f>
        <v>3.876110809248555</v>
      </c>
      <c r="AI25" s="93">
        <f>AH25+('Economic Model'!K$60/100)</f>
        <v>4.4354119437940094</v>
      </c>
      <c r="AJ25" s="120"/>
      <c r="AK25" s="91">
        <f t="shared" si="5"/>
        <v>4.4612924366114211</v>
      </c>
      <c r="AL25" s="91">
        <f t="shared" si="6"/>
        <v>3.9019913020659667</v>
      </c>
      <c r="AM25" s="91">
        <f t="shared" si="7"/>
        <v>4.4616501549965957</v>
      </c>
      <c r="AN25" s="91">
        <f t="shared" si="8"/>
        <v>-0.55965885293062945</v>
      </c>
      <c r="AO25" s="127"/>
      <c r="AP25" s="120"/>
      <c r="AR25" s="186"/>
      <c r="AS25" s="15"/>
      <c r="AW25" s="273"/>
    </row>
    <row r="26" spans="1:49" hidden="1" x14ac:dyDescent="0.2">
      <c r="A26" s="8">
        <v>38869</v>
      </c>
      <c r="B26" s="6"/>
      <c r="C26" s="50"/>
      <c r="D26" s="118">
        <f>'Returns per Gal.'!C26</f>
        <v>3.1532130939001939</v>
      </c>
      <c r="E26" s="119">
        <f>'Returns per Gal.'!D26</f>
        <v>79.739978613446524</v>
      </c>
      <c r="F26" s="119"/>
      <c r="G26" s="118">
        <f>'Returns per Gal.'!F26</f>
        <v>1.9406252606909382</v>
      </c>
      <c r="H26" s="118">
        <f>'Returns per Gal.'!G26</f>
        <v>8.2799999999999994</v>
      </c>
      <c r="I26" s="120"/>
      <c r="J26" s="104"/>
      <c r="K26" s="93">
        <f>D26*'Economic Model'!C$30</f>
        <v>8.9866573176155526</v>
      </c>
      <c r="L26" s="93">
        <f>E26/2000*('Economic Model'!C$32+0.5)</f>
        <v>0.67380281928362307</v>
      </c>
      <c r="M26" s="319"/>
      <c r="N26" s="93">
        <f t="shared" si="0"/>
        <v>9.6604601368991752</v>
      </c>
      <c r="O26" s="93">
        <f t="shared" si="1"/>
        <v>7.7679290023537204</v>
      </c>
      <c r="P26" s="93"/>
      <c r="Q26" s="104"/>
      <c r="R26" s="93">
        <f>G26+(H26*'Economic Model'!C$30*'Economic Model'!C$34/1000)+('Economic Model'!K$63/100)</f>
        <v>3.2738552606909384</v>
      </c>
      <c r="S26" s="93">
        <f>R26+('Economic Model'!K$60/100)</f>
        <v>3.8331563952363927</v>
      </c>
      <c r="T26" s="121"/>
      <c r="U26" s="104"/>
      <c r="V26" s="93">
        <f t="shared" si="2"/>
        <v>6.3866048762082368</v>
      </c>
      <c r="W26" s="93">
        <f t="shared" si="3"/>
        <v>5.8273037416627824</v>
      </c>
      <c r="X26" s="105"/>
      <c r="Y26" s="120"/>
      <c r="Z26" s="147">
        <f>W26/('Economic Model'!H$14*(1-'Economic Model'!C$25/100))</f>
        <v>1.7744905075447865</v>
      </c>
      <c r="AA26" s="124"/>
      <c r="AB26" s="123"/>
      <c r="AC26" s="125"/>
      <c r="AD26" s="262">
        <v>0.78034682080924855</v>
      </c>
      <c r="AE26" s="93">
        <f t="shared" si="4"/>
        <v>1.7864739884393062</v>
      </c>
      <c r="AF26" s="17">
        <v>2.5668208092485547</v>
      </c>
      <c r="AG26" s="120"/>
      <c r="AH26" s="93">
        <f>AF26+(H26*'Economic Model'!C$30*'Economic Model'!C$34/1000)+('Economic Model'!K$63/100)</f>
        <v>3.9000508092485546</v>
      </c>
      <c r="AI26" s="93">
        <f>AH26+('Economic Model'!K$60/100)</f>
        <v>4.459351943794009</v>
      </c>
      <c r="AJ26" s="120"/>
      <c r="AK26" s="91">
        <f t="shared" si="5"/>
        <v>5.7604093276506205</v>
      </c>
      <c r="AL26" s="91">
        <f t="shared" si="6"/>
        <v>5.2011081931051661</v>
      </c>
      <c r="AM26" s="91">
        <f t="shared" si="7"/>
        <v>5.8273037416627824</v>
      </c>
      <c r="AN26" s="91">
        <f t="shared" si="8"/>
        <v>-0.6261955485576165</v>
      </c>
      <c r="AO26" s="127"/>
      <c r="AP26" s="120"/>
      <c r="AR26" s="186"/>
      <c r="AS26" s="15"/>
      <c r="AW26" s="273"/>
    </row>
    <row r="27" spans="1:49" hidden="1" x14ac:dyDescent="0.2">
      <c r="A27" s="6">
        <v>38899</v>
      </c>
      <c r="B27" s="6"/>
      <c r="C27" s="50"/>
      <c r="D27" s="118">
        <f>'Returns per Gal.'!C27</f>
        <v>2.7656673505158125</v>
      </c>
      <c r="E27" s="119">
        <f>'Returns per Gal.'!D27</f>
        <v>78.298894662601114</v>
      </c>
      <c r="F27" s="119"/>
      <c r="G27" s="118">
        <f>'Returns per Gal.'!F27</f>
        <v>1.9892940457275576</v>
      </c>
      <c r="H27" s="118">
        <f>'Returns per Gal.'!G27</f>
        <v>6.83</v>
      </c>
      <c r="I27" s="120"/>
      <c r="J27" s="104"/>
      <c r="K27" s="93">
        <f>D27*'Economic Model'!C$30</f>
        <v>7.8821519489700655</v>
      </c>
      <c r="L27" s="93">
        <f>E27/2000*('Economic Model'!C$32+0.5)</f>
        <v>0.66162565989897937</v>
      </c>
      <c r="M27" s="319"/>
      <c r="N27" s="93">
        <f t="shared" si="0"/>
        <v>8.5437776088690445</v>
      </c>
      <c r="O27" s="93">
        <f t="shared" si="1"/>
        <v>6.7752214743235895</v>
      </c>
      <c r="P27" s="93"/>
      <c r="Q27" s="104"/>
      <c r="R27" s="93">
        <f>G27+(H27*'Economic Model'!C$30*'Economic Model'!C$34/1000)+('Economic Model'!K$63/100)</f>
        <v>3.198549045727558</v>
      </c>
      <c r="S27" s="93">
        <f>R27+('Economic Model'!K$60/100)</f>
        <v>3.7578501802730129</v>
      </c>
      <c r="T27" s="121"/>
      <c r="U27" s="104"/>
      <c r="V27" s="93">
        <f t="shared" si="2"/>
        <v>5.345228563141486</v>
      </c>
      <c r="W27" s="93">
        <f t="shared" si="3"/>
        <v>4.7859274285960316</v>
      </c>
      <c r="X27" s="105"/>
      <c r="Y27" s="120"/>
      <c r="Z27" s="147">
        <f>W27/('Economic Model'!H$14*(1-'Economic Model'!C$25/100))</f>
        <v>1.4573777459244959</v>
      </c>
      <c r="AA27" s="124"/>
      <c r="AB27" s="123"/>
      <c r="AC27" s="125"/>
      <c r="AD27" s="262">
        <v>0.78034682080924855</v>
      </c>
      <c r="AE27" s="93">
        <f t="shared" si="4"/>
        <v>1.7864739884393062</v>
      </c>
      <c r="AF27" s="17">
        <v>2.5668208092485547</v>
      </c>
      <c r="AG27" s="120"/>
      <c r="AH27" s="93">
        <f>AF27+(H27*'Economic Model'!C$30*'Economic Model'!C$34/1000)+('Economic Model'!K$63/100)</f>
        <v>3.7760758092485549</v>
      </c>
      <c r="AI27" s="93">
        <f>AH27+('Economic Model'!K$60/100)</f>
        <v>4.3353769437940093</v>
      </c>
      <c r="AJ27" s="120"/>
      <c r="AK27" s="91">
        <f t="shared" si="5"/>
        <v>4.7677017996204896</v>
      </c>
      <c r="AL27" s="91">
        <f t="shared" si="6"/>
        <v>4.2084006650750352</v>
      </c>
      <c r="AM27" s="91">
        <f t="shared" si="7"/>
        <v>4.7859274285960316</v>
      </c>
      <c r="AN27" s="91">
        <f t="shared" si="8"/>
        <v>-0.57752676352099708</v>
      </c>
      <c r="AO27" s="127"/>
      <c r="AP27" s="120"/>
      <c r="AR27" s="186"/>
      <c r="AS27" s="15"/>
      <c r="AW27" s="273"/>
    </row>
    <row r="28" spans="1:49" hidden="1" x14ac:dyDescent="0.2">
      <c r="A28" s="8">
        <v>38930</v>
      </c>
      <c r="B28" s="6"/>
      <c r="C28" s="50"/>
      <c r="D28" s="118">
        <f>'Returns per Gal.'!C28</f>
        <v>2.3957373227398122</v>
      </c>
      <c r="E28" s="119">
        <f>'Returns per Gal.'!D28</f>
        <v>76.85781071175569</v>
      </c>
      <c r="F28" s="119"/>
      <c r="G28" s="118">
        <f>'Returns per Gal.'!F28</f>
        <v>1.9113559214381461</v>
      </c>
      <c r="H28" s="118">
        <f>'Returns per Gal.'!G28</f>
        <v>8.4499999999999993</v>
      </c>
      <c r="I28" s="120"/>
      <c r="J28" s="104"/>
      <c r="K28" s="93">
        <f>D28*'Economic Model'!C$30</f>
        <v>6.8278513698084646</v>
      </c>
      <c r="L28" s="93">
        <f>E28/2000*('Economic Model'!C$32+0.5)</f>
        <v>0.64944850051433556</v>
      </c>
      <c r="M28" s="319"/>
      <c r="N28" s="93">
        <f t="shared" si="0"/>
        <v>7.4772998703228</v>
      </c>
      <c r="O28" s="93">
        <f t="shared" si="1"/>
        <v>5.5702337357773448</v>
      </c>
      <c r="P28" s="93"/>
      <c r="Q28" s="104"/>
      <c r="R28" s="93">
        <f>G28+(H28*'Economic Model'!C$30*'Economic Model'!C$34/1000)+('Economic Model'!K$63/100)</f>
        <v>3.259120921438146</v>
      </c>
      <c r="S28" s="93">
        <f>R28+('Economic Model'!K$60/100)</f>
        <v>3.8184220559836008</v>
      </c>
      <c r="T28" s="121"/>
      <c r="U28" s="104"/>
      <c r="V28" s="93">
        <f t="shared" si="2"/>
        <v>4.2181789488846544</v>
      </c>
      <c r="W28" s="93">
        <f t="shared" si="3"/>
        <v>3.6588778143391991</v>
      </c>
      <c r="X28" s="105"/>
      <c r="Y28" s="120"/>
      <c r="Z28" s="147">
        <f>W28/('Economic Model'!H$14*(1-'Economic Model'!C$25/100))</f>
        <v>1.1141763391174271</v>
      </c>
      <c r="AA28" s="124"/>
      <c r="AB28" s="123"/>
      <c r="AC28" s="125"/>
      <c r="AD28" s="262">
        <v>0.78034682080924855</v>
      </c>
      <c r="AE28" s="93">
        <f t="shared" si="4"/>
        <v>1.7864739884393062</v>
      </c>
      <c r="AF28" s="17">
        <v>2.5668208092485547</v>
      </c>
      <c r="AG28" s="120"/>
      <c r="AH28" s="93">
        <f>AF28+(H28*'Economic Model'!C$30*'Economic Model'!C$34/1000)+('Economic Model'!K$63/100)</f>
        <v>3.9145858092485546</v>
      </c>
      <c r="AI28" s="93">
        <f>AH28+('Economic Model'!K$60/100)</f>
        <v>4.4738869437940094</v>
      </c>
      <c r="AJ28" s="120"/>
      <c r="AK28" s="91">
        <f t="shared" si="5"/>
        <v>3.5627140610742454</v>
      </c>
      <c r="AL28" s="91">
        <f t="shared" si="6"/>
        <v>3.0034129265287905</v>
      </c>
      <c r="AM28" s="91">
        <f t="shared" si="7"/>
        <v>3.6588778143391987</v>
      </c>
      <c r="AN28" s="91">
        <f t="shared" si="8"/>
        <v>-0.65546488781040857</v>
      </c>
      <c r="AO28" s="127"/>
      <c r="AP28" s="120"/>
      <c r="AR28" s="186"/>
      <c r="AS28" s="15"/>
      <c r="AW28" s="273"/>
    </row>
    <row r="29" spans="1:49" hidden="1" x14ac:dyDescent="0.2">
      <c r="A29" s="6">
        <v>38961</v>
      </c>
      <c r="B29" s="6"/>
      <c r="C29" s="50"/>
      <c r="D29" s="118">
        <f>'Returns per Gal.'!C29</f>
        <v>2.052230868376383</v>
      </c>
      <c r="E29" s="119">
        <f>'Returns per Gal.'!D29</f>
        <v>72.054197542270956</v>
      </c>
      <c r="F29" s="119"/>
      <c r="G29" s="118">
        <f>'Returns per Gal.'!F29</f>
        <v>2.0463011890396823</v>
      </c>
      <c r="H29" s="118">
        <f>'Returns per Gal.'!G29</f>
        <v>7.83</v>
      </c>
      <c r="I29" s="120"/>
      <c r="J29" s="104"/>
      <c r="K29" s="93">
        <f>D29*'Economic Model'!C$30</f>
        <v>5.8488579748726917</v>
      </c>
      <c r="L29" s="93">
        <f>E29/2000*('Economic Model'!C$32+0.5)</f>
        <v>0.60885796923218949</v>
      </c>
      <c r="M29" s="319"/>
      <c r="N29" s="93">
        <f t="shared" si="0"/>
        <v>6.4577159441048808</v>
      </c>
      <c r="O29" s="93">
        <f t="shared" si="1"/>
        <v>4.6036598095594261</v>
      </c>
      <c r="P29" s="93"/>
      <c r="Q29" s="104"/>
      <c r="R29" s="93">
        <f>G29+(H29*'Economic Model'!C$30*'Economic Model'!C$34/1000)+('Economic Model'!K$63/100)</f>
        <v>3.3410561890396822</v>
      </c>
      <c r="S29" s="93">
        <f>R29+('Economic Model'!K$60/100)</f>
        <v>3.900357323585137</v>
      </c>
      <c r="T29" s="121"/>
      <c r="U29" s="104"/>
      <c r="V29" s="93">
        <f t="shared" si="2"/>
        <v>3.1166597550651987</v>
      </c>
      <c r="W29" s="93">
        <f t="shared" si="3"/>
        <v>2.5573586205197438</v>
      </c>
      <c r="X29" s="105"/>
      <c r="Y29" s="120"/>
      <c r="Z29" s="147">
        <f>W29/('Economic Model'!H$14*(1-'Economic Model'!C$25/100))</f>
        <v>0.7787492805729781</v>
      </c>
      <c r="AA29" s="124"/>
      <c r="AB29" s="123"/>
      <c r="AC29" s="125"/>
      <c r="AD29" s="262">
        <v>0.81325301204819278</v>
      </c>
      <c r="AE29" s="93">
        <f t="shared" si="4"/>
        <v>1.9150602409638555</v>
      </c>
      <c r="AF29" s="17">
        <v>2.7283132530120482</v>
      </c>
      <c r="AG29" s="120"/>
      <c r="AH29" s="93">
        <f>AF29+(H29*'Economic Model'!C$30*'Economic Model'!C$34/1000)+('Economic Model'!K$63/100)</f>
        <v>4.0230682530120481</v>
      </c>
      <c r="AI29" s="93">
        <f>AH29+('Economic Model'!K$60/100)</f>
        <v>4.5823693875575024</v>
      </c>
      <c r="AJ29" s="120"/>
      <c r="AK29" s="91">
        <f t="shared" si="5"/>
        <v>2.4346476910928327</v>
      </c>
      <c r="AL29" s="91">
        <f t="shared" si="6"/>
        <v>1.8753465565473784</v>
      </c>
      <c r="AM29" s="91">
        <f t="shared" si="7"/>
        <v>2.5573586205197438</v>
      </c>
      <c r="AN29" s="91">
        <f t="shared" si="8"/>
        <v>-0.68201206397236591</v>
      </c>
      <c r="AO29" s="127"/>
      <c r="AP29" s="120"/>
      <c r="AR29" s="186"/>
      <c r="AS29" s="15"/>
      <c r="AW29" s="273"/>
    </row>
    <row r="30" spans="1:49" hidden="1" x14ac:dyDescent="0.2">
      <c r="A30" s="8">
        <v>38991</v>
      </c>
      <c r="B30" s="6"/>
      <c r="C30" s="50"/>
      <c r="D30" s="118">
        <f>'Returns per Gal.'!C30</f>
        <v>1.9</v>
      </c>
      <c r="E30" s="119">
        <f>'Returns per Gal.'!D30</f>
        <v>79.607954545454547</v>
      </c>
      <c r="F30" s="119"/>
      <c r="G30" s="118">
        <f>'Returns per Gal.'!F30</f>
        <v>2.6565056818181829</v>
      </c>
      <c r="H30" s="118">
        <f>'Returns per Gal.'!G30</f>
        <v>6.39</v>
      </c>
      <c r="I30" s="120"/>
      <c r="J30" s="104"/>
      <c r="K30" s="93">
        <f>D30*'Economic Model'!C$30</f>
        <v>5.415</v>
      </c>
      <c r="L30" s="93">
        <f>E30/2000*('Economic Model'!C$32+0.5)</f>
        <v>0.67268721590909086</v>
      </c>
      <c r="M30" s="319"/>
      <c r="N30" s="93">
        <f t="shared" si="0"/>
        <v>6.0876872159090905</v>
      </c>
      <c r="O30" s="93">
        <f t="shared" si="1"/>
        <v>4.356751081363635</v>
      </c>
      <c r="P30" s="93"/>
      <c r="Q30" s="104"/>
      <c r="R30" s="93">
        <f>G30+(H30*'Economic Model'!C$30*'Economic Model'!C$34/1000)+('Economic Model'!K$63/100)</f>
        <v>3.8281406818181831</v>
      </c>
      <c r="S30" s="93">
        <f>R30+('Economic Model'!K$60/100)</f>
        <v>4.3874418163636379</v>
      </c>
      <c r="T30" s="121"/>
      <c r="U30" s="104"/>
      <c r="V30" s="93">
        <f t="shared" si="2"/>
        <v>2.2595465340909073</v>
      </c>
      <c r="W30" s="93">
        <f t="shared" si="3"/>
        <v>1.7002453995454525</v>
      </c>
      <c r="X30" s="105"/>
      <c r="Y30" s="120"/>
      <c r="Z30" s="147">
        <f>W30/('Economic Model'!H$14*(1-'Economic Model'!C$25/100))</f>
        <v>0.51774705004980526</v>
      </c>
      <c r="AA30" s="124"/>
      <c r="AB30" s="123"/>
      <c r="AC30" s="125"/>
      <c r="AD30" s="262">
        <v>0.81325301204819278</v>
      </c>
      <c r="AE30" s="93">
        <f t="shared" si="4"/>
        <v>1.9150602409638555</v>
      </c>
      <c r="AF30" s="17">
        <v>2.7283132530120482</v>
      </c>
      <c r="AG30" s="120"/>
      <c r="AH30" s="93">
        <f>AF30+(H30*'Economic Model'!C$30*'Economic Model'!C$34/1000)+('Economic Model'!K$63/100)</f>
        <v>3.8999482530120484</v>
      </c>
      <c r="AI30" s="93">
        <f>AH30+('Economic Model'!K$60/100)</f>
        <v>4.4592493875575032</v>
      </c>
      <c r="AJ30" s="120"/>
      <c r="AK30" s="91">
        <f t="shared" si="5"/>
        <v>2.1877389628970421</v>
      </c>
      <c r="AL30" s="91">
        <f t="shared" si="6"/>
        <v>1.6284378283515872</v>
      </c>
      <c r="AM30" s="91">
        <f t="shared" si="7"/>
        <v>1.7002453995454521</v>
      </c>
      <c r="AN30" s="91">
        <f t="shared" si="8"/>
        <v>-7.1807571193865272E-2</v>
      </c>
      <c r="AO30" s="127"/>
      <c r="AP30" s="120"/>
      <c r="AR30" s="186"/>
      <c r="AS30" s="15"/>
      <c r="AW30" s="273"/>
    </row>
    <row r="31" spans="1:49" hidden="1" x14ac:dyDescent="0.2">
      <c r="A31" s="6">
        <v>39022</v>
      </c>
      <c r="B31" s="6"/>
      <c r="C31" s="50"/>
      <c r="D31" s="118">
        <f>'Returns per Gal.'!C31</f>
        <v>2.04</v>
      </c>
      <c r="E31" s="119">
        <f>'Returns per Gal.'!D31</f>
        <v>106.30952380952381</v>
      </c>
      <c r="F31" s="119"/>
      <c r="G31" s="118">
        <f>'Returns per Gal.'!F31</f>
        <v>3.2774999999999999</v>
      </c>
      <c r="H31" s="118">
        <f>'Returns per Gal.'!G31</f>
        <v>7.26</v>
      </c>
      <c r="I31" s="120"/>
      <c r="J31" s="104"/>
      <c r="K31" s="93">
        <f>D31*'Economic Model'!C$30</f>
        <v>5.8140000000000001</v>
      </c>
      <c r="L31" s="93">
        <f>E31/2000*('Economic Model'!C$32+0.5)</f>
        <v>0.89831547619047614</v>
      </c>
      <c r="M31" s="319"/>
      <c r="N31" s="93">
        <f t="shared" si="0"/>
        <v>6.7123154761904757</v>
      </c>
      <c r="O31" s="93">
        <f t="shared" si="1"/>
        <v>4.9069943416450217</v>
      </c>
      <c r="P31" s="93"/>
      <c r="Q31" s="104"/>
      <c r="R31" s="93">
        <f>G31+(H31*'Economic Model'!C$30*'Economic Model'!C$34/1000)+('Economic Model'!K$63/100)</f>
        <v>4.5235199999999995</v>
      </c>
      <c r="S31" s="93">
        <f>R31+('Economic Model'!K$60/100)</f>
        <v>5.0828211345454539</v>
      </c>
      <c r="T31" s="121"/>
      <c r="U31" s="104"/>
      <c r="V31" s="93">
        <f t="shared" si="2"/>
        <v>2.1887954761904762</v>
      </c>
      <c r="W31" s="93">
        <f t="shared" si="3"/>
        <v>1.6294943416450218</v>
      </c>
      <c r="X31" s="105"/>
      <c r="Y31" s="120"/>
      <c r="Z31" s="147">
        <f>W31/('Economic Model'!H$14*(1-'Economic Model'!C$25/100))</f>
        <v>0.49620242388840291</v>
      </c>
      <c r="AA31" s="124"/>
      <c r="AB31" s="123"/>
      <c r="AC31" s="125"/>
      <c r="AD31" s="262">
        <v>0.81325301204819278</v>
      </c>
      <c r="AE31" s="93">
        <f t="shared" si="4"/>
        <v>1.9150602409638555</v>
      </c>
      <c r="AF31" s="17">
        <v>2.7283132530120482</v>
      </c>
      <c r="AG31" s="120"/>
      <c r="AH31" s="93">
        <f>AF31+(H31*'Economic Model'!C$30*'Economic Model'!C$34/1000)+('Economic Model'!K$63/100)</f>
        <v>3.9743332530120483</v>
      </c>
      <c r="AI31" s="93">
        <f>AH31+('Economic Model'!K$60/100)</f>
        <v>4.5336343875575027</v>
      </c>
      <c r="AJ31" s="120"/>
      <c r="AK31" s="91">
        <f t="shared" si="5"/>
        <v>2.7379822231784274</v>
      </c>
      <c r="AL31" s="91">
        <f t="shared" si="6"/>
        <v>2.1786810886329731</v>
      </c>
      <c r="AM31" s="91">
        <f t="shared" si="7"/>
        <v>1.6294943416450218</v>
      </c>
      <c r="AN31" s="91">
        <f t="shared" si="8"/>
        <v>0.54918674698795167</v>
      </c>
      <c r="AO31" s="127"/>
      <c r="AP31" s="120"/>
      <c r="AR31" s="186"/>
      <c r="AS31" s="15"/>
      <c r="AW31" s="273"/>
    </row>
    <row r="32" spans="1:49" hidden="1" x14ac:dyDescent="0.2">
      <c r="A32" s="68">
        <v>39052</v>
      </c>
      <c r="B32" s="70"/>
      <c r="C32" s="67"/>
      <c r="D32" s="128">
        <f>'Returns per Gal.'!C32</f>
        <v>2.23</v>
      </c>
      <c r="E32" s="129">
        <f>'Returns per Gal.'!D32</f>
        <v>126.1</v>
      </c>
      <c r="F32" s="129"/>
      <c r="G32" s="128">
        <f>'Returns per Gal.'!F32</f>
        <v>3.4264999999999999</v>
      </c>
      <c r="H32" s="128">
        <f>'Returns per Gal.'!G32</f>
        <v>8.31</v>
      </c>
      <c r="I32" s="130"/>
      <c r="J32" s="106"/>
      <c r="K32" s="97">
        <f>D32*'Economic Model'!C$30</f>
        <v>6.3555000000000001</v>
      </c>
      <c r="L32" s="97">
        <f>E32/2000*('Economic Model'!C$32+0.5)</f>
        <v>1.0655449999999997</v>
      </c>
      <c r="M32" s="320"/>
      <c r="N32" s="97">
        <f t="shared" si="0"/>
        <v>7.4210449999999994</v>
      </c>
      <c r="O32" s="97">
        <f t="shared" si="1"/>
        <v>5.525948865454545</v>
      </c>
      <c r="P32" s="97"/>
      <c r="Q32" s="106"/>
      <c r="R32" s="97">
        <f>G32+(H32*'Economic Model'!C$30*'Economic Model'!C$34/1000)+('Economic Model'!K$63/100)</f>
        <v>4.7622949999999999</v>
      </c>
      <c r="S32" s="97">
        <f>R32+('Economic Model'!K$60/100)</f>
        <v>5.3215961345454543</v>
      </c>
      <c r="T32" s="131"/>
      <c r="U32" s="106"/>
      <c r="V32" s="97">
        <f t="shared" si="2"/>
        <v>2.6587499999999995</v>
      </c>
      <c r="W32" s="97">
        <f t="shared" si="3"/>
        <v>2.0994488654545451</v>
      </c>
      <c r="X32" s="107"/>
      <c r="Y32" s="130"/>
      <c r="Z32" s="148">
        <f>W32/('Economic Model'!H$14*(1-'Economic Model'!C$25/100))</f>
        <v>0.63930974735182222</v>
      </c>
      <c r="AA32" s="133"/>
      <c r="AB32" s="123"/>
      <c r="AC32" s="134"/>
      <c r="AD32" s="263">
        <v>0.81325301204819278</v>
      </c>
      <c r="AE32" s="97">
        <f t="shared" si="4"/>
        <v>1.9150602409638555</v>
      </c>
      <c r="AF32" s="65">
        <v>2.7283132530120482</v>
      </c>
      <c r="AG32" s="130"/>
      <c r="AH32" s="97">
        <f>AF32+(H32*'Economic Model'!C$30*'Economic Model'!C$34/1000)+('Economic Model'!K$63/100)</f>
        <v>4.0641082530120478</v>
      </c>
      <c r="AI32" s="97">
        <f>AH32+('Economic Model'!K$60/100)</f>
        <v>4.6234093875575022</v>
      </c>
      <c r="AJ32" s="130"/>
      <c r="AK32" s="92">
        <f t="shared" si="5"/>
        <v>3.3569367469879516</v>
      </c>
      <c r="AL32" s="92">
        <f t="shared" si="6"/>
        <v>2.7976356124424973</v>
      </c>
      <c r="AM32" s="92">
        <f t="shared" si="7"/>
        <v>2.0994488654545451</v>
      </c>
      <c r="AN32" s="92">
        <f t="shared" si="8"/>
        <v>0.69818674698795169</v>
      </c>
      <c r="AO32" s="136"/>
      <c r="AP32" s="120"/>
      <c r="AR32" s="186"/>
      <c r="AS32" s="15"/>
      <c r="AW32" s="273"/>
    </row>
    <row r="33" spans="1:49" hidden="1" x14ac:dyDescent="0.2">
      <c r="A33" s="21">
        <v>39083</v>
      </c>
      <c r="B33" s="6"/>
      <c r="C33" s="50"/>
      <c r="D33" s="118">
        <f>'Returns per Gal.'!C33</f>
        <v>2.15</v>
      </c>
      <c r="E33" s="119">
        <f>'Returns per Gal.'!D33</f>
        <v>128.08750000000001</v>
      </c>
      <c r="F33" s="119"/>
      <c r="G33" s="118">
        <f>'Returns per Gal.'!F33</f>
        <v>3.5306250000000001</v>
      </c>
      <c r="H33" s="118">
        <f>'Returns per Gal.'!G33</f>
        <v>8.8699999999999992</v>
      </c>
      <c r="I33" s="120"/>
      <c r="J33" s="104"/>
      <c r="K33" s="93">
        <f>D33*'Economic Model'!C$30</f>
        <v>6.1274999999999995</v>
      </c>
      <c r="L33" s="93">
        <f>E33/2000*('Economic Model'!C$32+0.5)</f>
        <v>1.0823393749999999</v>
      </c>
      <c r="M33" s="319"/>
      <c r="N33" s="93">
        <f t="shared" si="0"/>
        <v>7.2098393749999996</v>
      </c>
      <c r="O33" s="93">
        <f t="shared" si="1"/>
        <v>5.2668632404545459</v>
      </c>
      <c r="P33" s="93"/>
      <c r="Q33" s="137"/>
      <c r="R33" s="93">
        <f>G33+(H33*'Economic Model'!C$30*'Economic Model'!C$34/1000)+('Economic Model'!K$63/100)</f>
        <v>4.9142999999999999</v>
      </c>
      <c r="S33" s="93">
        <f>R33+('Economic Model'!K$60/100)</f>
        <v>5.4736011345454543</v>
      </c>
      <c r="T33" s="121"/>
      <c r="U33" s="137"/>
      <c r="V33" s="93">
        <f t="shared" si="2"/>
        <v>2.2955393749999997</v>
      </c>
      <c r="W33" s="93">
        <f t="shared" si="3"/>
        <v>1.7362382404545453</v>
      </c>
      <c r="X33" s="105"/>
      <c r="Y33" s="120"/>
      <c r="Z33" s="147">
        <f>W33/('Economic Model'!H$14*(1-'Economic Model'!C$25/100))</f>
        <v>0.52870734272789566</v>
      </c>
      <c r="AA33" s="124"/>
      <c r="AB33" s="123"/>
      <c r="AC33" s="125"/>
      <c r="AD33" s="262">
        <v>0.81325301204819278</v>
      </c>
      <c r="AE33" s="93">
        <f t="shared" si="4"/>
        <v>1.9150602409638555</v>
      </c>
      <c r="AF33" s="17">
        <v>2.7283132530120482</v>
      </c>
      <c r="AG33" s="120"/>
      <c r="AH33" s="93">
        <f>AF33+(H33*'Economic Model'!C$30*'Economic Model'!C$34/1000)+('Economic Model'!K$63/100)</f>
        <v>4.111988253012048</v>
      </c>
      <c r="AI33" s="93">
        <f>AH33+('Economic Model'!K$60/100)</f>
        <v>4.6712893875575023</v>
      </c>
      <c r="AJ33" s="120"/>
      <c r="AK33" s="91">
        <f t="shared" si="5"/>
        <v>3.0978511219879517</v>
      </c>
      <c r="AL33" s="91">
        <f t="shared" si="6"/>
        <v>2.5385499874424973</v>
      </c>
      <c r="AM33" s="91">
        <f t="shared" si="7"/>
        <v>1.7362382404545458</v>
      </c>
      <c r="AN33" s="91">
        <f t="shared" si="8"/>
        <v>0.80231174698795193</v>
      </c>
      <c r="AO33" s="127"/>
      <c r="AP33" s="120"/>
      <c r="AR33" s="186"/>
      <c r="AS33" s="15"/>
      <c r="AW33" s="273"/>
    </row>
    <row r="34" spans="1:49" hidden="1" x14ac:dyDescent="0.2">
      <c r="A34" s="8">
        <v>39114</v>
      </c>
      <c r="B34" s="6"/>
      <c r="C34" s="50"/>
      <c r="D34" s="118">
        <f>'Returns per Gal.'!C34</f>
        <v>1.9</v>
      </c>
      <c r="E34" s="119">
        <f>'Returns per Gal.'!D34</f>
        <v>127.55555555555556</v>
      </c>
      <c r="F34" s="119"/>
      <c r="G34" s="118">
        <f>'Returns per Gal.'!F34</f>
        <v>3.8377777777777777</v>
      </c>
      <c r="H34" s="118">
        <f>'Returns per Gal.'!G34</f>
        <v>9.39</v>
      </c>
      <c r="I34" s="120"/>
      <c r="J34" s="104"/>
      <c r="K34" s="93">
        <f>D34*'Economic Model'!C$30</f>
        <v>5.415</v>
      </c>
      <c r="L34" s="93">
        <f>E34/2000*('Economic Model'!C$32+0.5)</f>
        <v>1.0778444444444444</v>
      </c>
      <c r="M34" s="319"/>
      <c r="N34" s="93">
        <f t="shared" si="0"/>
        <v>6.4928444444444446</v>
      </c>
      <c r="O34" s="93">
        <f t="shared" si="1"/>
        <v>4.505408309898991</v>
      </c>
      <c r="P34" s="93"/>
      <c r="Q34" s="137"/>
      <c r="R34" s="93">
        <f>G34+(H34*'Economic Model'!C$30*'Economic Model'!C$34/1000)+('Economic Model'!K$63/100)</f>
        <v>5.2659127777777774</v>
      </c>
      <c r="S34" s="93">
        <f>R34+('Economic Model'!K$60/100)</f>
        <v>5.8252139123232318</v>
      </c>
      <c r="T34" s="121"/>
      <c r="U34" s="137"/>
      <c r="V34" s="93">
        <f t="shared" si="2"/>
        <v>1.2269316666666672</v>
      </c>
      <c r="W34" s="93">
        <f t="shared" si="3"/>
        <v>0.66763053212121282</v>
      </c>
      <c r="X34" s="105"/>
      <c r="Y34" s="120"/>
      <c r="Z34" s="147">
        <f>W34/('Economic Model'!H$14*(1-'Economic Model'!C$25/100))</f>
        <v>0.20330226367402626</v>
      </c>
      <c r="AA34" s="124"/>
      <c r="AB34" s="123"/>
      <c r="AC34" s="125"/>
      <c r="AD34" s="262">
        <v>0.81325301204819278</v>
      </c>
      <c r="AE34" s="93">
        <f t="shared" si="4"/>
        <v>1.9150602409638555</v>
      </c>
      <c r="AF34" s="17">
        <v>2.7283132530120482</v>
      </c>
      <c r="AG34" s="120"/>
      <c r="AH34" s="93">
        <f>AF34+(H34*'Economic Model'!C$30*'Economic Model'!C$34/1000)+('Economic Model'!K$63/100)</f>
        <v>4.1564482530120479</v>
      </c>
      <c r="AI34" s="93">
        <f>AH34+('Economic Model'!K$60/100)</f>
        <v>4.7157493875575023</v>
      </c>
      <c r="AJ34" s="120"/>
      <c r="AK34" s="91">
        <f t="shared" si="5"/>
        <v>2.3363961914323967</v>
      </c>
      <c r="AL34" s="91">
        <f t="shared" si="6"/>
        <v>1.7770950568869424</v>
      </c>
      <c r="AM34" s="91">
        <f t="shared" si="7"/>
        <v>0.66763053212121326</v>
      </c>
      <c r="AN34" s="91">
        <f t="shared" si="8"/>
        <v>1.1094645247657295</v>
      </c>
      <c r="AO34" s="127"/>
      <c r="AP34" s="120"/>
      <c r="AR34" s="186"/>
      <c r="AS34" s="15"/>
      <c r="AW34" s="273"/>
    </row>
    <row r="35" spans="1:49" hidden="1" x14ac:dyDescent="0.2">
      <c r="A35" s="6">
        <v>39142</v>
      </c>
      <c r="B35" s="6"/>
      <c r="C35" s="50"/>
      <c r="D35" s="118">
        <f>'Returns per Gal.'!C35</f>
        <v>2.19</v>
      </c>
      <c r="E35" s="119">
        <f>'Returns per Gal.'!D35</f>
        <v>129.28571428571428</v>
      </c>
      <c r="F35" s="119"/>
      <c r="G35" s="118">
        <f>'Returns per Gal.'!F35</f>
        <v>3.7503690476190483</v>
      </c>
      <c r="H35" s="118">
        <f>'Returns per Gal.'!G35</f>
        <v>9.2799999999999994</v>
      </c>
      <c r="I35" s="120"/>
      <c r="J35" s="104"/>
      <c r="K35" s="93">
        <f>D35*'Economic Model'!C$30</f>
        <v>6.2415000000000003</v>
      </c>
      <c r="L35" s="93">
        <f>E35/2000*('Economic Model'!C$32+0.5)</f>
        <v>1.0924642857142857</v>
      </c>
      <c r="M35" s="319"/>
      <c r="N35" s="93">
        <f t="shared" si="0"/>
        <v>7.3339642857142859</v>
      </c>
      <c r="O35" s="93">
        <f t="shared" si="1"/>
        <v>5.3559331511688315</v>
      </c>
      <c r="P35" s="93"/>
      <c r="Q35" s="137"/>
      <c r="R35" s="93">
        <f>G35+(H35*'Economic Model'!C$30*'Economic Model'!C$34/1000)+('Economic Model'!K$63/100)</f>
        <v>5.1690990476190484</v>
      </c>
      <c r="S35" s="93">
        <f>R35+('Economic Model'!K$60/100)</f>
        <v>5.7284001821645028</v>
      </c>
      <c r="T35" s="121"/>
      <c r="U35" s="137"/>
      <c r="V35" s="93">
        <f t="shared" si="2"/>
        <v>2.1648652380952376</v>
      </c>
      <c r="W35" s="93">
        <f t="shared" si="3"/>
        <v>1.6055641035497832</v>
      </c>
      <c r="X35" s="105"/>
      <c r="Y35" s="120"/>
      <c r="Z35" s="147">
        <f>W35/('Economic Model'!H$14*(1-'Economic Model'!C$25/100))</f>
        <v>0.48891535216092663</v>
      </c>
      <c r="AA35" s="124"/>
      <c r="AB35" s="123"/>
      <c r="AC35" s="125"/>
      <c r="AD35" s="262">
        <v>0.81325301204819278</v>
      </c>
      <c r="AE35" s="93">
        <f t="shared" si="4"/>
        <v>1.9150602409638555</v>
      </c>
      <c r="AF35" s="17">
        <v>2.7283132530120482</v>
      </c>
      <c r="AG35" s="120"/>
      <c r="AH35" s="93">
        <f>AF35+(H35*'Economic Model'!C$30*'Economic Model'!C$34/1000)+('Economic Model'!K$63/100)</f>
        <v>4.1470432530120478</v>
      </c>
      <c r="AI35" s="93">
        <f>AH35+('Economic Model'!K$60/100)</f>
        <v>4.7063443875575022</v>
      </c>
      <c r="AJ35" s="120"/>
      <c r="AK35" s="91">
        <f t="shared" si="5"/>
        <v>3.1869210327022381</v>
      </c>
      <c r="AL35" s="91">
        <f t="shared" si="6"/>
        <v>2.6276198981567838</v>
      </c>
      <c r="AM35" s="91">
        <f t="shared" si="7"/>
        <v>1.6055641035497832</v>
      </c>
      <c r="AN35" s="91">
        <f t="shared" si="8"/>
        <v>1.0220557946070001</v>
      </c>
      <c r="AO35" s="127"/>
      <c r="AP35" s="120"/>
      <c r="AR35" s="186"/>
      <c r="AS35" s="15"/>
      <c r="AW35" s="273"/>
    </row>
    <row r="36" spans="1:49" hidden="1" x14ac:dyDescent="0.2">
      <c r="A36" s="8">
        <v>39173</v>
      </c>
      <c r="B36" s="6"/>
      <c r="C36" s="50"/>
      <c r="D36" s="118">
        <f>'Returns per Gal.'!C36</f>
        <v>2.16</v>
      </c>
      <c r="E36" s="119">
        <f>'Returns per Gal.'!D36</f>
        <v>112.42857142857143</v>
      </c>
      <c r="F36" s="119"/>
      <c r="G36" s="118">
        <f>'Returns per Gal.'!F36</f>
        <v>3.3292857142857133</v>
      </c>
      <c r="H36" s="118">
        <f>'Returns per Gal.'!G36</f>
        <v>8.58</v>
      </c>
      <c r="I36" s="120"/>
      <c r="J36" s="104"/>
      <c r="K36" s="93">
        <f>D36*'Economic Model'!C$30</f>
        <v>6.1560000000000006</v>
      </c>
      <c r="L36" s="93">
        <f>E36/2000*('Economic Model'!C$32+0.5)</f>
        <v>0.95002142857142857</v>
      </c>
      <c r="M36" s="319"/>
      <c r="N36" s="93">
        <f t="shared" si="0"/>
        <v>7.1060214285714292</v>
      </c>
      <c r="O36" s="93">
        <f t="shared" si="1"/>
        <v>5.1878402940259747</v>
      </c>
      <c r="P36" s="93"/>
      <c r="Q36" s="137"/>
      <c r="R36" s="93">
        <f>G36+(H36*'Economic Model'!C$30*'Economic Model'!C$34/1000)+('Economic Model'!K$63/100)</f>
        <v>4.6881657142857129</v>
      </c>
      <c r="S36" s="93">
        <f>R36+('Economic Model'!K$60/100)</f>
        <v>5.2474668488311673</v>
      </c>
      <c r="T36" s="121"/>
      <c r="U36" s="137"/>
      <c r="V36" s="93">
        <f t="shared" si="2"/>
        <v>2.4178557142857162</v>
      </c>
      <c r="W36" s="93">
        <f t="shared" si="3"/>
        <v>1.8585545797402618</v>
      </c>
      <c r="X36" s="105"/>
      <c r="Y36" s="120"/>
      <c r="Z36" s="147">
        <f>W36/('Economic Model'!H$14*(1-'Economic Model'!C$25/100))</f>
        <v>0.5659542741737924</v>
      </c>
      <c r="AA36" s="124"/>
      <c r="AB36" s="123"/>
      <c r="AC36" s="125"/>
      <c r="AD36" s="262">
        <v>0.81325301204819278</v>
      </c>
      <c r="AE36" s="93">
        <f t="shared" si="4"/>
        <v>1.9150602409638555</v>
      </c>
      <c r="AF36" s="17">
        <v>2.7283132530120482</v>
      </c>
      <c r="AG36" s="120"/>
      <c r="AH36" s="93">
        <f>AF36+(H36*'Economic Model'!C$30*'Economic Model'!C$34/1000)+('Economic Model'!K$63/100)</f>
        <v>4.0871932530120478</v>
      </c>
      <c r="AI36" s="93">
        <f>AH36+('Economic Model'!K$60/100)</f>
        <v>4.6464943875575022</v>
      </c>
      <c r="AJ36" s="120"/>
      <c r="AK36" s="91">
        <f t="shared" si="5"/>
        <v>3.0188281755593813</v>
      </c>
      <c r="AL36" s="91">
        <f t="shared" si="6"/>
        <v>2.4595270410139269</v>
      </c>
      <c r="AM36" s="91">
        <f t="shared" si="7"/>
        <v>1.8585545797402614</v>
      </c>
      <c r="AN36" s="91">
        <f t="shared" si="8"/>
        <v>0.6009724612736651</v>
      </c>
      <c r="AO36" s="127"/>
      <c r="AP36" s="120"/>
      <c r="AR36" s="186"/>
      <c r="AS36" s="15"/>
      <c r="AW36" s="273"/>
    </row>
    <row r="37" spans="1:49" hidden="1" x14ac:dyDescent="0.2">
      <c r="A37" s="6">
        <v>39203</v>
      </c>
      <c r="B37" s="6"/>
      <c r="C37" s="50"/>
      <c r="D37" s="118">
        <f>'Returns per Gal.'!C37</f>
        <v>2.17</v>
      </c>
      <c r="E37" s="119">
        <f>'Returns per Gal.'!D37</f>
        <v>102.17045454545455</v>
      </c>
      <c r="F37" s="119"/>
      <c r="G37" s="118">
        <f>'Returns per Gal.'!F37</f>
        <v>3.4418181818181819</v>
      </c>
      <c r="H37" s="118">
        <f>'Returns per Gal.'!G37</f>
        <v>8</v>
      </c>
      <c r="I37" s="120"/>
      <c r="J37" s="104"/>
      <c r="K37" s="93">
        <f>D37*'Economic Model'!C$30</f>
        <v>6.1844999999999999</v>
      </c>
      <c r="L37" s="93">
        <f>E37/2000*('Economic Model'!C$32+0.5)</f>
        <v>0.86334034090909084</v>
      </c>
      <c r="M37" s="319"/>
      <c r="N37" s="93">
        <f t="shared" si="0"/>
        <v>7.0478403409090911</v>
      </c>
      <c r="O37" s="93">
        <f t="shared" si="1"/>
        <v>5.1792492063636377</v>
      </c>
      <c r="P37" s="93"/>
      <c r="Q37" s="137"/>
      <c r="R37" s="93">
        <f>G37+(H37*'Economic Model'!C$30*'Economic Model'!C$34/1000)+('Economic Model'!K$63/100)</f>
        <v>4.7511081818181813</v>
      </c>
      <c r="S37" s="93">
        <f>R37+('Economic Model'!K$60/100)</f>
        <v>5.3104093163636357</v>
      </c>
      <c r="T37" s="121"/>
      <c r="U37" s="137"/>
      <c r="V37" s="93">
        <f t="shared" si="2"/>
        <v>2.2967321590909098</v>
      </c>
      <c r="W37" s="93">
        <f t="shared" si="3"/>
        <v>1.7374310245454554</v>
      </c>
      <c r="X37" s="105"/>
      <c r="Y37" s="120"/>
      <c r="Z37" s="147">
        <f>W37/('Economic Model'!H$14*(1-'Economic Model'!C$25/100))</f>
        <v>0.52907056114600171</v>
      </c>
      <c r="AA37" s="124"/>
      <c r="AB37" s="123"/>
      <c r="AC37" s="125"/>
      <c r="AD37" s="262">
        <v>0.81325301204819278</v>
      </c>
      <c r="AE37" s="93">
        <f t="shared" si="4"/>
        <v>1.9150602409638555</v>
      </c>
      <c r="AF37" s="17">
        <v>2.7283132530120482</v>
      </c>
      <c r="AG37" s="120"/>
      <c r="AH37" s="93">
        <f>AF37+(H37*'Economic Model'!C$30*'Economic Model'!C$34/1000)+('Economic Model'!K$63/100)</f>
        <v>4.0376032530120485</v>
      </c>
      <c r="AI37" s="93">
        <f>AH37+('Economic Model'!K$60/100)</f>
        <v>4.5969043875575029</v>
      </c>
      <c r="AJ37" s="120"/>
      <c r="AK37" s="91">
        <f t="shared" si="5"/>
        <v>3.0102370878970426</v>
      </c>
      <c r="AL37" s="91">
        <f t="shared" si="6"/>
        <v>2.4509359533515882</v>
      </c>
      <c r="AM37" s="91">
        <f t="shared" si="7"/>
        <v>1.7374310245454558</v>
      </c>
      <c r="AN37" s="91">
        <f t="shared" si="8"/>
        <v>0.7135049288061337</v>
      </c>
      <c r="AO37" s="127"/>
      <c r="AP37" s="120"/>
      <c r="AR37" s="186"/>
      <c r="AS37" s="15"/>
      <c r="AW37" s="273"/>
    </row>
    <row r="38" spans="1:49" hidden="1" x14ac:dyDescent="0.2">
      <c r="A38" s="8">
        <v>39234</v>
      </c>
      <c r="B38" s="6"/>
      <c r="C38" s="50"/>
      <c r="D38" s="118">
        <f>'Returns per Gal.'!C38</f>
        <v>2.09</v>
      </c>
      <c r="E38" s="119">
        <f>'Returns per Gal.'!D38</f>
        <v>96.642857142857139</v>
      </c>
      <c r="F38" s="119"/>
      <c r="G38" s="118">
        <f>'Returns per Gal.'!F38</f>
        <v>3.6492857142857154</v>
      </c>
      <c r="H38" s="118">
        <f>'Returns per Gal.'!G38</f>
        <v>8.58</v>
      </c>
      <c r="I38" s="120"/>
      <c r="J38" s="104"/>
      <c r="K38" s="93">
        <f>D38*'Economic Model'!C$30</f>
        <v>5.9565000000000001</v>
      </c>
      <c r="L38" s="93">
        <f>E38/2000*('Economic Model'!C$32+0.5)</f>
        <v>0.81663214285714281</v>
      </c>
      <c r="M38" s="319"/>
      <c r="N38" s="93">
        <f t="shared" si="0"/>
        <v>6.7731321428571434</v>
      </c>
      <c r="O38" s="93">
        <f t="shared" si="1"/>
        <v>4.8549510083116889</v>
      </c>
      <c r="P38" s="93"/>
      <c r="Q38" s="137"/>
      <c r="R38" s="93">
        <f>G38+(H38*'Economic Model'!C$30*'Economic Model'!C$34/1000)+('Economic Model'!K$63/100)</f>
        <v>5.008165714285715</v>
      </c>
      <c r="S38" s="93">
        <f>R38+('Economic Model'!K$60/100)</f>
        <v>5.5674668488311694</v>
      </c>
      <c r="T38" s="121"/>
      <c r="U38" s="137"/>
      <c r="V38" s="93">
        <f t="shared" si="2"/>
        <v>1.7649664285714284</v>
      </c>
      <c r="W38" s="93">
        <f t="shared" si="3"/>
        <v>1.205665294025974</v>
      </c>
      <c r="X38" s="105"/>
      <c r="Y38" s="120"/>
      <c r="Z38" s="147">
        <f>W38/('Economic Model'!H$14*(1-'Economic Model'!C$25/100))</f>
        <v>0.36714091359768547</v>
      </c>
      <c r="AA38" s="124"/>
      <c r="AB38" s="123"/>
      <c r="AC38" s="125"/>
      <c r="AD38" s="262">
        <v>0.81325301204819278</v>
      </c>
      <c r="AE38" s="93">
        <f t="shared" si="4"/>
        <v>1.9150602409638555</v>
      </c>
      <c r="AF38" s="17">
        <v>2.7283132530120482</v>
      </c>
      <c r="AG38" s="120"/>
      <c r="AH38" s="93">
        <f>AF38+(H38*'Economic Model'!C$30*'Economic Model'!C$34/1000)+('Economic Model'!K$63/100)</f>
        <v>4.0871932530120478</v>
      </c>
      <c r="AI38" s="93">
        <f>AH38+('Economic Model'!K$60/100)</f>
        <v>4.6464943875575022</v>
      </c>
      <c r="AJ38" s="120"/>
      <c r="AK38" s="91">
        <f t="shared" si="5"/>
        <v>2.6859388898450955</v>
      </c>
      <c r="AL38" s="91">
        <f t="shared" si="6"/>
        <v>2.1266377552996412</v>
      </c>
      <c r="AM38" s="91">
        <f t="shared" si="7"/>
        <v>1.2056652940259736</v>
      </c>
      <c r="AN38" s="91">
        <f t="shared" si="8"/>
        <v>0.92097246127366716</v>
      </c>
      <c r="AO38" s="127"/>
      <c r="AP38" s="120"/>
      <c r="AR38" s="186"/>
      <c r="AS38" s="15"/>
      <c r="AW38" s="273"/>
    </row>
    <row r="39" spans="1:49" hidden="1" x14ac:dyDescent="0.2">
      <c r="A39" s="6">
        <v>39264</v>
      </c>
      <c r="B39" s="6"/>
      <c r="C39" s="50"/>
      <c r="D39" s="118">
        <f>'Returns per Gal.'!C39</f>
        <v>1.97</v>
      </c>
      <c r="E39" s="119">
        <f>'Returns per Gal.'!D39</f>
        <v>93.88095238095238</v>
      </c>
      <c r="F39" s="119"/>
      <c r="G39" s="118">
        <f>'Returns per Gal.'!F39</f>
        <v>3.013363571428572</v>
      </c>
      <c r="H39" s="118">
        <f>'Returns per Gal.'!G39</f>
        <v>8.61</v>
      </c>
      <c r="I39" s="120"/>
      <c r="J39" s="104"/>
      <c r="K39" s="93">
        <f>D39*'Economic Model'!C$30</f>
        <v>5.6145000000000005</v>
      </c>
      <c r="L39" s="93">
        <f>E39/2000*('Economic Model'!C$32+0.5)</f>
        <v>0.79329404761904754</v>
      </c>
      <c r="M39" s="319"/>
      <c r="N39" s="93">
        <f t="shared" si="0"/>
        <v>6.4077940476190482</v>
      </c>
      <c r="O39" s="93">
        <f t="shared" si="1"/>
        <v>4.4870479130735941</v>
      </c>
      <c r="P39" s="93"/>
      <c r="Q39" s="137"/>
      <c r="R39" s="93">
        <f>G39+(H39*'Economic Model'!C$30*'Economic Model'!C$34/1000)+('Economic Model'!K$63/100)</f>
        <v>4.3748085714285718</v>
      </c>
      <c r="S39" s="93">
        <f>R39+('Economic Model'!K$60/100)</f>
        <v>4.9341097059740262</v>
      </c>
      <c r="T39" s="121"/>
      <c r="U39" s="137"/>
      <c r="V39" s="93">
        <f t="shared" si="2"/>
        <v>2.0329854761904764</v>
      </c>
      <c r="W39" s="93">
        <f t="shared" si="3"/>
        <v>1.473684341645022</v>
      </c>
      <c r="X39" s="105"/>
      <c r="Y39" s="120"/>
      <c r="Z39" s="147">
        <f>W39/('Economic Model'!H$14*(1-'Economic Model'!C$25/100))</f>
        <v>0.44875623295042033</v>
      </c>
      <c r="AA39" s="124"/>
      <c r="AB39" s="123"/>
      <c r="AC39" s="125"/>
      <c r="AD39" s="262">
        <v>0.81325301204819278</v>
      </c>
      <c r="AE39" s="93">
        <f t="shared" si="4"/>
        <v>1.9150602409638555</v>
      </c>
      <c r="AF39" s="17">
        <v>2.7283132530120482</v>
      </c>
      <c r="AG39" s="120"/>
      <c r="AH39" s="93">
        <f>AF39+(H39*'Economic Model'!C$30*'Economic Model'!C$34/1000)+('Economic Model'!K$63/100)</f>
        <v>4.0897582530120484</v>
      </c>
      <c r="AI39" s="93">
        <f>AH39+('Economic Model'!K$60/100)</f>
        <v>4.6490593875575028</v>
      </c>
      <c r="AJ39" s="120"/>
      <c r="AK39" s="91">
        <f t="shared" si="5"/>
        <v>2.3180357946069998</v>
      </c>
      <c r="AL39" s="91">
        <f t="shared" si="6"/>
        <v>1.7587346600615454</v>
      </c>
      <c r="AM39" s="91">
        <f t="shared" si="7"/>
        <v>1.473684341645022</v>
      </c>
      <c r="AN39" s="91">
        <f t="shared" si="8"/>
        <v>0.28505031841652384</v>
      </c>
      <c r="AO39" s="127"/>
      <c r="AP39" s="120"/>
      <c r="AR39" s="186"/>
      <c r="AS39" s="15"/>
      <c r="AW39" s="273"/>
    </row>
    <row r="40" spans="1:49" hidden="1" x14ac:dyDescent="0.2">
      <c r="A40" s="8">
        <v>39295</v>
      </c>
      <c r="B40" s="6"/>
      <c r="C40" s="50"/>
      <c r="D40" s="118">
        <f>'Returns per Gal.'!C40</f>
        <v>1.86</v>
      </c>
      <c r="E40" s="119">
        <f>'Returns per Gal.'!D40</f>
        <v>92.413043478260875</v>
      </c>
      <c r="F40" s="119"/>
      <c r="G40" s="118">
        <f>'Returns per Gal.'!F40</f>
        <v>3.0681576086956519</v>
      </c>
      <c r="H40" s="118">
        <f>'Returns per Gal.'!G40</f>
        <v>7.88</v>
      </c>
      <c r="I40" s="120"/>
      <c r="J40" s="104"/>
      <c r="K40" s="93">
        <f>D40*'Economic Model'!C$30</f>
        <v>5.3010000000000002</v>
      </c>
      <c r="L40" s="93">
        <f>E40/2000*('Economic Model'!C$32+0.5)</f>
        <v>0.78089021739130438</v>
      </c>
      <c r="M40" s="319"/>
      <c r="N40" s="93">
        <f t="shared" si="0"/>
        <v>6.0818902173913045</v>
      </c>
      <c r="O40" s="93">
        <f t="shared" si="1"/>
        <v>4.2235590828458509</v>
      </c>
      <c r="P40" s="93"/>
      <c r="Q40" s="137"/>
      <c r="R40" s="93">
        <f>G40+(H40*'Economic Model'!C$30*'Economic Model'!C$34/1000)+('Economic Model'!K$63/100)</f>
        <v>4.3671876086956516</v>
      </c>
      <c r="S40" s="93">
        <f>R40+('Economic Model'!K$60/100)</f>
        <v>4.926488743241106</v>
      </c>
      <c r="T40" s="121"/>
      <c r="U40" s="137"/>
      <c r="V40" s="93">
        <f t="shared" si="2"/>
        <v>1.7147026086956529</v>
      </c>
      <c r="W40" s="93">
        <f t="shared" si="3"/>
        <v>1.1554014741501986</v>
      </c>
      <c r="X40" s="105"/>
      <c r="Y40" s="120"/>
      <c r="Z40" s="147">
        <f>W40/('Economic Model'!H$14*(1-'Economic Model'!C$25/100))</f>
        <v>0.35183492043230191</v>
      </c>
      <c r="AA40" s="124"/>
      <c r="AB40" s="123"/>
      <c r="AC40" s="125"/>
      <c r="AD40" s="262">
        <v>0.81325301204819278</v>
      </c>
      <c r="AE40" s="93">
        <f t="shared" si="4"/>
        <v>1.9150602409638555</v>
      </c>
      <c r="AF40" s="17">
        <v>2.7283132530120482</v>
      </c>
      <c r="AG40" s="120"/>
      <c r="AH40" s="93">
        <f>AF40+(H40*'Economic Model'!C$30*'Economic Model'!C$34/1000)+('Economic Model'!K$63/100)</f>
        <v>4.0273432530120479</v>
      </c>
      <c r="AI40" s="93">
        <f>AH40+('Economic Model'!K$60/100)</f>
        <v>4.5866443875575023</v>
      </c>
      <c r="AJ40" s="120"/>
      <c r="AK40" s="91">
        <f t="shared" si="5"/>
        <v>2.0545469643792567</v>
      </c>
      <c r="AL40" s="91">
        <f t="shared" si="6"/>
        <v>1.4952458298338023</v>
      </c>
      <c r="AM40" s="91">
        <f t="shared" si="7"/>
        <v>1.155401474150199</v>
      </c>
      <c r="AN40" s="91">
        <f t="shared" si="8"/>
        <v>0.33984435568360372</v>
      </c>
      <c r="AO40" s="127"/>
      <c r="AP40" s="120"/>
      <c r="AR40" s="186"/>
      <c r="AS40" s="15"/>
      <c r="AW40" s="273"/>
    </row>
    <row r="41" spans="1:49" hidden="1" x14ac:dyDescent="0.2">
      <c r="A41" s="6">
        <v>39326</v>
      </c>
      <c r="C41" s="53"/>
      <c r="D41" s="118">
        <f>'Returns per Gal.'!C41</f>
        <v>1.5768421052631594</v>
      </c>
      <c r="E41" s="119">
        <f>'Returns per Gal.'!D41</f>
        <v>99.973684210526315</v>
      </c>
      <c r="F41" s="119"/>
      <c r="G41" s="118">
        <f>'Returns per Gal.'!F41</f>
        <v>3.161973684210527</v>
      </c>
      <c r="H41" s="118">
        <f>'Returns per Gal.'!G41</f>
        <v>7.48</v>
      </c>
      <c r="I41" s="120"/>
      <c r="J41" s="104"/>
      <c r="K41" s="93">
        <f>D41*'Economic Model'!C$30</f>
        <v>4.4940000000000042</v>
      </c>
      <c r="L41" s="93">
        <f>E41/2000*('Economic Model'!C$32+0.5)</f>
        <v>0.84477763157894725</v>
      </c>
      <c r="M41" s="319"/>
      <c r="N41" s="93">
        <f t="shared" ref="N41:N72" si="9">K41+L41</f>
        <v>5.3387776315789512</v>
      </c>
      <c r="O41" s="93">
        <f t="shared" ref="O41:O72" si="10">N41-S41+G41</f>
        <v>3.514646497033497</v>
      </c>
      <c r="P41" s="93"/>
      <c r="Q41" s="137"/>
      <c r="R41" s="93">
        <f>G41+(H41*'Economic Model'!C$30*'Economic Model'!C$34/1000)+('Economic Model'!K$63/100)</f>
        <v>4.4268036842105269</v>
      </c>
      <c r="S41" s="93">
        <f>R41+('Economic Model'!K$60/100)</f>
        <v>4.9861048187559813</v>
      </c>
      <c r="T41" s="121"/>
      <c r="U41" s="137"/>
      <c r="V41" s="93">
        <f t="shared" ref="V41:V72" si="11">N41-R41</f>
        <v>0.9119739473684243</v>
      </c>
      <c r="W41" s="93">
        <f t="shared" ref="W41:W72" si="12">N41-S41</f>
        <v>0.35267281282296992</v>
      </c>
      <c r="X41" s="105"/>
      <c r="Y41" s="120"/>
      <c r="Z41" s="147">
        <f>W41/('Economic Model'!H$14*(1-'Economic Model'!C$25/100))</f>
        <v>0.10739350244422086</v>
      </c>
      <c r="AA41" s="124"/>
      <c r="AB41" s="123"/>
      <c r="AC41" s="125"/>
      <c r="AD41" s="262">
        <v>0.86549707602339176</v>
      </c>
      <c r="AE41" s="93">
        <f t="shared" ref="AE41:AE72" si="13">AF41-AD41</f>
        <v>1.9810526315789472</v>
      </c>
      <c r="AF41" s="17">
        <v>2.8465497076023389</v>
      </c>
      <c r="AG41" s="120"/>
      <c r="AH41" s="93">
        <f>AF41+(H41*'Economic Model'!C$30*'Economic Model'!C$34/1000)+('Economic Model'!K$63/100)</f>
        <v>4.1113797076023388</v>
      </c>
      <c r="AI41" s="93">
        <f>AH41+('Economic Model'!K$60/100)</f>
        <v>4.6706808421477932</v>
      </c>
      <c r="AJ41" s="120"/>
      <c r="AK41" s="91">
        <f t="shared" ref="AK41:AK72" si="14">N41-AH41</f>
        <v>1.2273979239766124</v>
      </c>
      <c r="AL41" s="91">
        <f t="shared" ref="AL41:AL72" si="15">N41-AI41</f>
        <v>0.66809678943115802</v>
      </c>
      <c r="AM41" s="91">
        <f t="shared" ref="AM41:AM72" si="16">O41-G41</f>
        <v>0.35267281282296992</v>
      </c>
      <c r="AN41" s="91">
        <f t="shared" ref="AN41:AN72" si="17">G41-AF41</f>
        <v>0.31542397660818811</v>
      </c>
      <c r="AO41" s="127"/>
      <c r="AP41" s="120"/>
      <c r="AR41" s="186"/>
      <c r="AS41" s="15"/>
      <c r="AW41" s="273"/>
    </row>
    <row r="42" spans="1:49" hidden="1" x14ac:dyDescent="0.2">
      <c r="A42" s="8">
        <v>39356</v>
      </c>
      <c r="C42" s="53"/>
      <c r="D42" s="118">
        <f>'Returns per Gal.'!C42</f>
        <v>1.5232608695652179</v>
      </c>
      <c r="E42" s="119">
        <f>'Returns per Gal.'!D42</f>
        <v>114.71739130434783</v>
      </c>
      <c r="F42" s="119"/>
      <c r="G42" s="118">
        <f>'Returns per Gal.'!F42</f>
        <v>3.1945951086956517</v>
      </c>
      <c r="H42" s="118">
        <f>'Returns per Gal.'!G42</f>
        <v>7.48</v>
      </c>
      <c r="I42" s="120"/>
      <c r="J42" s="104"/>
      <c r="K42" s="93">
        <f>D42*'Economic Model'!C$30</f>
        <v>4.3412934782608712</v>
      </c>
      <c r="L42" s="93">
        <f>E42/2000*('Economic Model'!C$32+0.5)</f>
        <v>0.96936195652173907</v>
      </c>
      <c r="M42" s="319"/>
      <c r="N42" s="93">
        <f t="shared" si="9"/>
        <v>5.3106554347826105</v>
      </c>
      <c r="O42" s="93">
        <f t="shared" si="10"/>
        <v>3.4865243002371558</v>
      </c>
      <c r="P42" s="122"/>
      <c r="Q42" s="137"/>
      <c r="R42" s="93">
        <f>G42+(H42*'Economic Model'!C$30*'Economic Model'!C$34/1000)+('Economic Model'!K$63/100)</f>
        <v>4.459425108695652</v>
      </c>
      <c r="S42" s="93">
        <f>R42+('Economic Model'!K$60/100)</f>
        <v>5.0187262432411064</v>
      </c>
      <c r="T42" s="121"/>
      <c r="U42" s="137"/>
      <c r="V42" s="93">
        <f t="shared" si="11"/>
        <v>0.85123032608695848</v>
      </c>
      <c r="W42" s="93">
        <f t="shared" si="12"/>
        <v>0.2919291915415041</v>
      </c>
      <c r="X42" s="105"/>
      <c r="Y42" s="120"/>
      <c r="Z42" s="147">
        <f>W42/('Economic Model'!H$14*(1-'Economic Model'!C$25/100))</f>
        <v>8.889627214074268E-2</v>
      </c>
      <c r="AA42" s="124"/>
      <c r="AB42" s="123"/>
      <c r="AC42" s="125"/>
      <c r="AD42" s="262">
        <v>0.86549707602339176</v>
      </c>
      <c r="AE42" s="93">
        <f t="shared" si="13"/>
        <v>1.9810526315789472</v>
      </c>
      <c r="AF42" s="17">
        <v>2.8465497076023389</v>
      </c>
      <c r="AG42" s="120"/>
      <c r="AH42" s="93">
        <f>AF42+(H42*'Economic Model'!C$30*'Economic Model'!C$34/1000)+('Economic Model'!K$63/100)</f>
        <v>4.1113797076023388</v>
      </c>
      <c r="AI42" s="93">
        <f>AH42+('Economic Model'!K$60/100)</f>
        <v>4.6706808421477932</v>
      </c>
      <c r="AJ42" s="120"/>
      <c r="AK42" s="91">
        <f t="shared" si="14"/>
        <v>1.1992757271802716</v>
      </c>
      <c r="AL42" s="91">
        <f t="shared" si="15"/>
        <v>0.63997459263481726</v>
      </c>
      <c r="AM42" s="91">
        <f t="shared" si="16"/>
        <v>0.2919291915415041</v>
      </c>
      <c r="AN42" s="91">
        <f t="shared" si="17"/>
        <v>0.34804540109331272</v>
      </c>
      <c r="AO42" s="127"/>
      <c r="AP42" s="120"/>
      <c r="AR42" s="186"/>
      <c r="AS42" s="15"/>
      <c r="AW42" s="273"/>
    </row>
    <row r="43" spans="1:49" hidden="1" x14ac:dyDescent="0.2">
      <c r="A43" s="6">
        <v>39387</v>
      </c>
      <c r="C43" s="53"/>
      <c r="D43" s="118">
        <f>'Returns per Gal.'!C43</f>
        <v>1.740454545454545</v>
      </c>
      <c r="E43" s="119">
        <f>'Returns per Gal.'!D43</f>
        <v>135.10714285714286</v>
      </c>
      <c r="F43" s="119"/>
      <c r="G43" s="118">
        <f>'Returns per Gal.'!F43</f>
        <v>3.5963095238095235</v>
      </c>
      <c r="H43" s="118">
        <f>'Returns per Gal.'!G43</f>
        <v>8.5299999999999994</v>
      </c>
      <c r="I43" s="120"/>
      <c r="J43" s="104"/>
      <c r="K43" s="93">
        <f>D43*'Economic Model'!C$30</f>
        <v>4.9602954545454532</v>
      </c>
      <c r="L43" s="93">
        <f>E43/2000*('Economic Model'!C$32+0.5)</f>
        <v>1.1416553571428572</v>
      </c>
      <c r="M43" s="319"/>
      <c r="N43" s="93">
        <f t="shared" si="9"/>
        <v>6.1019508116883099</v>
      </c>
      <c r="O43" s="93">
        <f t="shared" si="10"/>
        <v>4.1880446771428561</v>
      </c>
      <c r="P43" s="122"/>
      <c r="Q43" s="137"/>
      <c r="R43" s="93">
        <f>G43+(H43*'Economic Model'!C$30*'Economic Model'!C$34/1000)+('Economic Model'!K$63/100)</f>
        <v>4.9509145238095229</v>
      </c>
      <c r="S43" s="93">
        <f>R43+('Economic Model'!K$60/100)</f>
        <v>5.5102156583549773</v>
      </c>
      <c r="T43" s="121"/>
      <c r="U43" s="137"/>
      <c r="V43" s="93">
        <f t="shared" si="11"/>
        <v>1.151036287878787</v>
      </c>
      <c r="W43" s="93">
        <f t="shared" si="12"/>
        <v>0.5917351533333326</v>
      </c>
      <c r="X43" s="138"/>
      <c r="Y43" s="120"/>
      <c r="Z43" s="147">
        <f>W43/('Economic Model'!H$14*(1-'Economic Model'!C$25/100))</f>
        <v>0.1801911242524212</v>
      </c>
      <c r="AA43" s="124"/>
      <c r="AB43" s="123"/>
      <c r="AC43" s="125"/>
      <c r="AD43" s="262">
        <v>0.86549707602339176</v>
      </c>
      <c r="AE43" s="93">
        <f t="shared" si="13"/>
        <v>1.9810526315789472</v>
      </c>
      <c r="AF43" s="17">
        <v>2.8465497076023389</v>
      </c>
      <c r="AG43" s="120"/>
      <c r="AH43" s="93">
        <f>AF43+(H43*'Economic Model'!C$30*'Economic Model'!C$34/1000)+('Economic Model'!K$63/100)</f>
        <v>4.2011547076023383</v>
      </c>
      <c r="AI43" s="93">
        <f>AH43+('Economic Model'!K$60/100)</f>
        <v>4.7604558421477927</v>
      </c>
      <c r="AJ43" s="120"/>
      <c r="AK43" s="91">
        <f t="shared" si="14"/>
        <v>1.9007961040859715</v>
      </c>
      <c r="AL43" s="91">
        <f t="shared" si="15"/>
        <v>1.3414949695405172</v>
      </c>
      <c r="AM43" s="91">
        <f t="shared" si="16"/>
        <v>0.5917351533333326</v>
      </c>
      <c r="AN43" s="91">
        <f t="shared" si="17"/>
        <v>0.74975981620718457</v>
      </c>
      <c r="AO43" s="127"/>
      <c r="AP43" s="120"/>
      <c r="AR43" s="186"/>
      <c r="AS43" s="15"/>
      <c r="AW43" s="273"/>
    </row>
    <row r="44" spans="1:49" hidden="1" x14ac:dyDescent="0.2">
      <c r="A44" s="68">
        <v>39417</v>
      </c>
      <c r="B44" s="29"/>
      <c r="C44" s="56"/>
      <c r="D44" s="128">
        <f>'Returns per Gal.'!C44</f>
        <v>1.9428947368421057</v>
      </c>
      <c r="E44" s="129">
        <f>'Returns per Gal.'!D44</f>
        <v>148.18421052631578</v>
      </c>
      <c r="F44" s="129"/>
      <c r="G44" s="128">
        <f>'Returns per Gal.'!F44</f>
        <v>4.0218421052631568</v>
      </c>
      <c r="H44" s="128">
        <f>'Returns per Gal.'!G44</f>
        <v>8.86</v>
      </c>
      <c r="I44" s="130"/>
      <c r="J44" s="106"/>
      <c r="K44" s="97">
        <f>D44*'Economic Model'!C$30</f>
        <v>5.5372500000000011</v>
      </c>
      <c r="L44" s="97">
        <f>E44/2000*('Economic Model'!C$32+0.5)</f>
        <v>1.2521565789473683</v>
      </c>
      <c r="M44" s="320"/>
      <c r="N44" s="97">
        <f t="shared" si="9"/>
        <v>6.7894065789473697</v>
      </c>
      <c r="O44" s="97">
        <f t="shared" si="10"/>
        <v>4.8472854444019156</v>
      </c>
      <c r="P44" s="132"/>
      <c r="Q44" s="139"/>
      <c r="R44" s="97">
        <f>G44+(H44*'Economic Model'!C$30*'Economic Model'!C$34/1000)+('Economic Model'!K$63/100)</f>
        <v>5.4046621052631565</v>
      </c>
      <c r="S44" s="97">
        <f>R44+('Economic Model'!K$60/100)</f>
        <v>5.9639632398086109</v>
      </c>
      <c r="T44" s="131"/>
      <c r="U44" s="139"/>
      <c r="V44" s="97">
        <f t="shared" si="11"/>
        <v>1.3847444736842132</v>
      </c>
      <c r="W44" s="97">
        <f t="shared" si="12"/>
        <v>0.82544333913875878</v>
      </c>
      <c r="X44" s="140"/>
      <c r="Y44" s="130"/>
      <c r="Z44" s="148">
        <f>W44/('Economic Model'!H$14*(1-'Economic Model'!C$25/100))</f>
        <v>0.25135833564767041</v>
      </c>
      <c r="AA44" s="133"/>
      <c r="AB44" s="123"/>
      <c r="AC44" s="134"/>
      <c r="AD44" s="263">
        <v>0.86549707602339176</v>
      </c>
      <c r="AE44" s="97">
        <f t="shared" si="13"/>
        <v>1.9810526315789472</v>
      </c>
      <c r="AF44" s="65">
        <v>2.8465497076023389</v>
      </c>
      <c r="AG44" s="130"/>
      <c r="AH44" s="97">
        <f>AF44+(H44*'Economic Model'!C$30*'Economic Model'!C$34/1000)+('Economic Model'!K$63/100)</f>
        <v>4.2293697076023387</v>
      </c>
      <c r="AI44" s="97">
        <f>AH44+('Economic Model'!K$60/100)</f>
        <v>4.788670842147793</v>
      </c>
      <c r="AJ44" s="130"/>
      <c r="AK44" s="92">
        <f t="shared" si="14"/>
        <v>2.560036871345031</v>
      </c>
      <c r="AL44" s="92">
        <f t="shared" si="15"/>
        <v>2.0007357367995766</v>
      </c>
      <c r="AM44" s="92">
        <f t="shared" si="16"/>
        <v>0.82544333913875878</v>
      </c>
      <c r="AN44" s="92">
        <f t="shared" si="17"/>
        <v>1.1752923976608178</v>
      </c>
      <c r="AO44" s="136"/>
      <c r="AP44" s="120"/>
      <c r="AR44" s="186"/>
      <c r="AS44" s="15"/>
      <c r="AW44" s="273"/>
    </row>
    <row r="45" spans="1:49" hidden="1" x14ac:dyDescent="0.2">
      <c r="A45" s="21">
        <v>39448</v>
      </c>
      <c r="B45" s="6"/>
      <c r="C45" s="50"/>
      <c r="D45" s="118">
        <f>'Returns per Gal.'!C45</f>
        <v>2.19</v>
      </c>
      <c r="E45" s="119">
        <f>'Returns per Gal.'!D45</f>
        <v>175.54545454545453</v>
      </c>
      <c r="F45" s="119"/>
      <c r="G45" s="118">
        <f>'Returns per Gal.'!F45</f>
        <v>4.5595454545454537</v>
      </c>
      <c r="H45" s="118">
        <f>'Returns per Gal.'!G45</f>
        <v>8.74</v>
      </c>
      <c r="I45" s="120"/>
      <c r="J45" s="104"/>
      <c r="K45" s="93">
        <f>D45*'Economic Model'!C$30</f>
        <v>6.2415000000000003</v>
      </c>
      <c r="L45" s="93">
        <f>E45/2000*('Economic Model'!C$32+0.5)</f>
        <v>1.4833590909090906</v>
      </c>
      <c r="M45" s="319"/>
      <c r="N45" s="93">
        <f t="shared" si="9"/>
        <v>7.7248590909090904</v>
      </c>
      <c r="O45" s="93">
        <f t="shared" si="10"/>
        <v>5.792997956363636</v>
      </c>
      <c r="P45" s="93"/>
      <c r="Q45" s="137"/>
      <c r="R45" s="93">
        <f>G45+(H45*'Economic Model'!C$30*'Economic Model'!C$34/1000)+('Economic Model'!K$63/100)</f>
        <v>5.9321054545454537</v>
      </c>
      <c r="S45" s="93">
        <f>R45+('Economic Model'!K$60/100)</f>
        <v>6.4914065890909081</v>
      </c>
      <c r="T45" s="121"/>
      <c r="U45" s="137"/>
      <c r="V45" s="93">
        <f t="shared" si="11"/>
        <v>1.7927536363636367</v>
      </c>
      <c r="W45" s="93">
        <f t="shared" si="12"/>
        <v>1.2334525018181823</v>
      </c>
      <c r="X45" s="105"/>
      <c r="Y45" s="120"/>
      <c r="Z45" s="147">
        <f>W45/('Economic Model'!H$14*(1-'Economic Model'!C$25/100))</f>
        <v>0.37560248324368067</v>
      </c>
      <c r="AA45" s="124"/>
      <c r="AB45" s="123"/>
      <c r="AC45" s="125"/>
      <c r="AD45" s="262">
        <v>0.86549707602339176</v>
      </c>
      <c r="AE45" s="93">
        <f t="shared" si="13"/>
        <v>1.9810526315789472</v>
      </c>
      <c r="AF45" s="17">
        <v>2.8465497076023389</v>
      </c>
      <c r="AG45" s="120"/>
      <c r="AH45" s="93">
        <f>AF45+(H45*'Economic Model'!C$30*'Economic Model'!C$34/1000)+('Economic Model'!K$63/100)</f>
        <v>4.2191097076023389</v>
      </c>
      <c r="AI45" s="93">
        <f>AH45+('Economic Model'!K$60/100)</f>
        <v>4.7784108421477933</v>
      </c>
      <c r="AJ45" s="120"/>
      <c r="AK45" s="91">
        <f t="shared" si="14"/>
        <v>3.5057493833067515</v>
      </c>
      <c r="AL45" s="91">
        <f t="shared" si="15"/>
        <v>2.9464482487612971</v>
      </c>
      <c r="AM45" s="91">
        <f t="shared" si="16"/>
        <v>1.2334525018181823</v>
      </c>
      <c r="AN45" s="91">
        <f t="shared" si="17"/>
        <v>1.7129957469431147</v>
      </c>
      <c r="AO45" s="127"/>
      <c r="AP45" s="120"/>
      <c r="AR45" s="186"/>
      <c r="AS45" s="15"/>
      <c r="AW45" s="273"/>
    </row>
    <row r="46" spans="1:49" hidden="1" x14ac:dyDescent="0.2">
      <c r="A46" s="8">
        <v>39479</v>
      </c>
      <c r="B46" s="6"/>
      <c r="C46" s="50"/>
      <c r="D46" s="118">
        <f>'Returns per Gal.'!C46</f>
        <v>2.1254761904761899</v>
      </c>
      <c r="E46" s="119">
        <f>'Returns per Gal.'!D46</f>
        <v>163.1904761904762</v>
      </c>
      <c r="F46" s="119"/>
      <c r="G46" s="118">
        <f>'Returns per Gal.'!F46</f>
        <v>4.906190476190476</v>
      </c>
      <c r="H46" s="118">
        <f>'Returns per Gal.'!G46</f>
        <v>9.99</v>
      </c>
      <c r="I46" s="120"/>
      <c r="J46" s="104"/>
      <c r="K46" s="93">
        <f>D46*'Economic Model'!C$30</f>
        <v>6.0576071428571412</v>
      </c>
      <c r="L46" s="93">
        <f>E46/2000*('Economic Model'!C$32+0.5)</f>
        <v>1.3789595238095238</v>
      </c>
      <c r="M46" s="319"/>
      <c r="N46" s="93">
        <f t="shared" si="9"/>
        <v>7.436566666666665</v>
      </c>
      <c r="O46" s="93">
        <f t="shared" si="10"/>
        <v>5.397830532121211</v>
      </c>
      <c r="P46" s="93"/>
      <c r="Q46" s="137"/>
      <c r="R46" s="93">
        <f>G46+(H46*'Economic Model'!C$30*'Economic Model'!C$34/1000)+('Economic Model'!K$63/100)</f>
        <v>6.3856254761904756</v>
      </c>
      <c r="S46" s="93">
        <f>R46+('Economic Model'!K$60/100)</f>
        <v>6.94492661073593</v>
      </c>
      <c r="T46" s="121"/>
      <c r="U46" s="137"/>
      <c r="V46" s="93">
        <f t="shared" si="11"/>
        <v>1.0509411904761894</v>
      </c>
      <c r="W46" s="93">
        <f t="shared" si="12"/>
        <v>0.49164005593073501</v>
      </c>
      <c r="X46" s="105"/>
      <c r="Y46" s="120"/>
      <c r="Z46" s="147">
        <f>W46/('Economic Model'!H$14*(1-'Economic Model'!C$25/100))</f>
        <v>0.1497108527466153</v>
      </c>
      <c r="AA46" s="124"/>
      <c r="AB46" s="123"/>
      <c r="AC46" s="125"/>
      <c r="AD46" s="262">
        <v>0.86549707602339176</v>
      </c>
      <c r="AE46" s="93">
        <f t="shared" si="13"/>
        <v>1.9810526315789472</v>
      </c>
      <c r="AF46" s="17">
        <v>2.8465497076023389</v>
      </c>
      <c r="AG46" s="120"/>
      <c r="AH46" s="93">
        <f>AF46+(H46*'Economic Model'!C$30*'Economic Model'!C$34/1000)+('Economic Model'!K$63/100)</f>
        <v>4.3259847076023386</v>
      </c>
      <c r="AI46" s="93">
        <f>AH46+('Economic Model'!K$60/100)</f>
        <v>4.8852858421477929</v>
      </c>
      <c r="AJ46" s="120"/>
      <c r="AK46" s="91">
        <f t="shared" si="14"/>
        <v>3.1105819590643264</v>
      </c>
      <c r="AL46" s="91">
        <f t="shared" si="15"/>
        <v>2.5512808245188721</v>
      </c>
      <c r="AM46" s="91">
        <f t="shared" si="16"/>
        <v>0.49164005593073501</v>
      </c>
      <c r="AN46" s="91">
        <f t="shared" si="17"/>
        <v>2.059640768588137</v>
      </c>
      <c r="AO46" s="127"/>
      <c r="AP46" s="120"/>
      <c r="AR46" s="186"/>
      <c r="AS46" s="15"/>
      <c r="AW46" s="273"/>
    </row>
    <row r="47" spans="1:49" hidden="1" x14ac:dyDescent="0.2">
      <c r="A47" s="8">
        <v>39508</v>
      </c>
      <c r="B47" s="6"/>
      <c r="C47" s="50"/>
      <c r="D47" s="118">
        <f>'Returns per Gal.'!C47</f>
        <v>2.3149999999999999</v>
      </c>
      <c r="E47" s="119">
        <f>'Returns per Gal.'!D47</f>
        <v>161.36904761904762</v>
      </c>
      <c r="F47" s="119"/>
      <c r="G47" s="118">
        <f>'Returns per Gal.'!F47</f>
        <v>5.1739404761904764</v>
      </c>
      <c r="H47" s="118">
        <f>'Returns per Gal.'!G47</f>
        <v>10.06</v>
      </c>
      <c r="I47" s="120"/>
      <c r="J47" s="104"/>
      <c r="K47" s="93">
        <f>D47*'Economic Model'!C$30</f>
        <v>6.5977500000000004</v>
      </c>
      <c r="L47" s="93">
        <f>E47/2000*('Economic Model'!C$32+0.5)</f>
        <v>1.3635684523809524</v>
      </c>
      <c r="M47" s="319"/>
      <c r="N47" s="93">
        <f t="shared" si="9"/>
        <v>7.9613184523809526</v>
      </c>
      <c r="O47" s="93">
        <f t="shared" si="10"/>
        <v>5.9165973178354987</v>
      </c>
      <c r="P47" s="93"/>
      <c r="Q47" s="137"/>
      <c r="R47" s="93">
        <f>G47+(H47*'Economic Model'!C$30*'Economic Model'!C$34/1000)+('Economic Model'!K$63/100)</f>
        <v>6.6593604761904759</v>
      </c>
      <c r="S47" s="93">
        <f>R47+('Economic Model'!K$60/100)</f>
        <v>7.2186616107359303</v>
      </c>
      <c r="T47" s="121"/>
      <c r="U47" s="137"/>
      <c r="V47" s="93">
        <f t="shared" si="11"/>
        <v>1.3019579761904767</v>
      </c>
      <c r="W47" s="93">
        <f t="shared" si="12"/>
        <v>0.74265684164502233</v>
      </c>
      <c r="X47" s="105"/>
      <c r="Y47" s="120"/>
      <c r="Z47" s="147">
        <f>W47/('Economic Model'!H$14*(1-'Economic Model'!C$25/100))</f>
        <v>0.22614876009299073</v>
      </c>
      <c r="AA47" s="124"/>
      <c r="AB47" s="123"/>
      <c r="AC47" s="125"/>
      <c r="AD47" s="262">
        <v>0.86549707602339176</v>
      </c>
      <c r="AE47" s="93">
        <f t="shared" si="13"/>
        <v>1.9810526315789472</v>
      </c>
      <c r="AF47" s="17">
        <v>2.8465497076023389</v>
      </c>
      <c r="AG47" s="120"/>
      <c r="AH47" s="93">
        <f>AF47+(H47*'Economic Model'!C$30*'Economic Model'!C$34/1000)+('Economic Model'!K$63/100)</f>
        <v>4.3319697076023385</v>
      </c>
      <c r="AI47" s="93">
        <f>AH47+('Economic Model'!K$60/100)</f>
        <v>4.8912708421477928</v>
      </c>
      <c r="AJ47" s="120"/>
      <c r="AK47" s="91">
        <f t="shared" si="14"/>
        <v>3.6293487447786141</v>
      </c>
      <c r="AL47" s="91">
        <f t="shared" si="15"/>
        <v>3.0700476102331598</v>
      </c>
      <c r="AM47" s="91">
        <f t="shared" si="16"/>
        <v>0.74265684164502233</v>
      </c>
      <c r="AN47" s="91">
        <f t="shared" si="17"/>
        <v>2.3273907685881374</v>
      </c>
      <c r="AO47" s="127"/>
      <c r="AP47" s="120"/>
      <c r="AR47" s="186"/>
      <c r="AS47" s="15"/>
      <c r="AW47" s="273"/>
    </row>
    <row r="48" spans="1:49" hidden="1" x14ac:dyDescent="0.2">
      <c r="A48" s="8">
        <v>39539</v>
      </c>
      <c r="B48" s="6"/>
      <c r="C48" s="50"/>
      <c r="D48" s="118">
        <f>'Returns per Gal.'!C48</f>
        <v>2.455227272727273</v>
      </c>
      <c r="E48" s="119">
        <f>'Returns per Gal.'!D48</f>
        <v>169.68181818181819</v>
      </c>
      <c r="F48" s="119"/>
      <c r="G48" s="118">
        <f>'Returns per Gal.'!F48</f>
        <v>5.590227272727275</v>
      </c>
      <c r="H48" s="118">
        <f>'Returns per Gal.'!G48</f>
        <v>10.71</v>
      </c>
      <c r="I48" s="120"/>
      <c r="J48" s="104"/>
      <c r="K48" s="93">
        <f>D48*'Economic Model'!C$30</f>
        <v>6.9973977272727286</v>
      </c>
      <c r="L48" s="93">
        <f>E48/2000*('Economic Model'!C$32+0.5)</f>
        <v>1.4338113636363636</v>
      </c>
      <c r="M48" s="319"/>
      <c r="N48" s="93">
        <f t="shared" si="9"/>
        <v>8.4312090909090927</v>
      </c>
      <c r="O48" s="93">
        <f t="shared" si="10"/>
        <v>6.3309129563636386</v>
      </c>
      <c r="P48" s="93"/>
      <c r="Q48" s="137"/>
      <c r="R48" s="93">
        <f>G48+(H48*'Economic Model'!C$30*'Economic Model'!C$34/1000)+('Economic Model'!K$63/100)</f>
        <v>7.1312222727272747</v>
      </c>
      <c r="S48" s="93">
        <f>R48+('Economic Model'!K$60/100)</f>
        <v>7.6905234072727291</v>
      </c>
      <c r="T48" s="121"/>
      <c r="U48" s="137"/>
      <c r="V48" s="93">
        <f t="shared" si="11"/>
        <v>1.2999868181818179</v>
      </c>
      <c r="W48" s="93">
        <f t="shared" si="12"/>
        <v>0.74068568363636356</v>
      </c>
      <c r="X48" s="105"/>
      <c r="Y48" s="120"/>
      <c r="Z48" s="147">
        <f>W48/('Economic Model'!H$14*(1-'Economic Model'!C$25/100))</f>
        <v>0.22554851659611788</v>
      </c>
      <c r="AA48" s="124"/>
      <c r="AB48" s="123"/>
      <c r="AC48" s="125"/>
      <c r="AD48" s="262">
        <v>0.86549707602339176</v>
      </c>
      <c r="AE48" s="93">
        <f t="shared" si="13"/>
        <v>1.9810526315789472</v>
      </c>
      <c r="AF48" s="17">
        <v>2.8465497076023389</v>
      </c>
      <c r="AG48" s="120"/>
      <c r="AH48" s="93">
        <f>AF48+(H48*'Economic Model'!C$30*'Economic Model'!C$34/1000)+('Economic Model'!K$63/100)</f>
        <v>4.3875447076023386</v>
      </c>
      <c r="AI48" s="93">
        <f>AH48+('Economic Model'!K$60/100)</f>
        <v>4.946845842147793</v>
      </c>
      <c r="AJ48" s="120"/>
      <c r="AK48" s="91">
        <f t="shared" si="14"/>
        <v>4.043664383306754</v>
      </c>
      <c r="AL48" s="91">
        <f t="shared" si="15"/>
        <v>3.4843632487612997</v>
      </c>
      <c r="AM48" s="91">
        <f t="shared" si="16"/>
        <v>0.74068568363636356</v>
      </c>
      <c r="AN48" s="91">
        <f t="shared" si="17"/>
        <v>2.7436775651249361</v>
      </c>
      <c r="AO48" s="127"/>
      <c r="AP48" s="120"/>
      <c r="AR48" s="186"/>
      <c r="AS48" s="15"/>
      <c r="AW48" s="273"/>
    </row>
    <row r="49" spans="1:49" hidden="1" x14ac:dyDescent="0.2">
      <c r="A49" s="8">
        <v>39569</v>
      </c>
      <c r="B49" s="6"/>
      <c r="C49" s="50"/>
      <c r="D49" s="118">
        <f>'Returns per Gal.'!C49</f>
        <v>2.4852380952380968</v>
      </c>
      <c r="E49" s="119">
        <f>'Returns per Gal.'!D49</f>
        <v>173.54761904761904</v>
      </c>
      <c r="F49" s="119"/>
      <c r="G49" s="118">
        <f>'Returns per Gal.'!F49</f>
        <v>5.6180238095238098</v>
      </c>
      <c r="H49" s="118">
        <f>'Returns per Gal.'!G49</f>
        <v>10.89</v>
      </c>
      <c r="I49" s="120"/>
      <c r="J49" s="104"/>
      <c r="K49" s="93">
        <f>D49*'Economic Model'!C$30</f>
        <v>7.0829285714285763</v>
      </c>
      <c r="L49" s="93">
        <f>E49/2000*('Economic Model'!C$32+0.5)</f>
        <v>1.4664773809523808</v>
      </c>
      <c r="M49" s="319"/>
      <c r="N49" s="93">
        <f t="shared" si="9"/>
        <v>8.5494059523809565</v>
      </c>
      <c r="O49" s="93">
        <f t="shared" si="10"/>
        <v>6.4337198178355024</v>
      </c>
      <c r="P49" s="93"/>
      <c r="Q49" s="137"/>
      <c r="R49" s="93">
        <f>G49+(H49*'Economic Model'!C$30*'Economic Model'!C$34/1000)+('Economic Model'!K$63/100)</f>
        <v>7.1744088095238094</v>
      </c>
      <c r="S49" s="93">
        <f>R49+('Economic Model'!K$60/100)</f>
        <v>7.7337099440692638</v>
      </c>
      <c r="T49" s="121"/>
      <c r="U49" s="137"/>
      <c r="V49" s="93">
        <f t="shared" si="11"/>
        <v>1.374997142857147</v>
      </c>
      <c r="W49" s="93">
        <f t="shared" si="12"/>
        <v>0.81569600831169264</v>
      </c>
      <c r="X49" s="105"/>
      <c r="Y49" s="120"/>
      <c r="Z49" s="147">
        <f>W49/('Economic Model'!H$14*(1-'Economic Model'!C$25/100))</f>
        <v>0.24839014541882332</v>
      </c>
      <c r="AA49" s="124"/>
      <c r="AB49" s="123"/>
      <c r="AC49" s="125"/>
      <c r="AD49" s="262">
        <v>0.86549707602339176</v>
      </c>
      <c r="AE49" s="93">
        <f t="shared" si="13"/>
        <v>1.9810526315789472</v>
      </c>
      <c r="AF49" s="17">
        <v>2.8465497076023389</v>
      </c>
      <c r="AG49" s="120"/>
      <c r="AH49" s="93">
        <f>AF49+(H49*'Economic Model'!C$30*'Economic Model'!C$34/1000)+('Economic Model'!K$63/100)</f>
        <v>4.4029347076023386</v>
      </c>
      <c r="AI49" s="93">
        <f>AH49+('Economic Model'!K$60/100)</f>
        <v>4.962235842147793</v>
      </c>
      <c r="AJ49" s="120"/>
      <c r="AK49" s="91">
        <f t="shared" si="14"/>
        <v>4.1464712447786178</v>
      </c>
      <c r="AL49" s="91">
        <f t="shared" si="15"/>
        <v>3.5871701102331635</v>
      </c>
      <c r="AM49" s="91">
        <f t="shared" si="16"/>
        <v>0.81569600831169264</v>
      </c>
      <c r="AN49" s="91">
        <f t="shared" si="17"/>
        <v>2.7714741019214708</v>
      </c>
      <c r="AO49" s="127"/>
      <c r="AP49" s="120"/>
      <c r="AR49" s="186"/>
      <c r="AS49" s="15"/>
      <c r="AW49" s="273"/>
    </row>
    <row r="50" spans="1:49" hidden="1" x14ac:dyDescent="0.2">
      <c r="A50" s="8">
        <v>39600</v>
      </c>
      <c r="B50" s="6"/>
      <c r="C50" s="50"/>
      <c r="D50" s="118">
        <f>'Returns per Gal.'!C50</f>
        <v>2.5354761904761918</v>
      </c>
      <c r="E50" s="119">
        <f>'Returns per Gal.'!D50</f>
        <v>182.13095238095238</v>
      </c>
      <c r="F50" s="119"/>
      <c r="G50" s="118">
        <f>'Returns per Gal.'!F50</f>
        <v>6.4493154761904758</v>
      </c>
      <c r="H50" s="118">
        <f>'Returns per Gal.'!G50</f>
        <v>11.83</v>
      </c>
      <c r="I50" s="120"/>
      <c r="J50" s="104"/>
      <c r="K50" s="93">
        <f>D50*'Economic Model'!C$30</f>
        <v>7.2261071428571464</v>
      </c>
      <c r="L50" s="93">
        <f>E50/2000*('Economic Model'!C$32+0.5)</f>
        <v>1.5390065476190475</v>
      </c>
      <c r="M50" s="319"/>
      <c r="N50" s="93">
        <f t="shared" si="9"/>
        <v>8.7651136904761948</v>
      </c>
      <c r="O50" s="93">
        <f t="shared" si="10"/>
        <v>6.5690575559307405</v>
      </c>
      <c r="P50" s="93"/>
      <c r="Q50" s="137"/>
      <c r="R50" s="93">
        <f>G50+(H50*'Economic Model'!C$30*'Economic Model'!C$34/1000)+('Economic Model'!K$63/100)</f>
        <v>8.0860704761904749</v>
      </c>
      <c r="S50" s="93">
        <f>R50+('Economic Model'!K$60/100)</f>
        <v>8.6453716107359302</v>
      </c>
      <c r="T50" s="121"/>
      <c r="U50" s="137"/>
      <c r="V50" s="93">
        <f t="shared" si="11"/>
        <v>0.6790432142857199</v>
      </c>
      <c r="W50" s="93">
        <f t="shared" si="12"/>
        <v>0.11974207974026463</v>
      </c>
      <c r="X50" s="105"/>
      <c r="Y50" s="120"/>
      <c r="Z50" s="147">
        <f>W50/('Economic Model'!H$14*(1-'Economic Model'!C$25/100))</f>
        <v>3.6463035611756248E-2</v>
      </c>
      <c r="AA50" s="124"/>
      <c r="AB50" s="123"/>
      <c r="AC50" s="125"/>
      <c r="AD50" s="262">
        <v>0.86549707602339176</v>
      </c>
      <c r="AE50" s="93">
        <f t="shared" si="13"/>
        <v>1.9810526315789472</v>
      </c>
      <c r="AF50" s="17">
        <v>2.8465497076023389</v>
      </c>
      <c r="AG50" s="120"/>
      <c r="AH50" s="93">
        <f>AF50+(H50*'Economic Model'!C$30*'Economic Model'!C$34/1000)+('Economic Model'!K$63/100)</f>
        <v>4.4833047076023389</v>
      </c>
      <c r="AI50" s="93">
        <f>AH50+('Economic Model'!K$60/100)</f>
        <v>5.0426058421477933</v>
      </c>
      <c r="AJ50" s="120"/>
      <c r="AK50" s="91">
        <f t="shared" si="14"/>
        <v>4.2818089828738559</v>
      </c>
      <c r="AL50" s="91">
        <f t="shared" si="15"/>
        <v>3.7225078483284015</v>
      </c>
      <c r="AM50" s="91">
        <f t="shared" si="16"/>
        <v>0.11974207974026463</v>
      </c>
      <c r="AN50" s="91">
        <f t="shared" si="17"/>
        <v>3.6027657685881369</v>
      </c>
      <c r="AO50" s="127"/>
      <c r="AP50" s="120"/>
      <c r="AR50" s="186"/>
      <c r="AS50" s="15"/>
      <c r="AW50" s="273"/>
    </row>
    <row r="51" spans="1:49" hidden="1" x14ac:dyDescent="0.2">
      <c r="A51" s="8">
        <v>39630</v>
      </c>
      <c r="B51" s="6"/>
      <c r="C51" s="50"/>
      <c r="D51" s="118">
        <f>'Returns per Gal.'!C51</f>
        <v>2.6422727272727262</v>
      </c>
      <c r="E51" s="119">
        <f>'Returns per Gal.'!D51</f>
        <v>185.86363636363637</v>
      </c>
      <c r="F51" s="119"/>
      <c r="G51" s="118">
        <f>'Returns per Gal.'!F51</f>
        <v>5.9243181818181823</v>
      </c>
      <c r="H51" s="118">
        <f>'Returns per Gal.'!G51</f>
        <v>12.42</v>
      </c>
      <c r="I51" s="120"/>
      <c r="J51" s="104"/>
      <c r="K51" s="93">
        <f>D51*'Economic Model'!C$30</f>
        <v>7.5304772727272695</v>
      </c>
      <c r="L51" s="93">
        <f>E51/2000*('Economic Model'!C$32+0.5)</f>
        <v>1.5705477272727273</v>
      </c>
      <c r="M51" s="319"/>
      <c r="N51" s="93">
        <f t="shared" si="9"/>
        <v>9.1010249999999964</v>
      </c>
      <c r="O51" s="93">
        <f t="shared" si="10"/>
        <v>6.8545238654545413</v>
      </c>
      <c r="P51" s="93"/>
      <c r="Q51" s="137"/>
      <c r="R51" s="93">
        <f>G51+(H51*'Economic Model'!C$30*'Economic Model'!C$34/1000)+('Economic Model'!K$63/100)</f>
        <v>7.6115181818181821</v>
      </c>
      <c r="S51" s="93">
        <f>R51+('Economic Model'!K$60/100)</f>
        <v>8.1708193163636373</v>
      </c>
      <c r="T51" s="121"/>
      <c r="U51" s="137"/>
      <c r="V51" s="93">
        <f t="shared" si="11"/>
        <v>1.4895068181818143</v>
      </c>
      <c r="W51" s="93">
        <f t="shared" si="12"/>
        <v>0.93020568363635903</v>
      </c>
      <c r="X51" s="105"/>
      <c r="Y51" s="120"/>
      <c r="Z51" s="147">
        <f>W51/('Economic Model'!H$14*(1-'Economic Model'!C$25/100))</f>
        <v>0.28325984517943253</v>
      </c>
      <c r="AA51" s="124"/>
      <c r="AB51" s="123"/>
      <c r="AC51" s="125"/>
      <c r="AD51" s="262">
        <v>0.86549707602339176</v>
      </c>
      <c r="AE51" s="93">
        <f t="shared" si="13"/>
        <v>1.9810526315789472</v>
      </c>
      <c r="AF51" s="17">
        <v>2.8465497076023389</v>
      </c>
      <c r="AG51" s="120"/>
      <c r="AH51" s="93">
        <f>AF51+(H51*'Economic Model'!C$30*'Economic Model'!C$34/1000)+('Economic Model'!K$63/100)</f>
        <v>4.5337497076023388</v>
      </c>
      <c r="AI51" s="93">
        <f>AH51+('Economic Model'!K$60/100)</f>
        <v>5.0930508421477931</v>
      </c>
      <c r="AJ51" s="120"/>
      <c r="AK51" s="91">
        <f t="shared" si="14"/>
        <v>4.5672752923976576</v>
      </c>
      <c r="AL51" s="91">
        <f t="shared" si="15"/>
        <v>4.0079741578522032</v>
      </c>
      <c r="AM51" s="91">
        <f t="shared" si="16"/>
        <v>0.93020568363635903</v>
      </c>
      <c r="AN51" s="91">
        <f t="shared" si="17"/>
        <v>3.0777684742158433</v>
      </c>
      <c r="AO51" s="127"/>
      <c r="AP51" s="120"/>
      <c r="AR51" s="186"/>
      <c r="AS51" s="15"/>
      <c r="AW51" s="273"/>
    </row>
    <row r="52" spans="1:49" hidden="1" x14ac:dyDescent="0.2">
      <c r="A52" s="8">
        <v>39661</v>
      </c>
      <c r="B52" s="6"/>
      <c r="C52" s="50"/>
      <c r="D52" s="118">
        <f>'Returns per Gal.'!C52</f>
        <v>2.2238095238095235</v>
      </c>
      <c r="E52" s="119">
        <f>'Returns per Gal.'!D52</f>
        <v>154.66666666666666</v>
      </c>
      <c r="F52" s="119"/>
      <c r="G52" s="118">
        <f>'Returns per Gal.'!F52</f>
        <v>5.0598809523809516</v>
      </c>
      <c r="H52" s="118">
        <f>'Returns per Gal.'!G52</f>
        <v>11.83</v>
      </c>
      <c r="I52" s="120"/>
      <c r="J52" s="104"/>
      <c r="K52" s="93">
        <f>D52*'Economic Model'!C$30</f>
        <v>6.3378571428571417</v>
      </c>
      <c r="L52" s="93">
        <f>E52/2000*('Economic Model'!C$32+0.5)</f>
        <v>1.3069333333333331</v>
      </c>
      <c r="M52" s="319"/>
      <c r="N52" s="93">
        <f t="shared" si="9"/>
        <v>7.644790476190475</v>
      </c>
      <c r="O52" s="93">
        <f t="shared" si="10"/>
        <v>5.4487343416450207</v>
      </c>
      <c r="P52" s="93"/>
      <c r="Q52" s="137"/>
      <c r="R52" s="93">
        <f>G52+(H52*'Economic Model'!C$30*'Economic Model'!C$34/1000)+('Economic Model'!K$63/100)</f>
        <v>6.6966359523809516</v>
      </c>
      <c r="S52" s="93">
        <f>R52+('Economic Model'!K$60/100)</f>
        <v>7.2559370869264059</v>
      </c>
      <c r="T52" s="121"/>
      <c r="U52" s="137"/>
      <c r="V52" s="93">
        <f t="shared" si="11"/>
        <v>0.94815452380952348</v>
      </c>
      <c r="W52" s="93">
        <f t="shared" si="12"/>
        <v>0.38885338926406909</v>
      </c>
      <c r="X52" s="105"/>
      <c r="Y52" s="120"/>
      <c r="Z52" s="147">
        <f>W52/('Economic Model'!H$14*(1-'Economic Model'!C$25/100))</f>
        <v>0.1184109630569586</v>
      </c>
      <c r="AA52" s="124"/>
      <c r="AB52" s="123"/>
      <c r="AC52" s="125"/>
      <c r="AD52" s="262">
        <v>0.86549707602339176</v>
      </c>
      <c r="AE52" s="93">
        <f t="shared" si="13"/>
        <v>1.9810526315789472</v>
      </c>
      <c r="AF52" s="17">
        <v>2.8465497076023389</v>
      </c>
      <c r="AG52" s="120"/>
      <c r="AH52" s="93">
        <f>AF52+(H52*'Economic Model'!C$30*'Economic Model'!C$34/1000)+('Economic Model'!K$63/100)</f>
        <v>4.4833047076023389</v>
      </c>
      <c r="AI52" s="93">
        <f>AH52+('Economic Model'!K$60/100)</f>
        <v>5.0426058421477933</v>
      </c>
      <c r="AJ52" s="120"/>
      <c r="AK52" s="91">
        <f t="shared" si="14"/>
        <v>3.1614857685881361</v>
      </c>
      <c r="AL52" s="91">
        <f t="shared" si="15"/>
        <v>2.6021846340426817</v>
      </c>
      <c r="AM52" s="91">
        <f t="shared" si="16"/>
        <v>0.38885338926406909</v>
      </c>
      <c r="AN52" s="91">
        <f t="shared" si="17"/>
        <v>2.2133312447786126</v>
      </c>
      <c r="AO52" s="127"/>
      <c r="AP52" s="120"/>
      <c r="AR52" s="186"/>
      <c r="AS52" s="15"/>
      <c r="AW52" s="273"/>
    </row>
    <row r="53" spans="1:49" hidden="1" x14ac:dyDescent="0.2">
      <c r="A53" s="8">
        <v>39692</v>
      </c>
      <c r="C53" s="53"/>
      <c r="D53" s="118">
        <f>'Returns per Gal.'!C53</f>
        <v>2.15</v>
      </c>
      <c r="E53" s="119">
        <f>'Returns per Gal.'!D53</f>
        <v>141.13095238095238</v>
      </c>
      <c r="F53" s="119"/>
      <c r="G53" s="118">
        <f>'Returns per Gal.'!F53</f>
        <v>5.1102678571428575</v>
      </c>
      <c r="H53" s="118">
        <f>'Returns per Gal.'!G53</f>
        <v>9.3000000000000007</v>
      </c>
      <c r="I53" s="120"/>
      <c r="J53" s="104"/>
      <c r="K53" s="93">
        <f>D53*'Economic Model'!C$30</f>
        <v>6.1274999999999995</v>
      </c>
      <c r="L53" s="93">
        <f>E53/2000*('Economic Model'!C$32+0.5)</f>
        <v>1.1925565476190476</v>
      </c>
      <c r="M53" s="319"/>
      <c r="N53" s="93">
        <f t="shared" si="9"/>
        <v>7.3200565476190471</v>
      </c>
      <c r="O53" s="93">
        <f t="shared" si="10"/>
        <v>5.3403154130735926</v>
      </c>
      <c r="P53" s="93"/>
      <c r="Q53" s="137"/>
      <c r="R53" s="93">
        <f>G53+(H53*'Economic Model'!C$30*'Economic Model'!C$34/1000)+('Economic Model'!K$63/100)</f>
        <v>6.5307078571428576</v>
      </c>
      <c r="S53" s="93">
        <f>R53+('Economic Model'!K$60/100)</f>
        <v>7.090008991688312</v>
      </c>
      <c r="T53" s="121"/>
      <c r="U53" s="137"/>
      <c r="V53" s="93">
        <f t="shared" si="11"/>
        <v>0.7893486904761895</v>
      </c>
      <c r="W53" s="93">
        <f t="shared" si="12"/>
        <v>0.23004755593073511</v>
      </c>
      <c r="X53" s="105"/>
      <c r="Y53" s="120"/>
      <c r="Z53" s="147">
        <f>W53/('Economic Model'!H$14*(1-'Economic Model'!C$25/100))</f>
        <v>7.0052501530748379E-2</v>
      </c>
      <c r="AA53" s="124"/>
      <c r="AB53" s="123"/>
      <c r="AC53" s="125"/>
      <c r="AD53" s="262">
        <v>1.0292397660818713</v>
      </c>
      <c r="AE53" s="93">
        <f t="shared" si="13"/>
        <v>2.3561988304093564</v>
      </c>
      <c r="AF53" s="17">
        <v>3.3854385964912277</v>
      </c>
      <c r="AG53" s="120"/>
      <c r="AH53" s="93">
        <f>AF53+(H53*'Economic Model'!C$30*'Economic Model'!C$34/1000)+('Economic Model'!K$63/100)</f>
        <v>4.8058785964912278</v>
      </c>
      <c r="AI53" s="93">
        <f>AH53+('Economic Model'!K$60/100)</f>
        <v>5.3651797310366822</v>
      </c>
      <c r="AJ53" s="120"/>
      <c r="AK53" s="91">
        <f t="shared" si="14"/>
        <v>2.5141779511278193</v>
      </c>
      <c r="AL53" s="91">
        <f t="shared" si="15"/>
        <v>1.9548768165823649</v>
      </c>
      <c r="AM53" s="91">
        <f t="shared" si="16"/>
        <v>0.23004755593073511</v>
      </c>
      <c r="AN53" s="91">
        <f t="shared" si="17"/>
        <v>1.7248292606516298</v>
      </c>
      <c r="AO53" s="127"/>
      <c r="AP53" s="120"/>
      <c r="AR53" s="186"/>
      <c r="AS53" s="15"/>
      <c r="AW53" s="273"/>
    </row>
    <row r="54" spans="1:49" hidden="1" x14ac:dyDescent="0.2">
      <c r="A54" s="8">
        <v>39722</v>
      </c>
      <c r="C54" s="53"/>
      <c r="D54" s="118">
        <f>'Returns per Gal.'!C54</f>
        <v>1.85</v>
      </c>
      <c r="E54" s="119">
        <f>'Returns per Gal.'!D54</f>
        <v>129.5</v>
      </c>
      <c r="F54" s="119"/>
      <c r="G54" s="118">
        <f>'Returns per Gal.'!F54</f>
        <v>3.9515652173913023</v>
      </c>
      <c r="H54" s="118">
        <f>'Returns per Gal.'!G54</f>
        <v>7.3</v>
      </c>
      <c r="I54" s="120"/>
      <c r="J54" s="104"/>
      <c r="K54" s="93">
        <f>D54*'Economic Model'!C$30</f>
        <v>5.2725000000000009</v>
      </c>
      <c r="L54" s="93">
        <f>E54/2000*('Economic Model'!C$32+0.5)</f>
        <v>1.0942749999999999</v>
      </c>
      <c r="M54" s="319"/>
      <c r="N54" s="93">
        <f t="shared" si="9"/>
        <v>6.3667750000000005</v>
      </c>
      <c r="O54" s="93">
        <f t="shared" si="10"/>
        <v>4.5580338654545471</v>
      </c>
      <c r="P54" s="93"/>
      <c r="Q54" s="137"/>
      <c r="R54" s="93">
        <f>G54+(H54*'Economic Model'!C$30*'Economic Model'!C$34/1000)+('Economic Model'!K$63/100)</f>
        <v>5.2010052173913017</v>
      </c>
      <c r="S54" s="93">
        <f>R54+('Economic Model'!K$60/100)</f>
        <v>5.7603063519367561</v>
      </c>
      <c r="T54" s="121"/>
      <c r="U54" s="137"/>
      <c r="V54" s="93">
        <f t="shared" si="11"/>
        <v>1.1657697826086988</v>
      </c>
      <c r="W54" s="93">
        <f t="shared" si="12"/>
        <v>0.60646864806324441</v>
      </c>
      <c r="X54" s="105"/>
      <c r="Y54" s="120"/>
      <c r="Z54" s="147">
        <f>W54/('Economic Model'!H$14*(1-'Economic Model'!C$25/100))</f>
        <v>0.18467766686290293</v>
      </c>
      <c r="AA54" s="124"/>
      <c r="AB54" s="123"/>
      <c r="AC54" s="125"/>
      <c r="AD54" s="262">
        <v>1.0292397660818713</v>
      </c>
      <c r="AE54" s="93">
        <f t="shared" si="13"/>
        <v>2.3561988304093564</v>
      </c>
      <c r="AF54" s="17">
        <v>3.3854385964912277</v>
      </c>
      <c r="AG54" s="120"/>
      <c r="AH54" s="93">
        <f>AF54+(H54*'Economic Model'!C$30*'Economic Model'!C$34/1000)+('Economic Model'!K$63/100)</f>
        <v>4.6348785964912276</v>
      </c>
      <c r="AI54" s="93">
        <f>AH54+('Economic Model'!K$60/100)</f>
        <v>5.194179731036682</v>
      </c>
      <c r="AJ54" s="120"/>
      <c r="AK54" s="91">
        <f t="shared" si="14"/>
        <v>1.7318964035087729</v>
      </c>
      <c r="AL54" s="91">
        <f t="shared" si="15"/>
        <v>1.1725952689633186</v>
      </c>
      <c r="AM54" s="91">
        <f t="shared" si="16"/>
        <v>0.60646864806324485</v>
      </c>
      <c r="AN54" s="91">
        <f t="shared" si="17"/>
        <v>0.5661266209000746</v>
      </c>
      <c r="AO54" s="127"/>
      <c r="AP54" s="120"/>
      <c r="AR54" s="186"/>
      <c r="AS54" s="15"/>
      <c r="AW54" s="273"/>
    </row>
    <row r="55" spans="1:49" hidden="1" x14ac:dyDescent="0.2">
      <c r="A55" s="8">
        <v>39753</v>
      </c>
      <c r="C55" s="53"/>
      <c r="D55" s="118">
        <f>'Returns per Gal.'!C55</f>
        <v>1.6465000000000001</v>
      </c>
      <c r="E55" s="119">
        <f>'Returns per Gal.'!D55</f>
        <v>120.30263157894737</v>
      </c>
      <c r="F55" s="119"/>
      <c r="G55" s="118">
        <f>'Returns per Gal.'!F55</f>
        <v>3.5661842105263171</v>
      </c>
      <c r="H55" s="118">
        <f>'Returns per Gal.'!G55</f>
        <v>7.11</v>
      </c>
      <c r="I55" s="120"/>
      <c r="J55" s="104"/>
      <c r="K55" s="93">
        <f>D55*'Economic Model'!C$30</f>
        <v>4.6925250000000007</v>
      </c>
      <c r="L55" s="93">
        <f>E55/2000*('Economic Model'!C$32+0.5)</f>
        <v>1.0165572368421052</v>
      </c>
      <c r="M55" s="319"/>
      <c r="N55" s="93">
        <f t="shared" si="9"/>
        <v>5.7090822368421055</v>
      </c>
      <c r="O55" s="93">
        <f t="shared" si="10"/>
        <v>3.9165861022966517</v>
      </c>
      <c r="P55" s="93"/>
      <c r="Q55" s="137"/>
      <c r="R55" s="93">
        <f>G55+(H55*'Economic Model'!C$30*'Economic Model'!C$34/1000)+('Economic Model'!K$63/100)</f>
        <v>4.7993792105263164</v>
      </c>
      <c r="S55" s="93">
        <f>R55+('Economic Model'!K$60/100)</f>
        <v>5.3586803450717708</v>
      </c>
      <c r="T55" s="121"/>
      <c r="U55" s="137"/>
      <c r="V55" s="93">
        <f t="shared" si="11"/>
        <v>0.90970302631578903</v>
      </c>
      <c r="W55" s="93">
        <f t="shared" si="12"/>
        <v>0.35040189177033465</v>
      </c>
      <c r="X55" s="105"/>
      <c r="Y55" s="120"/>
      <c r="Z55" s="147">
        <f>W55/('Economic Model'!H$14*(1-'Economic Model'!C$25/100))</f>
        <v>0.10670197716427465</v>
      </c>
      <c r="AA55" s="124"/>
      <c r="AB55" s="123"/>
      <c r="AC55" s="125"/>
      <c r="AD55" s="262">
        <v>1.0292397660818713</v>
      </c>
      <c r="AE55" s="93">
        <f t="shared" si="13"/>
        <v>2.3561988304093564</v>
      </c>
      <c r="AF55" s="17">
        <v>3.3854385964912277</v>
      </c>
      <c r="AG55" s="120"/>
      <c r="AH55" s="93">
        <f>AF55+(H55*'Economic Model'!C$30*'Economic Model'!C$34/1000)+('Economic Model'!K$63/100)</f>
        <v>4.6186335964912271</v>
      </c>
      <c r="AI55" s="93">
        <f>AH55+('Economic Model'!K$60/100)</f>
        <v>5.1779347310366814</v>
      </c>
      <c r="AJ55" s="120"/>
      <c r="AK55" s="91">
        <f t="shared" si="14"/>
        <v>1.0904486403508784</v>
      </c>
      <c r="AL55" s="91">
        <f t="shared" si="15"/>
        <v>0.53114750580542403</v>
      </c>
      <c r="AM55" s="91">
        <f t="shared" si="16"/>
        <v>0.35040189177033465</v>
      </c>
      <c r="AN55" s="91">
        <f t="shared" si="17"/>
        <v>0.18074561403508937</v>
      </c>
      <c r="AO55" s="127"/>
      <c r="AP55" s="120"/>
      <c r="AR55" s="186"/>
      <c r="AS55" s="15"/>
      <c r="AW55" s="273"/>
    </row>
    <row r="56" spans="1:49" hidden="1" x14ac:dyDescent="0.2">
      <c r="A56" s="68">
        <v>39783</v>
      </c>
      <c r="B56" s="29"/>
      <c r="C56" s="56"/>
      <c r="D56" s="128">
        <f>'Returns per Gal.'!C56</f>
        <v>1.4927272727272725</v>
      </c>
      <c r="E56" s="129">
        <f>'Returns per Gal.'!D56</f>
        <v>116.3452380952381</v>
      </c>
      <c r="F56" s="129"/>
      <c r="G56" s="128">
        <f>'Returns per Gal.'!F56</f>
        <v>3.3650595238095233</v>
      </c>
      <c r="H56" s="128">
        <f>'Returns per Gal.'!G56</f>
        <v>7.92</v>
      </c>
      <c r="I56" s="130"/>
      <c r="J56" s="106"/>
      <c r="K56" s="97">
        <f>D56*'Economic Model'!C$30</f>
        <v>4.2542727272727268</v>
      </c>
      <c r="L56" s="97">
        <f>E56/2000*('Economic Model'!C$32+0.5)</f>
        <v>0.9831172619047619</v>
      </c>
      <c r="M56" s="320"/>
      <c r="N56" s="97">
        <f t="shared" si="9"/>
        <v>5.2373899891774887</v>
      </c>
      <c r="O56" s="97">
        <f t="shared" si="10"/>
        <v>3.3756388546320348</v>
      </c>
      <c r="P56" s="107"/>
      <c r="Q56" s="98"/>
      <c r="R56" s="97">
        <f>G56+(H56*'Economic Model'!C$30*'Economic Model'!C$34/1000)+('Economic Model'!K$63/100)</f>
        <v>4.6675095238095228</v>
      </c>
      <c r="S56" s="97">
        <f>R56+('Economic Model'!K$60/100)</f>
        <v>5.2268106583549772</v>
      </c>
      <c r="T56" s="131"/>
      <c r="U56" s="98"/>
      <c r="V56" s="97">
        <f t="shared" si="11"/>
        <v>0.56988046536796588</v>
      </c>
      <c r="W56" s="97">
        <f t="shared" si="12"/>
        <v>1.0579330822511501E-2</v>
      </c>
      <c r="X56" s="107"/>
      <c r="Y56" s="130"/>
      <c r="Z56" s="148">
        <f>W56/('Economic Model'!H$14*(1-'Economic Model'!C$25/100))</f>
        <v>3.2215451524354398E-3</v>
      </c>
      <c r="AA56" s="133"/>
      <c r="AB56" s="123"/>
      <c r="AC56" s="134"/>
      <c r="AD56" s="263">
        <v>1.0292397660818713</v>
      </c>
      <c r="AE56" s="97">
        <f t="shared" si="13"/>
        <v>2.3561988304093564</v>
      </c>
      <c r="AF56" s="65">
        <v>3.3854385964912277</v>
      </c>
      <c r="AG56" s="130"/>
      <c r="AH56" s="97">
        <f>AF56+(H56*'Economic Model'!C$30*'Economic Model'!C$34/1000)+('Economic Model'!K$63/100)</f>
        <v>4.6878885964912271</v>
      </c>
      <c r="AI56" s="97">
        <f>AH56+('Economic Model'!K$60/100)</f>
        <v>5.2471897310366815</v>
      </c>
      <c r="AJ56" s="130"/>
      <c r="AK56" s="92">
        <f t="shared" si="14"/>
        <v>0.54950139268626153</v>
      </c>
      <c r="AL56" s="92">
        <f t="shared" si="15"/>
        <v>-9.7997418591928565E-3</v>
      </c>
      <c r="AM56" s="92">
        <f t="shared" si="16"/>
        <v>1.0579330822511501E-2</v>
      </c>
      <c r="AN56" s="92">
        <f t="shared" si="17"/>
        <v>-2.0379072681704358E-2</v>
      </c>
      <c r="AO56" s="136"/>
      <c r="AP56" s="120"/>
      <c r="AR56" s="186"/>
      <c r="AS56" s="15"/>
      <c r="AW56" s="273"/>
    </row>
    <row r="57" spans="1:49" hidden="1" x14ac:dyDescent="0.2">
      <c r="A57" s="21">
        <v>39814</v>
      </c>
      <c r="C57" s="53"/>
      <c r="D57" s="141">
        <f>'Returns per Gal.'!C57</f>
        <v>1.5161363636363638</v>
      </c>
      <c r="E57" s="142">
        <f>'Returns per Gal.'!D57</f>
        <v>125.22619047619048</v>
      </c>
      <c r="F57" s="142"/>
      <c r="G57" s="141">
        <f>'Returns per Gal.'!F57</f>
        <v>3.6678988095238108</v>
      </c>
      <c r="H57" s="141">
        <f>'Returns per Gal.'!G57</f>
        <v>8.2200000000000006</v>
      </c>
      <c r="I57" s="143"/>
      <c r="J57" s="101"/>
      <c r="K57" s="101">
        <f>D57*'Economic Model'!C$30</f>
        <v>4.3209886363636372</v>
      </c>
      <c r="L57" s="101">
        <f>E57/2000*('Economic Model'!C$32+0.5)</f>
        <v>1.0581613095238096</v>
      </c>
      <c r="M57" s="321"/>
      <c r="N57" s="101">
        <f t="shared" si="9"/>
        <v>5.3791499458874465</v>
      </c>
      <c r="O57" s="101">
        <f t="shared" si="10"/>
        <v>3.4917488113419921</v>
      </c>
      <c r="P57" s="116"/>
      <c r="Q57" s="102"/>
      <c r="R57" s="101">
        <f>G57+(H57*'Economic Model'!C$30*'Economic Model'!C$34/1000)+('Economic Model'!K$63/100)</f>
        <v>4.9959988095238108</v>
      </c>
      <c r="S57" s="101">
        <f>R57+('Economic Model'!K$60/100)</f>
        <v>5.5552999440692652</v>
      </c>
      <c r="T57" s="144"/>
      <c r="U57" s="102"/>
      <c r="V57" s="101">
        <f t="shared" si="11"/>
        <v>0.38315113636363574</v>
      </c>
      <c r="W57" s="101">
        <f t="shared" si="12"/>
        <v>-0.17614999818181865</v>
      </c>
      <c r="X57" s="116"/>
      <c r="Y57" s="145"/>
      <c r="Z57" s="149">
        <f>W57/('Economic Model'!H$14*(1-'Economic Model'!C$25/100))</f>
        <v>-5.363998746845431E-2</v>
      </c>
      <c r="AA57" s="127"/>
      <c r="AB57" s="120"/>
      <c r="AC57" s="125"/>
      <c r="AD57" s="262">
        <v>1.0292397660818713</v>
      </c>
      <c r="AE57" s="93">
        <f t="shared" si="13"/>
        <v>2.3561988304093564</v>
      </c>
      <c r="AF57" s="17">
        <v>3.3854385964912277</v>
      </c>
      <c r="AG57" s="120"/>
      <c r="AH57" s="93">
        <f>AF57+(H57*'Economic Model'!C$30*'Economic Model'!C$34/1000)+('Economic Model'!K$63/100)</f>
        <v>4.7135385964912278</v>
      </c>
      <c r="AI57" s="93">
        <f>AH57+('Economic Model'!K$60/100)</f>
        <v>5.2728397310366821</v>
      </c>
      <c r="AJ57" s="120"/>
      <c r="AK57" s="91">
        <f t="shared" si="14"/>
        <v>0.6656113493962188</v>
      </c>
      <c r="AL57" s="91">
        <f t="shared" si="15"/>
        <v>0.10631021485076442</v>
      </c>
      <c r="AM57" s="91">
        <f t="shared" si="16"/>
        <v>-0.17614999818181865</v>
      </c>
      <c r="AN57" s="91">
        <f t="shared" si="17"/>
        <v>0.28246021303258306</v>
      </c>
      <c r="AO57" s="127"/>
      <c r="AP57" s="120"/>
      <c r="AR57" s="186"/>
      <c r="AS57" s="15"/>
      <c r="AW57" s="273"/>
    </row>
    <row r="58" spans="1:49" hidden="1" x14ac:dyDescent="0.2">
      <c r="A58" s="8">
        <v>39845</v>
      </c>
      <c r="C58" s="53"/>
      <c r="D58" s="118">
        <f>'Returns per Gal.'!C58</f>
        <v>1.4890000000000005</v>
      </c>
      <c r="E58" s="119">
        <f>'Returns per Gal.'!D58</f>
        <v>124.5125</v>
      </c>
      <c r="F58" s="119"/>
      <c r="G58" s="118">
        <f>'Returns per Gal.'!F58</f>
        <v>3.4548749999999986</v>
      </c>
      <c r="H58" s="118">
        <f>'Returns per Gal.'!G58</f>
        <v>7.84</v>
      </c>
      <c r="I58" s="126"/>
      <c r="J58" s="93"/>
      <c r="K58" s="93">
        <f>D58*'Economic Model'!C$30</f>
        <v>4.2436500000000015</v>
      </c>
      <c r="L58" s="93">
        <f>E58/2000*('Economic Model'!C$32+0.5)</f>
        <v>1.052130625</v>
      </c>
      <c r="M58" s="319"/>
      <c r="N58" s="93">
        <f t="shared" si="9"/>
        <v>5.2957806250000017</v>
      </c>
      <c r="O58" s="93">
        <f t="shared" si="10"/>
        <v>3.4408694904545474</v>
      </c>
      <c r="P58" s="105"/>
      <c r="Q58" s="94"/>
      <c r="R58" s="93">
        <f>G58+(H58*'Economic Model'!C$30*'Economic Model'!C$34/1000)+('Economic Model'!K$63/100)</f>
        <v>4.7504849999999985</v>
      </c>
      <c r="S58" s="93">
        <f>R58+('Economic Model'!K$60/100)</f>
        <v>5.3097861345454529</v>
      </c>
      <c r="T58" s="121"/>
      <c r="U58" s="94"/>
      <c r="V58" s="93">
        <f t="shared" si="11"/>
        <v>0.54529562500000317</v>
      </c>
      <c r="W58" s="93">
        <f t="shared" si="12"/>
        <v>-1.4005509545451211E-2</v>
      </c>
      <c r="X58" s="105"/>
      <c r="Y58" s="120"/>
      <c r="Z58" s="147">
        <f>W58/('Economic Model'!H$14*(1-'Economic Model'!C$25/100))</f>
        <v>-4.2648615626546243E-3</v>
      </c>
      <c r="AA58" s="127"/>
      <c r="AB58" s="120"/>
      <c r="AC58" s="125"/>
      <c r="AD58" s="262">
        <v>1.0292397660818713</v>
      </c>
      <c r="AE58" s="93">
        <f t="shared" si="13"/>
        <v>2.3561988304093564</v>
      </c>
      <c r="AF58" s="17">
        <v>3.3854385964912277</v>
      </c>
      <c r="AG58" s="120"/>
      <c r="AH58" s="93">
        <f>AF58+(H58*'Economic Model'!C$30*'Economic Model'!C$34/1000)+('Economic Model'!K$63/100)</f>
        <v>4.6810485964912276</v>
      </c>
      <c r="AI58" s="93">
        <f>AH58+('Economic Model'!K$60/100)</f>
        <v>5.240349731036682</v>
      </c>
      <c r="AJ58" s="120"/>
      <c r="AK58" s="91">
        <f t="shared" si="14"/>
        <v>0.61473202850877406</v>
      </c>
      <c r="AL58" s="91">
        <f t="shared" si="15"/>
        <v>5.5430893963319683E-2</v>
      </c>
      <c r="AM58" s="91">
        <f t="shared" si="16"/>
        <v>-1.4005509545451211E-2</v>
      </c>
      <c r="AN58" s="91">
        <f t="shared" si="17"/>
        <v>6.9436403508770894E-2</v>
      </c>
      <c r="AO58" s="127"/>
      <c r="AP58" s="120"/>
      <c r="AR58" s="186"/>
      <c r="AS58" s="15"/>
      <c r="AW58" s="273"/>
    </row>
    <row r="59" spans="1:49" hidden="1" x14ac:dyDescent="0.2">
      <c r="A59" s="8">
        <v>39873</v>
      </c>
      <c r="C59" s="53"/>
      <c r="D59" s="118">
        <f>'Returns per Gal.'!C59</f>
        <v>1.4606818181818175</v>
      </c>
      <c r="E59" s="119">
        <f>'Returns per Gal.'!D59</f>
        <v>121.06818181818181</v>
      </c>
      <c r="F59" s="119"/>
      <c r="G59" s="118">
        <f>'Returns per Gal.'!F59</f>
        <v>3.6221590909090908</v>
      </c>
      <c r="H59" s="118">
        <f>'Returns per Gal.'!G59</f>
        <v>7.28</v>
      </c>
      <c r="I59" s="126"/>
      <c r="J59" s="93"/>
      <c r="K59" s="93">
        <f>D59*'Economic Model'!C$30</f>
        <v>4.1629431818181803</v>
      </c>
      <c r="L59" s="93">
        <f>E59/2000*('Economic Model'!C$32+0.5)</f>
        <v>1.0230261363636362</v>
      </c>
      <c r="M59" s="319"/>
      <c r="N59" s="93">
        <f t="shared" si="9"/>
        <v>5.1859693181818169</v>
      </c>
      <c r="O59" s="93">
        <f t="shared" si="10"/>
        <v>3.3789381836363628</v>
      </c>
      <c r="P59" s="105"/>
      <c r="Q59" s="94"/>
      <c r="R59" s="93">
        <f>G59+(H59*'Economic Model'!C$30*'Economic Model'!C$34/1000)+('Economic Model'!K$63/100)</f>
        <v>4.8698890909090906</v>
      </c>
      <c r="S59" s="93">
        <f>R59+('Economic Model'!K$60/100)</f>
        <v>5.429190225454545</v>
      </c>
      <c r="T59" s="121"/>
      <c r="U59" s="94"/>
      <c r="V59" s="93">
        <f t="shared" si="11"/>
        <v>0.31608022727272633</v>
      </c>
      <c r="W59" s="93">
        <f t="shared" si="12"/>
        <v>-0.24322090727272805</v>
      </c>
      <c r="X59" s="105"/>
      <c r="Y59" s="120"/>
      <c r="Z59" s="147">
        <f>W59/('Economic Model'!H$14*(1-'Economic Model'!C$25/100))</f>
        <v>-7.4063959993397294E-2</v>
      </c>
      <c r="AA59" s="127"/>
      <c r="AB59" s="120"/>
      <c r="AC59" s="125"/>
      <c r="AD59" s="262">
        <v>1.0292397660818713</v>
      </c>
      <c r="AE59" s="93">
        <f t="shared" si="13"/>
        <v>2.3561988304093564</v>
      </c>
      <c r="AF59" s="17">
        <v>3.3854385964912277</v>
      </c>
      <c r="AG59" s="120"/>
      <c r="AH59" s="93">
        <f>AF59+(H59*'Economic Model'!C$30*'Economic Model'!C$34/1000)+('Economic Model'!K$63/100)</f>
        <v>4.6331685964912275</v>
      </c>
      <c r="AI59" s="93">
        <f>AH59+('Economic Model'!K$60/100)</f>
        <v>5.1924697310366819</v>
      </c>
      <c r="AJ59" s="120"/>
      <c r="AK59" s="91">
        <f t="shared" si="14"/>
        <v>0.55280072169058947</v>
      </c>
      <c r="AL59" s="91">
        <f t="shared" si="15"/>
        <v>-6.500412854864912E-3</v>
      </c>
      <c r="AM59" s="91">
        <f t="shared" si="16"/>
        <v>-0.24322090727272805</v>
      </c>
      <c r="AN59" s="91">
        <f t="shared" si="17"/>
        <v>0.23672049441786314</v>
      </c>
      <c r="AO59" s="127"/>
      <c r="AP59" s="120"/>
      <c r="AR59" s="186"/>
      <c r="AS59" s="15"/>
      <c r="AW59" s="273"/>
    </row>
    <row r="60" spans="1:49" hidden="1" x14ac:dyDescent="0.2">
      <c r="A60" s="8">
        <v>39904</v>
      </c>
      <c r="C60" s="53"/>
      <c r="D60" s="118">
        <f>'Returns per Gal.'!C60</f>
        <v>1.4981818181818185</v>
      </c>
      <c r="E60" s="119">
        <f>'Returns per Gal.'!D60</f>
        <v>119.94318181818181</v>
      </c>
      <c r="F60" s="119"/>
      <c r="G60" s="118">
        <f>'Returns per Gal.'!F60</f>
        <v>3.7570454545454526</v>
      </c>
      <c r="H60" s="118">
        <f>'Returns per Gal.'!G60</f>
        <v>5.6</v>
      </c>
      <c r="I60" s="126"/>
      <c r="J60" s="93"/>
      <c r="K60" s="93">
        <f>D60*'Economic Model'!C$30</f>
        <v>4.2698181818181826</v>
      </c>
      <c r="L60" s="93">
        <f>E60/2000*('Economic Model'!C$32+0.5)</f>
        <v>1.0135198863636361</v>
      </c>
      <c r="M60" s="319"/>
      <c r="N60" s="93">
        <f t="shared" si="9"/>
        <v>5.2833380681818189</v>
      </c>
      <c r="O60" s="93">
        <f t="shared" si="10"/>
        <v>3.6199469336363652</v>
      </c>
      <c r="P60" s="105"/>
      <c r="Q60" s="94"/>
      <c r="R60" s="93">
        <f>G60+(H60*'Economic Model'!C$30*'Economic Model'!C$34/1000)+('Economic Model'!K$63/100)</f>
        <v>4.8611354545454519</v>
      </c>
      <c r="S60" s="93">
        <f>R60+('Economic Model'!K$60/100)</f>
        <v>5.4204365890909063</v>
      </c>
      <c r="T60" s="121"/>
      <c r="U60" s="94"/>
      <c r="V60" s="93">
        <f t="shared" si="11"/>
        <v>0.42220261363636702</v>
      </c>
      <c r="W60" s="93">
        <f t="shared" si="12"/>
        <v>-0.13709852090908736</v>
      </c>
      <c r="X60" s="105"/>
      <c r="Y60" s="120"/>
      <c r="Z60" s="147">
        <f>W60/('Economic Model'!H$14*(1-'Economic Model'!C$25/100))</f>
        <v>-4.174829985474339E-2</v>
      </c>
      <c r="AA60" s="127"/>
      <c r="AB60" s="120"/>
      <c r="AC60" s="125"/>
      <c r="AD60" s="262">
        <v>1.0292397660818713</v>
      </c>
      <c r="AE60" s="93">
        <f t="shared" si="13"/>
        <v>2.3561988304093564</v>
      </c>
      <c r="AF60" s="17">
        <v>3.3854385964912277</v>
      </c>
      <c r="AG60" s="120"/>
      <c r="AH60" s="93">
        <f>AF60+(H60*'Economic Model'!C$30*'Economic Model'!C$34/1000)+('Economic Model'!K$63/100)</f>
        <v>4.4895285964912279</v>
      </c>
      <c r="AI60" s="93">
        <f>AH60+('Economic Model'!K$60/100)</f>
        <v>5.0488297310366823</v>
      </c>
      <c r="AJ60" s="120"/>
      <c r="AK60" s="91">
        <f t="shared" si="14"/>
        <v>0.79380947169059102</v>
      </c>
      <c r="AL60" s="91">
        <f t="shared" si="15"/>
        <v>0.23450833714513664</v>
      </c>
      <c r="AM60" s="91">
        <f t="shared" si="16"/>
        <v>-0.13709852090908736</v>
      </c>
      <c r="AN60" s="91">
        <f t="shared" si="17"/>
        <v>0.37160685805422489</v>
      </c>
      <c r="AO60" s="127"/>
      <c r="AP60" s="120"/>
      <c r="AR60" s="186"/>
      <c r="AS60" s="15"/>
      <c r="AW60" s="273"/>
    </row>
    <row r="61" spans="1:49" hidden="1" x14ac:dyDescent="0.2">
      <c r="A61" s="8">
        <v>39934</v>
      </c>
      <c r="C61" s="53"/>
      <c r="D61" s="118">
        <f>'Returns per Gal.'!C61</f>
        <v>1.56</v>
      </c>
      <c r="E61" s="119">
        <f>'Returns per Gal.'!D61</f>
        <v>128.71250000000001</v>
      </c>
      <c r="F61" s="119"/>
      <c r="G61" s="118">
        <f>'Returns per Gal.'!F61</f>
        <v>3.9796249999999995</v>
      </c>
      <c r="H61" s="118">
        <f>'Returns per Gal.'!G61</f>
        <v>4.84</v>
      </c>
      <c r="I61" s="126"/>
      <c r="J61" s="93"/>
      <c r="K61" s="93">
        <f>D61*'Economic Model'!C$30</f>
        <v>4.4460000000000006</v>
      </c>
      <c r="L61" s="93">
        <f>E61/2000*('Economic Model'!C$32+0.5)</f>
        <v>1.087620625</v>
      </c>
      <c r="M61" s="319"/>
      <c r="N61" s="93">
        <f t="shared" si="9"/>
        <v>5.5336206250000011</v>
      </c>
      <c r="O61" s="93">
        <f t="shared" si="10"/>
        <v>3.9352094904545467</v>
      </c>
      <c r="P61" s="105"/>
      <c r="Q61" s="94"/>
      <c r="R61" s="93">
        <f>G61+(H61*'Economic Model'!C$30*'Economic Model'!C$34/1000)+('Economic Model'!K$63/100)</f>
        <v>5.0187349999999995</v>
      </c>
      <c r="S61" s="93">
        <f>R61+('Economic Model'!K$60/100)</f>
        <v>5.5780361345454539</v>
      </c>
      <c r="T61" s="121"/>
      <c r="U61" s="94"/>
      <c r="V61" s="93">
        <f t="shared" si="11"/>
        <v>0.51488562500000157</v>
      </c>
      <c r="W61" s="93">
        <f t="shared" si="12"/>
        <v>-4.4415509545452814E-2</v>
      </c>
      <c r="X61" s="105"/>
      <c r="Y61" s="120"/>
      <c r="Z61" s="147">
        <f>W61/('Economic Model'!H$14*(1-'Economic Model'!C$25/100))</f>
        <v>-1.3525105875754739E-2</v>
      </c>
      <c r="AA61" s="127"/>
      <c r="AB61" s="120"/>
      <c r="AC61" s="125"/>
      <c r="AD61" s="262">
        <v>1.0292397660818713</v>
      </c>
      <c r="AE61" s="93">
        <f t="shared" si="13"/>
        <v>2.3561988304093564</v>
      </c>
      <c r="AF61" s="17">
        <v>3.3854385964912277</v>
      </c>
      <c r="AG61" s="120"/>
      <c r="AH61" s="93">
        <f>AF61+(H61*'Economic Model'!C$30*'Economic Model'!C$34/1000)+('Economic Model'!K$63/100)</f>
        <v>4.4245485964912277</v>
      </c>
      <c r="AI61" s="93">
        <f>AH61+('Economic Model'!K$60/100)</f>
        <v>4.9838497310366821</v>
      </c>
      <c r="AJ61" s="120"/>
      <c r="AK61" s="91">
        <f t="shared" si="14"/>
        <v>1.1090720285087734</v>
      </c>
      <c r="AL61" s="91">
        <f t="shared" si="15"/>
        <v>0.54977089396331902</v>
      </c>
      <c r="AM61" s="91">
        <f t="shared" si="16"/>
        <v>-4.4415509545452814E-2</v>
      </c>
      <c r="AN61" s="91">
        <f t="shared" si="17"/>
        <v>0.59418640350877183</v>
      </c>
      <c r="AO61" s="127"/>
      <c r="AP61" s="120"/>
      <c r="AR61" s="186"/>
      <c r="AS61" s="15"/>
      <c r="AW61" s="273"/>
    </row>
    <row r="62" spans="1:49" hidden="1" x14ac:dyDescent="0.2">
      <c r="A62" s="8">
        <v>39965</v>
      </c>
      <c r="C62" s="53"/>
      <c r="D62" s="118">
        <f>'Returns per Gal.'!C62</f>
        <v>1.6725000000000001</v>
      </c>
      <c r="E62" s="119">
        <f>'Returns per Gal.'!D62</f>
        <v>137.32954545454547</v>
      </c>
      <c r="F62" s="119"/>
      <c r="G62" s="118">
        <f>'Returns per Gal.'!F62</f>
        <v>3.9137499999999998</v>
      </c>
      <c r="H62" s="118">
        <f>'Returns per Gal.'!G62</f>
        <v>4.57</v>
      </c>
      <c r="I62" s="126"/>
      <c r="J62" s="93"/>
      <c r="K62" s="93">
        <f>D62*'Economic Model'!C$30</f>
        <v>4.7666250000000003</v>
      </c>
      <c r="L62" s="93">
        <f>E62/2000*('Economic Model'!C$32+0.5)</f>
        <v>1.1604346590909089</v>
      </c>
      <c r="M62" s="319"/>
      <c r="N62" s="93">
        <f t="shared" si="9"/>
        <v>5.9270596590909097</v>
      </c>
      <c r="O62" s="93">
        <f t="shared" si="10"/>
        <v>4.3517335245454554</v>
      </c>
      <c r="P62" s="105"/>
      <c r="Q62" s="94"/>
      <c r="R62" s="93">
        <f>G62+(H62*'Economic Model'!C$30*'Economic Model'!C$34/1000)+('Economic Model'!K$63/100)</f>
        <v>4.9297749999999994</v>
      </c>
      <c r="S62" s="93">
        <f>R62+('Economic Model'!K$60/100)</f>
        <v>5.4890761345454537</v>
      </c>
      <c r="T62" s="121"/>
      <c r="U62" s="94"/>
      <c r="V62" s="93">
        <f t="shared" si="11"/>
        <v>0.99728465909091035</v>
      </c>
      <c r="W62" s="93">
        <f t="shared" si="12"/>
        <v>0.43798352454545597</v>
      </c>
      <c r="X62" s="105"/>
      <c r="Y62" s="120"/>
      <c r="Z62" s="147">
        <f>W62/('Economic Model'!H$14*(1-'Economic Model'!C$25/100))</f>
        <v>0.13337173437696118</v>
      </c>
      <c r="AA62" s="127"/>
      <c r="AB62" s="120"/>
      <c r="AC62" s="125"/>
      <c r="AD62" s="262">
        <v>1.0292397660818713</v>
      </c>
      <c r="AE62" s="93">
        <f t="shared" si="13"/>
        <v>2.3561988304093564</v>
      </c>
      <c r="AF62" s="17">
        <v>3.3854385964912277</v>
      </c>
      <c r="AG62" s="120"/>
      <c r="AH62" s="93">
        <f>AF62+(H62*'Economic Model'!C$30*'Economic Model'!C$34/1000)+('Economic Model'!K$63/100)</f>
        <v>4.4014635964912276</v>
      </c>
      <c r="AI62" s="93">
        <f>AH62+('Economic Model'!K$60/100)</f>
        <v>4.960764731036682</v>
      </c>
      <c r="AJ62" s="120"/>
      <c r="AK62" s="91">
        <f t="shared" si="14"/>
        <v>1.5255960625996821</v>
      </c>
      <c r="AL62" s="91">
        <f t="shared" si="15"/>
        <v>0.96629492805422768</v>
      </c>
      <c r="AM62" s="91">
        <f t="shared" si="16"/>
        <v>0.43798352454545553</v>
      </c>
      <c r="AN62" s="91">
        <f t="shared" si="17"/>
        <v>0.52831140350877215</v>
      </c>
      <c r="AO62" s="127"/>
      <c r="AP62" s="120"/>
      <c r="AR62" s="186"/>
      <c r="AS62" s="15"/>
      <c r="AW62" s="273"/>
    </row>
    <row r="63" spans="1:49" hidden="1" x14ac:dyDescent="0.2">
      <c r="A63" s="8">
        <v>39995</v>
      </c>
      <c r="C63" s="53"/>
      <c r="D63" s="118">
        <f>'Returns per Gal.'!C63</f>
        <v>1.5884782608695653</v>
      </c>
      <c r="E63" s="119">
        <f>'Returns per Gal.'!D63</f>
        <v>90.806818181818187</v>
      </c>
      <c r="F63" s="119"/>
      <c r="G63" s="118">
        <f>'Returns per Gal.'!F63</f>
        <v>3.0752272727272749</v>
      </c>
      <c r="H63" s="118">
        <f>'Returns per Gal.'!G63</f>
        <v>4.55</v>
      </c>
      <c r="I63" s="126"/>
      <c r="J63" s="93"/>
      <c r="K63" s="93">
        <f>D63*'Economic Model'!C$30</f>
        <v>4.5271630434782617</v>
      </c>
      <c r="L63" s="93">
        <f>E63/2000*('Economic Model'!C$32+0.5)</f>
        <v>0.76731761363636353</v>
      </c>
      <c r="M63" s="319"/>
      <c r="N63" s="93">
        <f t="shared" si="9"/>
        <v>5.294480657114625</v>
      </c>
      <c r="O63" s="93">
        <f t="shared" si="10"/>
        <v>3.7208645225691712</v>
      </c>
      <c r="P63" s="105"/>
      <c r="Q63" s="94"/>
      <c r="R63" s="93">
        <f>G63+(H63*'Economic Model'!C$30*'Economic Model'!C$34/1000)+('Economic Model'!K$63/100)</f>
        <v>4.0895422727272743</v>
      </c>
      <c r="S63" s="93">
        <f>R63+('Economic Model'!K$60/100)</f>
        <v>4.6488434072727287</v>
      </c>
      <c r="T63" s="121"/>
      <c r="U63" s="94"/>
      <c r="V63" s="93">
        <f t="shared" si="11"/>
        <v>1.2049383843873507</v>
      </c>
      <c r="W63" s="93">
        <f t="shared" si="12"/>
        <v>0.6456372498418963</v>
      </c>
      <c r="X63" s="105"/>
      <c r="Y63" s="120"/>
      <c r="Z63" s="147">
        <f>W63/('Economic Model'!H$14*(1-'Economic Model'!C$25/100))</f>
        <v>0.1966050204266262</v>
      </c>
      <c r="AA63" s="127"/>
      <c r="AB63" s="120"/>
      <c r="AC63" s="125"/>
      <c r="AD63" s="262">
        <v>1.0292397660818713</v>
      </c>
      <c r="AE63" s="93">
        <f t="shared" si="13"/>
        <v>2.3561988304093564</v>
      </c>
      <c r="AF63" s="17">
        <v>3.3854385964912277</v>
      </c>
      <c r="AG63" s="120"/>
      <c r="AH63" s="93">
        <f>AF63+(H63*'Economic Model'!C$30*'Economic Model'!C$34/1000)+('Economic Model'!K$63/100)</f>
        <v>4.3997535964912275</v>
      </c>
      <c r="AI63" s="93">
        <f>AH63+('Economic Model'!K$60/100)</f>
        <v>4.9590547310366819</v>
      </c>
      <c r="AJ63" s="120"/>
      <c r="AK63" s="91">
        <f t="shared" si="14"/>
        <v>0.89472706062339746</v>
      </c>
      <c r="AL63" s="91">
        <f t="shared" si="15"/>
        <v>0.33542592607794308</v>
      </c>
      <c r="AM63" s="91">
        <f t="shared" si="16"/>
        <v>0.6456372498418963</v>
      </c>
      <c r="AN63" s="91">
        <f t="shared" si="17"/>
        <v>-0.31021132376395277</v>
      </c>
      <c r="AO63" s="127"/>
      <c r="AP63" s="120"/>
      <c r="AR63" s="186"/>
      <c r="AS63" s="15"/>
      <c r="AW63" s="273"/>
    </row>
    <row r="64" spans="1:49" hidden="1" x14ac:dyDescent="0.2">
      <c r="A64" s="8">
        <v>40026</v>
      </c>
      <c r="C64" s="53"/>
      <c r="D64" s="118">
        <f>'Returns per Gal.'!C64</f>
        <v>1.5345238095238098</v>
      </c>
      <c r="E64" s="119">
        <f>'Returns per Gal.'!D64</f>
        <v>78.75</v>
      </c>
      <c r="F64" s="119"/>
      <c r="G64" s="118">
        <f>'Returns per Gal.'!F64</f>
        <v>3.1445238095238102</v>
      </c>
      <c r="H64" s="118">
        <f>'Returns per Gal.'!G64</f>
        <v>4.7300000000000004</v>
      </c>
      <c r="I64" s="126"/>
      <c r="J64" s="93"/>
      <c r="K64" s="93">
        <f>D64*'Economic Model'!C$30</f>
        <v>4.373392857142858</v>
      </c>
      <c r="L64" s="93">
        <f>E64/2000*('Economic Model'!C$32+0.5)</f>
        <v>0.6654374999999999</v>
      </c>
      <c r="M64" s="319"/>
      <c r="N64" s="93">
        <f t="shared" si="9"/>
        <v>5.0388303571428583</v>
      </c>
      <c r="O64" s="93">
        <f t="shared" si="10"/>
        <v>3.4498242225974041</v>
      </c>
      <c r="P64" s="105"/>
      <c r="Q64" s="94"/>
      <c r="R64" s="93">
        <f>G64+(H64*'Economic Model'!C$30*'Economic Model'!C$34/1000)+('Economic Model'!K$63/100)</f>
        <v>4.17422880952381</v>
      </c>
      <c r="S64" s="93">
        <f>R64+('Economic Model'!K$60/100)</f>
        <v>4.7335299440692644</v>
      </c>
      <c r="T64" s="121"/>
      <c r="U64" s="94"/>
      <c r="V64" s="93">
        <f t="shared" si="11"/>
        <v>0.86460154761904828</v>
      </c>
      <c r="W64" s="93">
        <f t="shared" si="12"/>
        <v>0.3053004130735939</v>
      </c>
      <c r="X64" s="105"/>
      <c r="Y64" s="120"/>
      <c r="Z64" s="147">
        <f>W64/('Economic Model'!H$14*(1-'Economic Model'!C$25/100))</f>
        <v>9.296798467450558E-2</v>
      </c>
      <c r="AA64" s="127"/>
      <c r="AB64" s="120"/>
      <c r="AC64" s="125"/>
      <c r="AD64" s="262">
        <v>1.0292397660818713</v>
      </c>
      <c r="AE64" s="93">
        <f t="shared" si="13"/>
        <v>2.3561988304093564</v>
      </c>
      <c r="AF64" s="17">
        <v>3.3854385964912277</v>
      </c>
      <c r="AG64" s="120"/>
      <c r="AH64" s="93">
        <f>AF64+(H64*'Economic Model'!C$30*'Economic Model'!C$34/1000)+('Economic Model'!K$63/100)</f>
        <v>4.4151435964912276</v>
      </c>
      <c r="AI64" s="93">
        <f>AH64+('Economic Model'!K$60/100)</f>
        <v>4.9744447310366819</v>
      </c>
      <c r="AJ64" s="120"/>
      <c r="AK64" s="91">
        <f t="shared" si="14"/>
        <v>0.62368676065163076</v>
      </c>
      <c r="AL64" s="91">
        <f t="shared" si="15"/>
        <v>6.4385626106176375E-2</v>
      </c>
      <c r="AM64" s="91">
        <f t="shared" si="16"/>
        <v>0.3053004130735939</v>
      </c>
      <c r="AN64" s="91">
        <f t="shared" si="17"/>
        <v>-0.24091478696741753</v>
      </c>
      <c r="AO64" s="127"/>
      <c r="AP64" s="120"/>
      <c r="AR64" s="186"/>
      <c r="AS64" s="15"/>
      <c r="AW64" s="273"/>
    </row>
    <row r="65" spans="1:49" hidden="1" x14ac:dyDescent="0.2">
      <c r="A65" s="8">
        <v>40057</v>
      </c>
      <c r="C65" s="53"/>
      <c r="D65" s="118">
        <f>'Returns per Gal.'!C65</f>
        <v>1.5390909090909093</v>
      </c>
      <c r="E65" s="119">
        <f>'Returns per Gal.'!D65</f>
        <v>80.892857142857139</v>
      </c>
      <c r="F65" s="119"/>
      <c r="G65" s="118">
        <f>'Returns per Gal.'!F65</f>
        <v>3.1452380952380952</v>
      </c>
      <c r="H65" s="118">
        <f>'Returns per Gal.'!G65</f>
        <v>4.68</v>
      </c>
      <c r="I65" s="126"/>
      <c r="J65" s="93"/>
      <c r="K65" s="93">
        <f>D65*'Economic Model'!C$30</f>
        <v>4.3864090909090914</v>
      </c>
      <c r="L65" s="93">
        <f>E65/2000*('Economic Model'!C$32+0.5)</f>
        <v>0.68354464285714278</v>
      </c>
      <c r="M65" s="319"/>
      <c r="N65" s="93">
        <f t="shared" si="9"/>
        <v>5.0699537337662344</v>
      </c>
      <c r="O65" s="93">
        <f t="shared" si="10"/>
        <v>3.4852225992207804</v>
      </c>
      <c r="P65" s="105"/>
      <c r="Q65" s="94"/>
      <c r="R65" s="93">
        <f>G65+(H65*'Economic Model'!C$30*'Economic Model'!C$34/1000)+('Economic Model'!K$63/100)</f>
        <v>4.1706680952380948</v>
      </c>
      <c r="S65" s="93">
        <f>R65+('Economic Model'!K$60/100)</f>
        <v>4.7299692297835492</v>
      </c>
      <c r="T65" s="121"/>
      <c r="U65" s="94"/>
      <c r="V65" s="93">
        <f t="shared" si="11"/>
        <v>0.89928563852813959</v>
      </c>
      <c r="W65" s="93">
        <f t="shared" si="12"/>
        <v>0.3399845039826852</v>
      </c>
      <c r="X65" s="105"/>
      <c r="Y65" s="120"/>
      <c r="Z65" s="147">
        <f>W65/('Economic Model'!H$14*(1-'Economic Model'!C$25/100))</f>
        <v>0.10352974579242545</v>
      </c>
      <c r="AA65" s="127"/>
      <c r="AB65" s="120"/>
      <c r="AC65" s="125"/>
      <c r="AD65" s="262">
        <v>1.0054945054945055</v>
      </c>
      <c r="AE65" s="93">
        <f t="shared" si="13"/>
        <v>2.9672115384615387</v>
      </c>
      <c r="AF65" s="17">
        <v>3.9727060439560442</v>
      </c>
      <c r="AG65" s="120"/>
      <c r="AH65" s="93">
        <f>AF65+(H65*'Economic Model'!C$30*'Economic Model'!C$34/1000)+('Economic Model'!K$63/100)</f>
        <v>4.9981360439560438</v>
      </c>
      <c r="AI65" s="93">
        <f>AH65+('Economic Model'!K$60/100)</f>
        <v>5.5574371785014982</v>
      </c>
      <c r="AJ65" s="120"/>
      <c r="AK65" s="91">
        <f t="shared" si="14"/>
        <v>7.1817689810190544E-2</v>
      </c>
      <c r="AL65" s="91">
        <f t="shared" si="15"/>
        <v>-0.48748344473526384</v>
      </c>
      <c r="AM65" s="91">
        <f t="shared" si="16"/>
        <v>0.3399845039826852</v>
      </c>
      <c r="AN65" s="91">
        <f t="shared" si="17"/>
        <v>-0.82746794871794904</v>
      </c>
      <c r="AO65" s="127"/>
      <c r="AP65" s="120"/>
      <c r="AR65" s="186"/>
      <c r="AS65" s="15"/>
      <c r="AW65" s="273"/>
    </row>
    <row r="66" spans="1:49" hidden="1" x14ac:dyDescent="0.2">
      <c r="A66" s="8">
        <v>40087</v>
      </c>
      <c r="C66" s="53"/>
      <c r="D66" s="118">
        <f>'Returns per Gal.'!C66</f>
        <v>1.7979545454545454</v>
      </c>
      <c r="E66" s="119">
        <f>'Returns per Gal.'!D66</f>
        <v>104.98863636363636</v>
      </c>
      <c r="F66" s="119"/>
      <c r="G66" s="118">
        <f>'Returns per Gal.'!F66</f>
        <v>3.6098863636363645</v>
      </c>
      <c r="H66" s="118">
        <f>'Returns per Gal.'!G66</f>
        <v>4.84</v>
      </c>
      <c r="I66" s="126"/>
      <c r="J66" s="93"/>
      <c r="K66" s="93">
        <f>D66*'Economic Model'!C$30</f>
        <v>5.1241704545454541</v>
      </c>
      <c r="L66" s="93">
        <f>E66/2000*('Economic Model'!C$32+0.5)</f>
        <v>0.88715397727272716</v>
      </c>
      <c r="M66" s="319"/>
      <c r="N66" s="93">
        <f t="shared" si="9"/>
        <v>6.0113244318181813</v>
      </c>
      <c r="O66" s="93">
        <f t="shared" si="10"/>
        <v>4.412913297272727</v>
      </c>
      <c r="P66" s="105"/>
      <c r="Q66" s="94"/>
      <c r="R66" s="93">
        <f>G66+(H66*'Economic Model'!C$30*'Economic Model'!C$34/1000)+('Economic Model'!K$63/100)</f>
        <v>4.648996363636364</v>
      </c>
      <c r="S66" s="93">
        <f>R66+('Economic Model'!K$60/100)</f>
        <v>5.2082974981818184</v>
      </c>
      <c r="T66" s="121"/>
      <c r="U66" s="94"/>
      <c r="V66" s="93">
        <f t="shared" si="11"/>
        <v>1.3623280681818173</v>
      </c>
      <c r="W66" s="93">
        <f t="shared" si="12"/>
        <v>0.80302693363636291</v>
      </c>
      <c r="X66" s="105"/>
      <c r="Y66" s="120"/>
      <c r="Z66" s="147">
        <f>W66/('Economic Model'!H$14*(1-'Economic Model'!C$25/100))</f>
        <v>0.24453224582282015</v>
      </c>
      <c r="AA66" s="127"/>
      <c r="AB66" s="120"/>
      <c r="AC66" s="125"/>
      <c r="AD66" s="262">
        <v>1.0054945054945055</v>
      </c>
      <c r="AE66" s="93">
        <f t="shared" si="13"/>
        <v>2.9672115384615387</v>
      </c>
      <c r="AF66" s="17">
        <v>3.9727060439560442</v>
      </c>
      <c r="AG66" s="120"/>
      <c r="AH66" s="93">
        <f>AF66+(H66*'Economic Model'!C$30*'Economic Model'!C$34/1000)+('Economic Model'!K$63/100)</f>
        <v>5.0118160439560437</v>
      </c>
      <c r="AI66" s="93">
        <f>AH66+('Economic Model'!K$60/100)</f>
        <v>5.5711171785014981</v>
      </c>
      <c r="AJ66" s="120"/>
      <c r="AK66" s="91">
        <f t="shared" si="14"/>
        <v>0.99950838786213758</v>
      </c>
      <c r="AL66" s="91">
        <f t="shared" si="15"/>
        <v>0.4402072533166832</v>
      </c>
      <c r="AM66" s="91">
        <f t="shared" si="16"/>
        <v>0.80302693363636246</v>
      </c>
      <c r="AN66" s="91">
        <f t="shared" si="17"/>
        <v>-0.3628196803196797</v>
      </c>
      <c r="AO66" s="127"/>
      <c r="AP66" s="120"/>
      <c r="AR66" s="186"/>
      <c r="AS66" s="15"/>
      <c r="AW66" s="273"/>
    </row>
    <row r="67" spans="1:49" hidden="1" x14ac:dyDescent="0.2">
      <c r="A67" s="8">
        <v>40118</v>
      </c>
      <c r="C67" s="53"/>
      <c r="D67" s="118">
        <f>'Returns per Gal.'!C67</f>
        <v>1.9832500000000011</v>
      </c>
      <c r="E67" s="119">
        <f>'Returns per Gal.'!D67</f>
        <v>117.15</v>
      </c>
      <c r="F67" s="119"/>
      <c r="G67" s="118">
        <f>'Returns per Gal.'!F67</f>
        <v>3.6488749999999994</v>
      </c>
      <c r="H67" s="118">
        <f>'Returns per Gal.'!G67</f>
        <v>6.16</v>
      </c>
      <c r="I67" s="126"/>
      <c r="J67" s="93"/>
      <c r="K67" s="93">
        <f>D67*'Economic Model'!C$30</f>
        <v>5.6522625000000035</v>
      </c>
      <c r="L67" s="93">
        <f>E67/2000*('Economic Model'!C$32+0.5)</f>
        <v>0.98991750000000001</v>
      </c>
      <c r="M67" s="319"/>
      <c r="N67" s="93">
        <f t="shared" si="9"/>
        <v>6.6421800000000033</v>
      </c>
      <c r="O67" s="93">
        <f t="shared" si="10"/>
        <v>4.9309088654545494</v>
      </c>
      <c r="P67" s="105"/>
      <c r="Q67" s="94"/>
      <c r="R67" s="93">
        <f>G67+(H67*'Economic Model'!C$30*'Economic Model'!C$34/1000)+('Economic Model'!K$63/100)</f>
        <v>4.8008449999999989</v>
      </c>
      <c r="S67" s="93">
        <f>R67+('Economic Model'!K$60/100)</f>
        <v>5.3601461345454533</v>
      </c>
      <c r="T67" s="121"/>
      <c r="U67" s="94"/>
      <c r="V67" s="93">
        <f t="shared" si="11"/>
        <v>1.8413350000000044</v>
      </c>
      <c r="W67" s="93">
        <f t="shared" si="12"/>
        <v>1.28203386545455</v>
      </c>
      <c r="X67" s="105"/>
      <c r="Y67" s="120"/>
      <c r="Z67" s="147">
        <f>W67/('Economic Model'!H$14*(1-'Economic Model'!C$25/100))</f>
        <v>0.39039614639186543</v>
      </c>
      <c r="AA67" s="127"/>
      <c r="AB67" s="120"/>
      <c r="AC67" s="125"/>
      <c r="AD67" s="262">
        <v>1.0054945054945055</v>
      </c>
      <c r="AE67" s="93">
        <f t="shared" si="13"/>
        <v>2.9672115384615387</v>
      </c>
      <c r="AF67" s="17">
        <v>3.9727060439560442</v>
      </c>
      <c r="AG67" s="120"/>
      <c r="AH67" s="93">
        <f>AF67+(H67*'Economic Model'!C$30*'Economic Model'!C$34/1000)+('Economic Model'!K$63/100)</f>
        <v>5.1246760439560441</v>
      </c>
      <c r="AI67" s="93">
        <f>AH67+('Economic Model'!K$60/100)</f>
        <v>5.6839771785014985</v>
      </c>
      <c r="AJ67" s="120"/>
      <c r="AK67" s="91">
        <f t="shared" si="14"/>
        <v>1.5175039560439592</v>
      </c>
      <c r="AL67" s="91">
        <f t="shared" si="15"/>
        <v>0.95820282149850478</v>
      </c>
      <c r="AM67" s="91">
        <f t="shared" si="16"/>
        <v>1.28203386545455</v>
      </c>
      <c r="AN67" s="91">
        <f t="shared" si="17"/>
        <v>-0.32383104395604478</v>
      </c>
      <c r="AO67" s="127"/>
      <c r="AP67" s="120"/>
      <c r="AR67" s="186"/>
      <c r="AS67" s="15"/>
      <c r="AW67" s="273"/>
    </row>
    <row r="68" spans="1:49" hidden="1" x14ac:dyDescent="0.2">
      <c r="A68" s="68">
        <v>40148</v>
      </c>
      <c r="B68" s="29"/>
      <c r="C68" s="56"/>
      <c r="D68" s="128">
        <f>'Returns per Gal.'!C68</f>
        <v>1.9576086956521745</v>
      </c>
      <c r="E68" s="129">
        <f>'Returns per Gal.'!D68</f>
        <v>111.77272727272727</v>
      </c>
      <c r="F68" s="129"/>
      <c r="G68" s="128">
        <f>'Returns per Gal.'!F68</f>
        <v>3.6548863636363644</v>
      </c>
      <c r="H68" s="128">
        <f>'Returns per Gal.'!G68</f>
        <v>6.79</v>
      </c>
      <c r="I68" s="135"/>
      <c r="J68" s="97"/>
      <c r="K68" s="97">
        <f>D68*'Economic Model'!C$30</f>
        <v>5.5791847826086975</v>
      </c>
      <c r="L68" s="97">
        <f>E68/2000*('Economic Model'!C$32+0.5)</f>
        <v>0.94447954545454527</v>
      </c>
      <c r="M68" s="320"/>
      <c r="N68" s="97">
        <f t="shared" si="9"/>
        <v>6.5236643280632425</v>
      </c>
      <c r="O68" s="97">
        <f t="shared" si="10"/>
        <v>4.7585281935177886</v>
      </c>
      <c r="P68" s="107"/>
      <c r="Q68" s="98"/>
      <c r="R68" s="97">
        <f>G68+(H68*'Economic Model'!C$30*'Economic Model'!C$34/1000)+('Economic Model'!K$63/100)</f>
        <v>4.8607213636363644</v>
      </c>
      <c r="S68" s="97">
        <f>R68+('Economic Model'!K$60/100)</f>
        <v>5.4200224981818188</v>
      </c>
      <c r="T68" s="131"/>
      <c r="U68" s="98"/>
      <c r="V68" s="97">
        <f t="shared" si="11"/>
        <v>1.6629429644268781</v>
      </c>
      <c r="W68" s="97">
        <f t="shared" si="12"/>
        <v>1.1036418298814237</v>
      </c>
      <c r="X68" s="107"/>
      <c r="Y68" s="130"/>
      <c r="Z68" s="148">
        <f>W68/('Economic Model'!H$14*(1-'Economic Model'!C$25/100))</f>
        <v>0.33607342909760995</v>
      </c>
      <c r="AA68" s="136"/>
      <c r="AB68" s="120"/>
      <c r="AC68" s="134"/>
      <c r="AD68" s="263">
        <v>1.0054945054945055</v>
      </c>
      <c r="AE68" s="97">
        <f t="shared" si="13"/>
        <v>2.9672115384615387</v>
      </c>
      <c r="AF68" s="65">
        <v>3.9727060439560442</v>
      </c>
      <c r="AG68" s="130"/>
      <c r="AH68" s="97">
        <f>AF68+(H68*'Economic Model'!C$30*'Economic Model'!C$34/1000)+('Economic Model'!K$63/100)</f>
        <v>5.1785410439560442</v>
      </c>
      <c r="AI68" s="97">
        <f>AH68+('Economic Model'!K$60/100)</f>
        <v>5.7378421785014986</v>
      </c>
      <c r="AJ68" s="130"/>
      <c r="AK68" s="92">
        <f t="shared" si="14"/>
        <v>1.3451232841071983</v>
      </c>
      <c r="AL68" s="92">
        <f t="shared" si="15"/>
        <v>0.7858221495617439</v>
      </c>
      <c r="AM68" s="92">
        <f t="shared" si="16"/>
        <v>1.1036418298814241</v>
      </c>
      <c r="AN68" s="92">
        <f t="shared" si="17"/>
        <v>-0.31781968031967978</v>
      </c>
      <c r="AO68" s="136"/>
      <c r="AP68" s="120"/>
      <c r="AR68" s="186"/>
      <c r="AS68" s="15"/>
      <c r="AW68" s="273"/>
    </row>
    <row r="69" spans="1:49" hidden="1" x14ac:dyDescent="0.2">
      <c r="A69" s="21">
        <v>40179</v>
      </c>
      <c r="C69" s="53"/>
      <c r="D69" s="141">
        <f>'Returns per Gal.'!C69</f>
        <v>1.8157500000000006</v>
      </c>
      <c r="E69" s="142">
        <f>'Returns per Gal.'!D69</f>
        <v>101.8125</v>
      </c>
      <c r="F69" s="142"/>
      <c r="G69" s="141">
        <f>'Returns per Gal.'!F69</f>
        <v>3.6025</v>
      </c>
      <c r="H69" s="141">
        <f>'Returns per Gal.'!G69</f>
        <v>6.61</v>
      </c>
      <c r="I69" s="143"/>
      <c r="J69" s="101"/>
      <c r="K69" s="101">
        <f>D69*'Economic Model'!C$30</f>
        <v>5.1748875000000023</v>
      </c>
      <c r="L69" s="101">
        <f>E69/2000*('Economic Model'!C$32+0.5)</f>
        <v>0.86031562499999992</v>
      </c>
      <c r="M69" s="321"/>
      <c r="N69" s="101">
        <f t="shared" si="9"/>
        <v>6.0352031250000024</v>
      </c>
      <c r="O69" s="101">
        <f t="shared" si="10"/>
        <v>4.2854569904545485</v>
      </c>
      <c r="P69" s="116"/>
      <c r="Q69" s="102"/>
      <c r="R69" s="101">
        <f>G69+(H69*'Economic Model'!C$30*'Economic Model'!C$34/1000)+('Economic Model'!K$63/100)</f>
        <v>4.7929449999999996</v>
      </c>
      <c r="S69" s="101">
        <f>R69+('Economic Model'!K$60/100)</f>
        <v>5.3522461345454539</v>
      </c>
      <c r="T69" s="144"/>
      <c r="U69" s="102"/>
      <c r="V69" s="101">
        <f t="shared" si="11"/>
        <v>1.2422581250000029</v>
      </c>
      <c r="W69" s="101">
        <f t="shared" si="12"/>
        <v>0.6829569904545485</v>
      </c>
      <c r="X69" s="116"/>
      <c r="Y69" s="145"/>
      <c r="Z69" s="149">
        <f>W69/('Economic Model'!H$14*(1-'Economic Model'!C$25/100))</f>
        <v>0.20796937148794373</v>
      </c>
      <c r="AA69" s="127"/>
      <c r="AB69" s="120"/>
      <c r="AC69" s="125"/>
      <c r="AD69" s="262">
        <v>1.0054945054945055</v>
      </c>
      <c r="AE69" s="93">
        <f t="shared" si="13"/>
        <v>2.9672115384615387</v>
      </c>
      <c r="AF69" s="17">
        <v>3.9727060439560442</v>
      </c>
      <c r="AG69" s="120"/>
      <c r="AH69" s="93">
        <f>AF69+(H69*'Economic Model'!C$30*'Economic Model'!C$34/1000)+('Economic Model'!K$63/100)</f>
        <v>5.1631510439560442</v>
      </c>
      <c r="AI69" s="93">
        <f>AH69+('Economic Model'!K$60/100)</f>
        <v>5.7224521785014986</v>
      </c>
      <c r="AJ69" s="120"/>
      <c r="AK69" s="91">
        <f t="shared" si="14"/>
        <v>0.87205208104395826</v>
      </c>
      <c r="AL69" s="91">
        <f t="shared" si="15"/>
        <v>0.31275094649850388</v>
      </c>
      <c r="AM69" s="91">
        <f t="shared" si="16"/>
        <v>0.6829569904545485</v>
      </c>
      <c r="AN69" s="91">
        <f t="shared" si="17"/>
        <v>-0.37020604395604417</v>
      </c>
      <c r="AO69" s="127"/>
      <c r="AP69" s="120"/>
      <c r="AR69" s="186"/>
      <c r="AS69" s="15"/>
      <c r="AW69" s="273"/>
    </row>
    <row r="70" spans="1:49" hidden="1" x14ac:dyDescent="0.2">
      <c r="A70" s="8">
        <v>40210</v>
      </c>
      <c r="C70" s="53"/>
      <c r="D70" s="118">
        <f>'Returns per Gal.'!C70</f>
        <v>1.68625</v>
      </c>
      <c r="E70" s="119">
        <f>'Returns per Gal.'!D70</f>
        <v>102.7</v>
      </c>
      <c r="F70" s="119"/>
      <c r="G70" s="118">
        <f>'Returns per Gal.'!F70</f>
        <v>3.4537499999999999</v>
      </c>
      <c r="H70" s="118">
        <f>'Returns per Gal.'!G70</f>
        <v>7.08</v>
      </c>
      <c r="I70" s="126"/>
      <c r="J70" s="93"/>
      <c r="K70" s="93">
        <f>D70*'Economic Model'!C$30</f>
        <v>4.8058125</v>
      </c>
      <c r="L70" s="93">
        <f>E70/2000*('Economic Model'!C$32+0.5)</f>
        <v>0.86781499999999989</v>
      </c>
      <c r="M70" s="319"/>
      <c r="N70" s="93">
        <f t="shared" si="9"/>
        <v>5.6736275000000003</v>
      </c>
      <c r="O70" s="93">
        <f t="shared" si="10"/>
        <v>3.8836963654545467</v>
      </c>
      <c r="P70" s="105"/>
      <c r="Q70" s="94"/>
      <c r="R70" s="93">
        <f>G70+(H70*'Economic Model'!C$30*'Economic Model'!C$34/1000)+('Economic Model'!K$63/100)</f>
        <v>4.6843799999999991</v>
      </c>
      <c r="S70" s="93">
        <f>R70+('Economic Model'!K$60/100)</f>
        <v>5.2436811345454535</v>
      </c>
      <c r="T70" s="121"/>
      <c r="U70" s="94"/>
      <c r="V70" s="93">
        <f t="shared" si="11"/>
        <v>0.98924750000000117</v>
      </c>
      <c r="W70" s="93">
        <f t="shared" si="12"/>
        <v>0.42994636545454679</v>
      </c>
      <c r="X70" s="105"/>
      <c r="Y70" s="120"/>
      <c r="Z70" s="147">
        <f>W70/('Economic Model'!H$14*(1-'Economic Model'!C$25/100))</f>
        <v>0.13092431389800463</v>
      </c>
      <c r="AA70" s="127"/>
      <c r="AB70" s="120"/>
      <c r="AC70" s="125"/>
      <c r="AD70" s="262">
        <v>1.0054945054945055</v>
      </c>
      <c r="AE70" s="93">
        <f t="shared" si="13"/>
        <v>2.9672115384615387</v>
      </c>
      <c r="AF70" s="17">
        <v>3.9727060439560442</v>
      </c>
      <c r="AG70" s="120"/>
      <c r="AH70" s="93">
        <f>AF70+(H70*'Economic Model'!C$30*'Economic Model'!C$34/1000)+('Economic Model'!K$63/100)</f>
        <v>5.2033360439560443</v>
      </c>
      <c r="AI70" s="93">
        <f>AH70+('Economic Model'!K$60/100)</f>
        <v>5.7626371785014987</v>
      </c>
      <c r="AJ70" s="120"/>
      <c r="AK70" s="91">
        <f t="shared" si="14"/>
        <v>0.47029145604395595</v>
      </c>
      <c r="AL70" s="91">
        <f t="shared" si="15"/>
        <v>-8.9009678501498435E-2</v>
      </c>
      <c r="AM70" s="91">
        <f t="shared" si="16"/>
        <v>0.42994636545454679</v>
      </c>
      <c r="AN70" s="91">
        <f t="shared" si="17"/>
        <v>-0.51895604395604433</v>
      </c>
      <c r="AO70" s="127"/>
      <c r="AP70" s="120"/>
      <c r="AR70" s="186"/>
      <c r="AS70" s="15"/>
      <c r="AW70" s="273"/>
    </row>
    <row r="71" spans="1:49" hidden="1" x14ac:dyDescent="0.2">
      <c r="A71" s="8">
        <v>40238</v>
      </c>
      <c r="C71" s="53"/>
      <c r="D71" s="118">
        <f>'Returns per Gal.'!C71</f>
        <v>1.5149999999999999</v>
      </c>
      <c r="E71" s="119">
        <f>'Returns per Gal.'!D71</f>
        <v>94.054347826086953</v>
      </c>
      <c r="F71" s="119"/>
      <c r="G71" s="118">
        <f>'Returns per Gal.'!F71</f>
        <v>3.4829076086956521</v>
      </c>
      <c r="H71" s="118">
        <f>'Returns per Gal.'!G71</f>
        <v>7.06</v>
      </c>
      <c r="I71" s="126"/>
      <c r="J71" s="93"/>
      <c r="K71" s="93">
        <f>D71*'Economic Model'!C$30</f>
        <v>4.3177500000000002</v>
      </c>
      <c r="L71" s="93">
        <f>E71/2000*('Economic Model'!C$32+0.5)</f>
        <v>0.79475923913043478</v>
      </c>
      <c r="M71" s="319"/>
      <c r="N71" s="93">
        <f t="shared" si="9"/>
        <v>5.1125092391304348</v>
      </c>
      <c r="O71" s="93">
        <f t="shared" si="10"/>
        <v>3.3242881045849808</v>
      </c>
      <c r="P71" s="105"/>
      <c r="Q71" s="94"/>
      <c r="R71" s="93">
        <f>G71+(H71*'Economic Model'!C$30*'Economic Model'!C$34/1000)+('Economic Model'!K$63/100)</f>
        <v>4.7118276086956516</v>
      </c>
      <c r="S71" s="93">
        <f>R71+('Economic Model'!K$60/100)</f>
        <v>5.271128743241106</v>
      </c>
      <c r="T71" s="121"/>
      <c r="U71" s="94"/>
      <c r="V71" s="93">
        <f t="shared" si="11"/>
        <v>0.40068163043478311</v>
      </c>
      <c r="W71" s="93">
        <f t="shared" si="12"/>
        <v>-0.15861950411067127</v>
      </c>
      <c r="X71" s="105"/>
      <c r="Y71" s="120"/>
      <c r="Z71" s="147">
        <f>W71/('Economic Model'!H$14*(1-'Economic Model'!C$25/100))</f>
        <v>-4.8301721831224151E-2</v>
      </c>
      <c r="AA71" s="127"/>
      <c r="AB71" s="120"/>
      <c r="AC71" s="125"/>
      <c r="AD71" s="262">
        <v>1.0054945054945055</v>
      </c>
      <c r="AE71" s="93">
        <f t="shared" si="13"/>
        <v>2.9672115384615387</v>
      </c>
      <c r="AF71" s="17">
        <v>3.9727060439560442</v>
      </c>
      <c r="AG71" s="120"/>
      <c r="AH71" s="93">
        <f>AF71+(H71*'Economic Model'!C$30*'Economic Model'!C$34/1000)+('Economic Model'!K$63/100)</f>
        <v>5.2016260439560442</v>
      </c>
      <c r="AI71" s="93">
        <f>AH71+('Economic Model'!K$60/100)</f>
        <v>5.7609271785014986</v>
      </c>
      <c r="AJ71" s="120"/>
      <c r="AK71" s="91">
        <f t="shared" si="14"/>
        <v>-8.9116804825609464E-2</v>
      </c>
      <c r="AL71" s="91">
        <f t="shared" si="15"/>
        <v>-0.64841793937106385</v>
      </c>
      <c r="AM71" s="91">
        <f t="shared" si="16"/>
        <v>-0.15861950411067127</v>
      </c>
      <c r="AN71" s="91">
        <f t="shared" si="17"/>
        <v>-0.48979843526039213</v>
      </c>
      <c r="AO71" s="127"/>
      <c r="AP71" s="120"/>
      <c r="AR71" s="186"/>
      <c r="AS71" s="15"/>
      <c r="AW71" s="273"/>
    </row>
    <row r="72" spans="1:49" hidden="1" x14ac:dyDescent="0.2">
      <c r="A72" s="8">
        <v>40269</v>
      </c>
      <c r="C72" s="53"/>
      <c r="D72" s="118">
        <f>'Returns per Gal.'!C72</f>
        <v>1.44</v>
      </c>
      <c r="E72" s="119">
        <f>'Returns per Gal.'!D72</f>
        <v>102.57954545454545</v>
      </c>
      <c r="F72" s="119"/>
      <c r="G72" s="118">
        <f>'Returns per Gal.'!F72</f>
        <v>3.3707670454545462</v>
      </c>
      <c r="H72" s="118">
        <f>'Returns per Gal.'!G72</f>
        <v>6.21</v>
      </c>
      <c r="I72" s="126"/>
      <c r="J72" s="93"/>
      <c r="K72" s="93">
        <f>D72*'Economic Model'!C$30</f>
        <v>4.1040000000000001</v>
      </c>
      <c r="L72" s="93">
        <f>E72/2000*('Economic Model'!C$32+0.5)</f>
        <v>0.86679715909090904</v>
      </c>
      <c r="M72" s="319"/>
      <c r="N72" s="93">
        <f t="shared" si="9"/>
        <v>4.9707971590909095</v>
      </c>
      <c r="O72" s="93">
        <f t="shared" si="10"/>
        <v>3.2552510245454553</v>
      </c>
      <c r="P72" s="105"/>
      <c r="Q72" s="94"/>
      <c r="R72" s="93">
        <f>G72+(H72*'Economic Model'!C$30*'Economic Model'!C$34/1000)+('Economic Model'!K$63/100)</f>
        <v>4.5270120454545459</v>
      </c>
      <c r="S72" s="93">
        <f>R72+('Economic Model'!K$60/100)</f>
        <v>5.0863131800000003</v>
      </c>
      <c r="T72" s="121"/>
      <c r="U72" s="94"/>
      <c r="V72" s="93">
        <f t="shared" si="11"/>
        <v>0.44378511363636353</v>
      </c>
      <c r="W72" s="93">
        <f t="shared" si="12"/>
        <v>-0.11551602090909086</v>
      </c>
      <c r="X72" s="105"/>
      <c r="Y72" s="120"/>
      <c r="Z72" s="147">
        <f>W72/('Economic Model'!H$14*(1-'Economic Model'!C$25/100))</f>
        <v>-3.5176145205370143E-2</v>
      </c>
      <c r="AA72" s="127"/>
      <c r="AB72" s="120"/>
      <c r="AC72" s="125"/>
      <c r="AD72" s="262">
        <v>1.0054945054945055</v>
      </c>
      <c r="AE72" s="93">
        <f t="shared" si="13"/>
        <v>2.9672115384615387</v>
      </c>
      <c r="AF72" s="17">
        <v>3.9727060439560442</v>
      </c>
      <c r="AG72" s="120"/>
      <c r="AH72" s="93">
        <f>AF72+(H72*'Economic Model'!C$30*'Economic Model'!C$34/1000)+('Economic Model'!K$63/100)</f>
        <v>5.128951043956044</v>
      </c>
      <c r="AI72" s="93">
        <f>AH72+('Economic Model'!K$60/100)</f>
        <v>5.6882521785014983</v>
      </c>
      <c r="AJ72" s="120"/>
      <c r="AK72" s="91">
        <f t="shared" si="14"/>
        <v>-0.15815388486513449</v>
      </c>
      <c r="AL72" s="91">
        <f t="shared" si="15"/>
        <v>-0.71745501941058887</v>
      </c>
      <c r="AM72" s="91">
        <f t="shared" si="16"/>
        <v>-0.11551602090909086</v>
      </c>
      <c r="AN72" s="91">
        <f t="shared" si="17"/>
        <v>-0.60193899850149801</v>
      </c>
      <c r="AO72" s="127"/>
      <c r="AP72" s="120"/>
      <c r="AR72" s="186"/>
      <c r="AS72" s="15"/>
      <c r="AW72" s="273"/>
    </row>
    <row r="73" spans="1:49" hidden="1" x14ac:dyDescent="0.2">
      <c r="A73" s="8">
        <v>40299</v>
      </c>
      <c r="C73" s="53"/>
      <c r="D73" s="118">
        <f>'Returns per Gal.'!C73</f>
        <v>1.5079999999999993</v>
      </c>
      <c r="E73" s="119">
        <f>'Returns per Gal.'!D73</f>
        <v>113.9</v>
      </c>
      <c r="F73" s="119"/>
      <c r="G73" s="118">
        <f>'Returns per Gal.'!F73</f>
        <v>3.4638750000000007</v>
      </c>
      <c r="H73" s="118">
        <f>'Returns per Gal.'!G73</f>
        <v>5.45</v>
      </c>
      <c r="I73" s="126"/>
      <c r="J73" s="93"/>
      <c r="K73" s="93">
        <f>D73*'Economic Model'!C$30</f>
        <v>4.2977999999999978</v>
      </c>
      <c r="L73" s="93">
        <f>E73/2000*('Economic Model'!C$32+0.5)</f>
        <v>0.96245499999999995</v>
      </c>
      <c r="M73" s="319"/>
      <c r="N73" s="93">
        <f t="shared" ref="N73:N104" si="18">K73+L73</f>
        <v>5.2602549999999981</v>
      </c>
      <c r="O73" s="93">
        <f t="shared" ref="O73:O104" si="19">N73-S73+G73</f>
        <v>3.6096888654545438</v>
      </c>
      <c r="P73" s="105"/>
      <c r="Q73" s="94"/>
      <c r="R73" s="93">
        <f>G73+(H73*'Economic Model'!C$30*'Economic Model'!C$34/1000)+('Economic Model'!K$63/100)</f>
        <v>4.5551400000000006</v>
      </c>
      <c r="S73" s="93">
        <f>R73+('Economic Model'!K$60/100)</f>
        <v>5.114441134545455</v>
      </c>
      <c r="T73" s="121"/>
      <c r="U73" s="94"/>
      <c r="V73" s="93">
        <f t="shared" ref="V73:V104" si="20">N73-R73</f>
        <v>0.70511499999999749</v>
      </c>
      <c r="W73" s="93">
        <f t="shared" ref="W73:W104" si="21">N73-S73</f>
        <v>0.14581386545454311</v>
      </c>
      <c r="X73" s="105"/>
      <c r="Y73" s="120"/>
      <c r="Z73" s="147">
        <f>W73/('Economic Model'!H$14*(1-'Economic Model'!C$25/100))</f>
        <v>4.4402236709848962E-2</v>
      </c>
      <c r="AA73" s="127"/>
      <c r="AB73" s="120"/>
      <c r="AC73" s="125"/>
      <c r="AD73" s="262">
        <v>1.0054945054945055</v>
      </c>
      <c r="AE73" s="93">
        <f t="shared" ref="AE73:AE104" si="22">AF73-AD73</f>
        <v>2.9672115384615387</v>
      </c>
      <c r="AF73" s="17">
        <v>3.9727060439560442</v>
      </c>
      <c r="AG73" s="120"/>
      <c r="AH73" s="93">
        <f>AF73+(H73*'Economic Model'!C$30*'Economic Model'!C$34/1000)+('Economic Model'!K$63/100)</f>
        <v>5.0639710439560437</v>
      </c>
      <c r="AI73" s="93">
        <f>AH73+('Economic Model'!K$60/100)</f>
        <v>5.6232721785014981</v>
      </c>
      <c r="AJ73" s="120"/>
      <c r="AK73" s="91">
        <f t="shared" ref="AK73:AK104" si="23">N73-AH73</f>
        <v>0.19628395604395443</v>
      </c>
      <c r="AL73" s="91">
        <f t="shared" ref="AL73:AL104" si="24">N73-AI73</f>
        <v>-0.36301717850149995</v>
      </c>
      <c r="AM73" s="91">
        <f t="shared" ref="AM73:AM104" si="25">O73-G73</f>
        <v>0.14581386545454311</v>
      </c>
      <c r="AN73" s="91">
        <f t="shared" ref="AN73:AN104" si="26">G73-AF73</f>
        <v>-0.50883104395604351</v>
      </c>
      <c r="AO73" s="127"/>
      <c r="AP73" s="120"/>
      <c r="AR73" s="186"/>
      <c r="AS73" s="15"/>
      <c r="AW73" s="273"/>
    </row>
    <row r="74" spans="1:49" hidden="1" x14ac:dyDescent="0.2">
      <c r="A74" s="8">
        <v>40330</v>
      </c>
      <c r="C74" s="53"/>
      <c r="D74" s="118">
        <f>'Returns per Gal.'!C74</f>
        <v>1.5227272727272732</v>
      </c>
      <c r="E74" s="119">
        <f>'Returns per Gal.'!D74</f>
        <v>101.85227272727273</v>
      </c>
      <c r="F74" s="119"/>
      <c r="G74" s="118">
        <f>'Returns per Gal.'!F74</f>
        <v>3.2432670454545445</v>
      </c>
      <c r="H74" s="118">
        <f>'Returns per Gal.'!G74</f>
        <v>5.61</v>
      </c>
      <c r="I74" s="126"/>
      <c r="J74" s="93"/>
      <c r="K74" s="93">
        <f>D74*'Economic Model'!C$30</f>
        <v>4.3397727272727282</v>
      </c>
      <c r="L74" s="93">
        <f>E74/2000*('Economic Model'!C$32+0.5)</f>
        <v>0.86065170454545459</v>
      </c>
      <c r="M74" s="319"/>
      <c r="N74" s="93">
        <f t="shared" si="18"/>
        <v>5.2004244318181829</v>
      </c>
      <c r="O74" s="93">
        <f t="shared" si="19"/>
        <v>3.5361782972727287</v>
      </c>
      <c r="P74" s="105"/>
      <c r="Q74" s="94"/>
      <c r="R74" s="93">
        <f>G74+(H74*'Economic Model'!C$30*'Economic Model'!C$34/1000)+('Economic Model'!K$63/100)</f>
        <v>4.3482120454545443</v>
      </c>
      <c r="S74" s="93">
        <f>R74+('Economic Model'!K$60/100)</f>
        <v>4.9075131799999987</v>
      </c>
      <c r="T74" s="121"/>
      <c r="U74" s="94"/>
      <c r="V74" s="93">
        <f t="shared" si="20"/>
        <v>0.85221238636363861</v>
      </c>
      <c r="W74" s="93">
        <f t="shared" si="21"/>
        <v>0.29291125181818423</v>
      </c>
      <c r="X74" s="105"/>
      <c r="Y74" s="120"/>
      <c r="Z74" s="147">
        <f>W74/('Economic Model'!H$14*(1-'Economic Model'!C$25/100))</f>
        <v>8.9195322390405563E-2</v>
      </c>
      <c r="AA74" s="127"/>
      <c r="AB74" s="120"/>
      <c r="AC74" s="125"/>
      <c r="AD74" s="262">
        <v>1.0054945054945055</v>
      </c>
      <c r="AE74" s="93">
        <f t="shared" si="22"/>
        <v>2.9672115384615387</v>
      </c>
      <c r="AF74" s="17">
        <v>3.9727060439560442</v>
      </c>
      <c r="AG74" s="120"/>
      <c r="AH74" s="93">
        <f>AF74+(H74*'Economic Model'!C$30*'Economic Model'!C$34/1000)+('Economic Model'!K$63/100)</f>
        <v>5.0776510439560436</v>
      </c>
      <c r="AI74" s="93">
        <f>AH74+('Economic Model'!K$60/100)</f>
        <v>5.636952178501498</v>
      </c>
      <c r="AJ74" s="120"/>
      <c r="AK74" s="91">
        <f t="shared" si="23"/>
        <v>0.12277338786213932</v>
      </c>
      <c r="AL74" s="91">
        <f t="shared" si="24"/>
        <v>-0.43652774668331507</v>
      </c>
      <c r="AM74" s="91">
        <f t="shared" si="25"/>
        <v>0.29291125181818423</v>
      </c>
      <c r="AN74" s="91">
        <f t="shared" si="26"/>
        <v>-0.72943899850149974</v>
      </c>
      <c r="AO74" s="127"/>
      <c r="AP74" s="120"/>
      <c r="AR74" s="186"/>
      <c r="AS74" s="15"/>
      <c r="AW74" s="273"/>
    </row>
    <row r="75" spans="1:49" hidden="1" x14ac:dyDescent="0.2">
      <c r="A75" s="8">
        <v>40360</v>
      </c>
      <c r="C75" s="53"/>
      <c r="D75" s="118">
        <f>'Returns per Gal.'!C75</f>
        <v>1.5079545454545453</v>
      </c>
      <c r="E75" s="119">
        <f>'Returns per Gal.'!D75</f>
        <v>102.19047619047619</v>
      </c>
      <c r="F75" s="119"/>
      <c r="G75" s="118">
        <f>'Returns per Gal.'!F75</f>
        <v>3.4111011904761894</v>
      </c>
      <c r="H75" s="118">
        <f>'Returns per Gal.'!G75</f>
        <v>5.69</v>
      </c>
      <c r="I75" s="126"/>
      <c r="J75" s="93"/>
      <c r="K75" s="93">
        <f>D75*'Economic Model'!C$30</f>
        <v>4.2976704545454547</v>
      </c>
      <c r="L75" s="93">
        <f>E75/2000*('Economic Model'!C$32+0.5)</f>
        <v>0.86350952380952373</v>
      </c>
      <c r="M75" s="319"/>
      <c r="N75" s="93">
        <f t="shared" si="18"/>
        <v>5.1611799783549781</v>
      </c>
      <c r="O75" s="93">
        <f t="shared" si="19"/>
        <v>3.4900938438095239</v>
      </c>
      <c r="P75" s="105"/>
      <c r="Q75" s="94"/>
      <c r="R75" s="93">
        <f>G75+(H75*'Economic Model'!C$30*'Economic Model'!C$34/1000)+('Economic Model'!K$63/100)</f>
        <v>4.5228861904761892</v>
      </c>
      <c r="S75" s="93">
        <f>R75+('Economic Model'!K$60/100)</f>
        <v>5.0821873250216436</v>
      </c>
      <c r="T75" s="121"/>
      <c r="U75" s="94"/>
      <c r="V75" s="93">
        <f t="shared" si="20"/>
        <v>0.63829378787878888</v>
      </c>
      <c r="W75" s="93">
        <f t="shared" si="21"/>
        <v>7.8992653333334495E-2</v>
      </c>
      <c r="X75" s="105"/>
      <c r="Y75" s="120"/>
      <c r="Z75" s="147">
        <f>W75/('Economic Model'!H$14*(1-'Economic Model'!C$25/100))</f>
        <v>2.4054300190945774E-2</v>
      </c>
      <c r="AA75" s="127"/>
      <c r="AB75" s="120"/>
      <c r="AC75" s="125"/>
      <c r="AD75" s="262">
        <v>1.0054945054945055</v>
      </c>
      <c r="AE75" s="93">
        <f t="shared" si="22"/>
        <v>2.9672115384615387</v>
      </c>
      <c r="AF75" s="17">
        <v>3.9727060439560442</v>
      </c>
      <c r="AG75" s="120"/>
      <c r="AH75" s="93">
        <f>AF75+(H75*'Economic Model'!C$30*'Economic Model'!C$34/1000)+('Economic Model'!K$63/100)</f>
        <v>5.084491043956044</v>
      </c>
      <c r="AI75" s="93">
        <f>AH75+('Economic Model'!K$60/100)</f>
        <v>5.6437921785014984</v>
      </c>
      <c r="AJ75" s="120"/>
      <c r="AK75" s="91">
        <f t="shared" si="23"/>
        <v>7.6688934398934094E-2</v>
      </c>
      <c r="AL75" s="91">
        <f t="shared" si="24"/>
        <v>-0.48261220014652029</v>
      </c>
      <c r="AM75" s="91">
        <f t="shared" si="25"/>
        <v>7.8992653333334495E-2</v>
      </c>
      <c r="AN75" s="91">
        <f t="shared" si="26"/>
        <v>-0.56160485347985478</v>
      </c>
      <c r="AO75" s="127"/>
      <c r="AP75" s="120"/>
      <c r="AR75" s="186"/>
      <c r="AS75" s="15"/>
      <c r="AW75" s="273"/>
    </row>
    <row r="76" spans="1:49" hidden="1" x14ac:dyDescent="0.2">
      <c r="A76" s="8">
        <v>40391</v>
      </c>
      <c r="C76" s="53"/>
      <c r="D76" s="118">
        <f>'Returns per Gal.'!C76</f>
        <v>1.6931818181818188</v>
      </c>
      <c r="E76" s="119">
        <f>'Returns per Gal.'!D76</f>
        <v>105.75</v>
      </c>
      <c r="F76" s="119"/>
      <c r="G76" s="118">
        <f>'Returns per Gal.'!F76</f>
        <v>3.6240909090909099</v>
      </c>
      <c r="H76" s="118">
        <f>'Returns per Gal.'!G76</f>
        <v>5.76</v>
      </c>
      <c r="I76" s="126"/>
      <c r="J76" s="93"/>
      <c r="K76" s="93">
        <f>D76*'Economic Model'!C$30</f>
        <v>4.8255681818181833</v>
      </c>
      <c r="L76" s="93">
        <f>E76/2000*('Economic Model'!C$32+0.5)</f>
        <v>0.89358749999999987</v>
      </c>
      <c r="M76" s="319"/>
      <c r="N76" s="93">
        <f t="shared" si="18"/>
        <v>5.719155681818183</v>
      </c>
      <c r="O76" s="93">
        <f t="shared" si="19"/>
        <v>4.0420845472727285</v>
      </c>
      <c r="P76" s="105"/>
      <c r="Q76" s="94"/>
      <c r="R76" s="93">
        <f>G76+(H76*'Economic Model'!C$30*'Economic Model'!C$34/1000)+('Economic Model'!K$63/100)</f>
        <v>4.7418609090909101</v>
      </c>
      <c r="S76" s="93">
        <f>R76+('Economic Model'!K$60/100)</f>
        <v>5.3011620436363645</v>
      </c>
      <c r="T76" s="121"/>
      <c r="U76" s="94"/>
      <c r="V76" s="93">
        <f t="shared" si="20"/>
        <v>0.97729477272727294</v>
      </c>
      <c r="W76" s="93">
        <f t="shared" si="21"/>
        <v>0.41799363818181856</v>
      </c>
      <c r="X76" s="105"/>
      <c r="Y76" s="120"/>
      <c r="Z76" s="147">
        <f>W76/('Economic Model'!H$14*(1-'Economic Model'!C$25/100))</f>
        <v>0.12728455149243698</v>
      </c>
      <c r="AA76" s="127"/>
      <c r="AB76" s="120"/>
      <c r="AC76" s="125"/>
      <c r="AD76" s="262">
        <v>1.0054945054945055</v>
      </c>
      <c r="AE76" s="93">
        <f t="shared" si="22"/>
        <v>2.9672115384615387</v>
      </c>
      <c r="AF76" s="17">
        <v>3.9727060439560442</v>
      </c>
      <c r="AG76" s="120"/>
      <c r="AH76" s="93">
        <f>AF76+(H76*'Economic Model'!C$30*'Economic Model'!C$34/1000)+('Economic Model'!K$63/100)</f>
        <v>5.0904760439560439</v>
      </c>
      <c r="AI76" s="93">
        <f>AH76+('Economic Model'!K$60/100)</f>
        <v>5.6497771785014983</v>
      </c>
      <c r="AJ76" s="120"/>
      <c r="AK76" s="91">
        <f t="shared" si="23"/>
        <v>0.6286796378621391</v>
      </c>
      <c r="AL76" s="91">
        <f t="shared" si="24"/>
        <v>6.9378503316684714E-2</v>
      </c>
      <c r="AM76" s="91">
        <f t="shared" si="25"/>
        <v>0.41799363818181856</v>
      </c>
      <c r="AN76" s="91">
        <f t="shared" si="26"/>
        <v>-0.34861513486513429</v>
      </c>
      <c r="AO76" s="127"/>
      <c r="AP76" s="120"/>
      <c r="AQ76" s="27"/>
      <c r="AR76" s="186"/>
      <c r="AS76" s="15"/>
      <c r="AW76" s="273"/>
    </row>
    <row r="77" spans="1:49" hidden="1" x14ac:dyDescent="0.2">
      <c r="A77" s="8">
        <v>40422</v>
      </c>
      <c r="C77" s="53"/>
      <c r="D77" s="118">
        <f>'Returns per Gal.'!C77</f>
        <v>2.0068181818181809</v>
      </c>
      <c r="E77" s="119">
        <f>'Returns per Gal.'!D77</f>
        <v>123.21428571428571</v>
      </c>
      <c r="F77" s="119"/>
      <c r="G77" s="118">
        <f>'Returns per Gal.'!F77</f>
        <v>4.3160089285714278</v>
      </c>
      <c r="H77" s="118">
        <f>'Returns per Gal.'!G77</f>
        <v>5.59</v>
      </c>
      <c r="I77" s="126"/>
      <c r="J77" s="93"/>
      <c r="K77" s="93">
        <f>D77*'Economic Model'!C$30</f>
        <v>5.7194318181818158</v>
      </c>
      <c r="L77" s="93">
        <f>E77/2000*('Economic Model'!C$32+0.5)</f>
        <v>1.0411607142857142</v>
      </c>
      <c r="M77" s="319"/>
      <c r="N77" s="93">
        <f t="shared" si="18"/>
        <v>6.7605925324675304</v>
      </c>
      <c r="O77" s="93">
        <f t="shared" si="19"/>
        <v>5.0980563979220763</v>
      </c>
      <c r="P77" s="105"/>
      <c r="Q77" s="94"/>
      <c r="R77" s="93">
        <f>G77+(H77*'Economic Model'!C$30*'Economic Model'!C$34/1000)+('Economic Model'!K$63/100)</f>
        <v>5.4192439285714276</v>
      </c>
      <c r="S77" s="93">
        <f>R77+('Economic Model'!K$60/100)</f>
        <v>5.9785450631168819</v>
      </c>
      <c r="T77" s="121"/>
      <c r="U77" s="94"/>
      <c r="V77" s="93">
        <f t="shared" si="20"/>
        <v>1.3413486038961029</v>
      </c>
      <c r="W77" s="93">
        <f t="shared" si="21"/>
        <v>0.78204746935064851</v>
      </c>
      <c r="X77" s="105"/>
      <c r="Y77" s="120"/>
      <c r="Z77" s="147">
        <f>W77/('Economic Model'!H$14*(1-'Economic Model'!C$25/100))</f>
        <v>0.23814372346689566</v>
      </c>
      <c r="AA77" s="127"/>
      <c r="AB77" s="120"/>
      <c r="AC77" s="125"/>
      <c r="AD77" s="262">
        <v>1.1151515151515152</v>
      </c>
      <c r="AE77" s="93">
        <f t="shared" si="22"/>
        <v>2.5160303030303028</v>
      </c>
      <c r="AF77" s="17">
        <v>3.6311818181818181</v>
      </c>
      <c r="AG77" s="120"/>
      <c r="AH77" s="93">
        <f>AF77+(H77*'Economic Model'!C$30*'Economic Model'!C$34/1000)+('Economic Model'!K$63/100)</f>
        <v>4.7344168181818178</v>
      </c>
      <c r="AI77" s="93">
        <f>AH77+('Economic Model'!K$60/100)</f>
        <v>5.2937179527272722</v>
      </c>
      <c r="AJ77" s="120"/>
      <c r="AK77" s="91">
        <f t="shared" si="23"/>
        <v>2.0261757142857126</v>
      </c>
      <c r="AL77" s="91">
        <f t="shared" si="24"/>
        <v>1.4668745797402583</v>
      </c>
      <c r="AM77" s="91">
        <f t="shared" si="25"/>
        <v>0.78204746935064851</v>
      </c>
      <c r="AN77" s="91">
        <f t="shared" si="26"/>
        <v>0.68482711038960975</v>
      </c>
      <c r="AO77" s="127"/>
      <c r="AP77" s="120"/>
      <c r="AQ77" s="27"/>
      <c r="AR77" s="186"/>
      <c r="AS77" s="15"/>
      <c r="AW77" s="273"/>
    </row>
    <row r="78" spans="1:49" hidden="1" x14ac:dyDescent="0.2">
      <c r="A78" s="8">
        <v>40452</v>
      </c>
      <c r="C78" s="53"/>
      <c r="D78" s="118">
        <f>'Returns per Gal.'!C78</f>
        <v>2.1119047619047624</v>
      </c>
      <c r="E78" s="119">
        <f>'Returns per Gal.'!D78</f>
        <v>141.92261904761904</v>
      </c>
      <c r="F78" s="119"/>
      <c r="G78" s="118">
        <f>'Returns per Gal.'!F78</f>
        <v>4.9546041666666651</v>
      </c>
      <c r="H78" s="118">
        <f>'Returns per Gal.'!G78</f>
        <v>4.8499999999999996</v>
      </c>
      <c r="I78" s="126"/>
      <c r="J78" s="93"/>
      <c r="K78" s="93">
        <f>D78*'Economic Model'!C$30</f>
        <v>6.0189285714285727</v>
      </c>
      <c r="L78" s="93">
        <f>E78/2000*('Economic Model'!C$32+0.5)</f>
        <v>1.1992461309523808</v>
      </c>
      <c r="M78" s="319"/>
      <c r="N78" s="93">
        <f t="shared" si="18"/>
        <v>7.2181747023809537</v>
      </c>
      <c r="O78" s="93">
        <f t="shared" si="19"/>
        <v>5.6189085678354997</v>
      </c>
      <c r="P78" s="105"/>
      <c r="Q78" s="94"/>
      <c r="R78" s="93">
        <f>G78+(H78*'Economic Model'!C$30*'Economic Model'!C$34/1000)+('Economic Model'!K$63/100)</f>
        <v>5.9945691666666647</v>
      </c>
      <c r="S78" s="93">
        <f>R78+('Economic Model'!K$60/100)</f>
        <v>6.5538703012121191</v>
      </c>
      <c r="T78" s="121"/>
      <c r="U78" s="94"/>
      <c r="V78" s="93">
        <f t="shared" si="20"/>
        <v>1.223605535714289</v>
      </c>
      <c r="W78" s="93">
        <f t="shared" si="21"/>
        <v>0.6643044011688346</v>
      </c>
      <c r="X78" s="105"/>
      <c r="Y78" s="120"/>
      <c r="Z78" s="147">
        <f>W78/('Economic Model'!H$14*(1-'Economic Model'!C$25/100))</f>
        <v>0.20228941312366833</v>
      </c>
      <c r="AA78" s="127"/>
      <c r="AB78" s="120"/>
      <c r="AC78" s="125"/>
      <c r="AD78" s="262">
        <v>1.1151515151515152</v>
      </c>
      <c r="AE78" s="93">
        <f t="shared" si="22"/>
        <v>2.5160303030303028</v>
      </c>
      <c r="AF78" s="17">
        <v>3.6311818181818181</v>
      </c>
      <c r="AG78" s="120"/>
      <c r="AH78" s="93">
        <f>AF78+(H78*'Economic Model'!C$30*'Economic Model'!C$34/1000)+('Economic Model'!K$63/100)</f>
        <v>4.6711468181818177</v>
      </c>
      <c r="AI78" s="93">
        <f>AH78+('Economic Model'!K$60/100)</f>
        <v>5.230447952727272</v>
      </c>
      <c r="AJ78" s="120"/>
      <c r="AK78" s="91">
        <f t="shared" si="23"/>
        <v>2.5470278841991361</v>
      </c>
      <c r="AL78" s="91">
        <f t="shared" si="24"/>
        <v>1.9877267496536817</v>
      </c>
      <c r="AM78" s="91">
        <f t="shared" si="25"/>
        <v>0.6643044011688346</v>
      </c>
      <c r="AN78" s="91">
        <f t="shared" si="26"/>
        <v>1.3234223484848471</v>
      </c>
      <c r="AO78" s="127"/>
      <c r="AP78" s="120"/>
      <c r="AR78" s="186"/>
      <c r="AS78" s="15"/>
      <c r="AW78" s="273"/>
    </row>
    <row r="79" spans="1:49" hidden="1" x14ac:dyDescent="0.2">
      <c r="A79" s="8">
        <v>40483</v>
      </c>
      <c r="C79" s="53"/>
      <c r="D79" s="118">
        <f>'Returns per Gal.'!C79</f>
        <v>2.33</v>
      </c>
      <c r="E79" s="119">
        <f>'Returns per Gal.'!D79</f>
        <v>152.38095238095238</v>
      </c>
      <c r="F79" s="119"/>
      <c r="G79" s="118">
        <f>'Returns per Gal.'!F79</f>
        <v>5.2398809523809557</v>
      </c>
      <c r="H79" s="118">
        <f>'Returns per Gal.'!G79</f>
        <v>5.58</v>
      </c>
      <c r="I79" s="126"/>
      <c r="J79" s="93"/>
      <c r="K79" s="93">
        <f>D79*'Economic Model'!C$30</f>
        <v>6.6405000000000003</v>
      </c>
      <c r="L79" s="93">
        <f>E79/2000*('Economic Model'!C$32+0.5)</f>
        <v>1.2876190476190474</v>
      </c>
      <c r="M79" s="319"/>
      <c r="N79" s="93">
        <f t="shared" si="18"/>
        <v>7.928119047619048</v>
      </c>
      <c r="O79" s="93">
        <f t="shared" si="19"/>
        <v>6.2664379130735934</v>
      </c>
      <c r="P79" s="105"/>
      <c r="Q79" s="94"/>
      <c r="R79" s="93">
        <f>G79+(H79*'Economic Model'!C$30*'Economic Model'!C$34/1000)+('Economic Model'!K$63/100)</f>
        <v>6.3422609523809559</v>
      </c>
      <c r="S79" s="93">
        <f>R79+('Economic Model'!K$60/100)</f>
        <v>6.9015620869264103</v>
      </c>
      <c r="T79" s="121"/>
      <c r="U79" s="94"/>
      <c r="V79" s="93">
        <f t="shared" si="20"/>
        <v>1.5858580952380921</v>
      </c>
      <c r="W79" s="93">
        <f t="shared" si="21"/>
        <v>1.0265569606926377</v>
      </c>
      <c r="X79" s="105"/>
      <c r="Y79" s="120"/>
      <c r="Z79" s="147">
        <f>W79/('Economic Model'!H$14*(1-'Economic Model'!C$25/100))</f>
        <v>0.3126000742297545</v>
      </c>
      <c r="AA79" s="127"/>
      <c r="AB79" s="120"/>
      <c r="AC79" s="125"/>
      <c r="AD79" s="262">
        <v>1.1151515151515152</v>
      </c>
      <c r="AE79" s="93">
        <f t="shared" si="22"/>
        <v>2.5160303030303028</v>
      </c>
      <c r="AF79" s="17">
        <v>3.6311818181818181</v>
      </c>
      <c r="AG79" s="120"/>
      <c r="AH79" s="93">
        <f>AF79+(H79*'Economic Model'!C$30*'Economic Model'!C$34/1000)+('Economic Model'!K$63/100)</f>
        <v>4.7335618181818173</v>
      </c>
      <c r="AI79" s="93">
        <f>AH79+('Economic Model'!K$60/100)</f>
        <v>5.2928629527272717</v>
      </c>
      <c r="AJ79" s="120"/>
      <c r="AK79" s="91">
        <f t="shared" si="23"/>
        <v>3.1945572294372306</v>
      </c>
      <c r="AL79" s="91">
        <f t="shared" si="24"/>
        <v>2.6352560948917763</v>
      </c>
      <c r="AM79" s="91">
        <f t="shared" si="25"/>
        <v>1.0265569606926377</v>
      </c>
      <c r="AN79" s="91">
        <f t="shared" si="26"/>
        <v>1.6086991341991377</v>
      </c>
      <c r="AO79" s="127"/>
      <c r="AP79" s="120"/>
      <c r="AR79" s="186"/>
      <c r="AS79" s="15"/>
      <c r="AW79" s="273"/>
    </row>
    <row r="80" spans="1:49" hidden="1" x14ac:dyDescent="0.2">
      <c r="A80" s="68">
        <v>40513</v>
      </c>
      <c r="B80" s="29"/>
      <c r="C80" s="56"/>
      <c r="D80" s="128">
        <f>'Returns per Gal.'!C80</f>
        <v>2.1004761904761913</v>
      </c>
      <c r="E80" s="129">
        <f>'Returns per Gal.'!D80</f>
        <v>161.1904761904762</v>
      </c>
      <c r="F80" s="129"/>
      <c r="G80" s="128">
        <f>'Returns per Gal.'!F80</f>
        <v>5.5979761904761896</v>
      </c>
      <c r="H80" s="128">
        <f>'Returns per Gal.'!G80</f>
        <v>6.07</v>
      </c>
      <c r="I80" s="135"/>
      <c r="J80" s="97"/>
      <c r="K80" s="97">
        <f>D80*'Economic Model'!C$30</f>
        <v>5.9863571428571456</v>
      </c>
      <c r="L80" s="97">
        <f>E80/2000*('Economic Model'!C$32+0.5)</f>
        <v>1.3620595238095239</v>
      </c>
      <c r="M80" s="320"/>
      <c r="N80" s="97">
        <f t="shared" si="18"/>
        <v>7.3484166666666697</v>
      </c>
      <c r="O80" s="97">
        <f t="shared" si="19"/>
        <v>5.6448405321212158</v>
      </c>
      <c r="P80" s="107"/>
      <c r="Q80" s="98"/>
      <c r="R80" s="97">
        <f>G80+(H80*'Economic Model'!C$30*'Economic Model'!C$34/1000)+('Economic Model'!K$63/100)</f>
        <v>6.742251190476189</v>
      </c>
      <c r="S80" s="97">
        <f>R80+('Economic Model'!K$60/100)</f>
        <v>7.3015523250216434</v>
      </c>
      <c r="T80" s="131"/>
      <c r="U80" s="98"/>
      <c r="V80" s="97">
        <f t="shared" si="20"/>
        <v>0.60616547619048067</v>
      </c>
      <c r="W80" s="97">
        <f t="shared" si="21"/>
        <v>4.6864341645026286E-2</v>
      </c>
      <c r="X80" s="107"/>
      <c r="Y80" s="130"/>
      <c r="Z80" s="148">
        <f>W80/('Economic Model'!H$14*(1-'Economic Model'!C$25/100))</f>
        <v>1.4270807405640009E-2</v>
      </c>
      <c r="AA80" s="136"/>
      <c r="AB80" s="130"/>
      <c r="AC80" s="56"/>
      <c r="AD80" s="263">
        <v>1.1151515151515152</v>
      </c>
      <c r="AE80" s="97">
        <f t="shared" si="22"/>
        <v>2.5160303030303028</v>
      </c>
      <c r="AF80" s="65">
        <v>3.6311818181818181</v>
      </c>
      <c r="AG80" s="130"/>
      <c r="AH80" s="97">
        <f>AF80+(H80*'Economic Model'!C$30*'Economic Model'!C$34/1000)+('Economic Model'!K$63/100)</f>
        <v>4.7754568181818176</v>
      </c>
      <c r="AI80" s="97">
        <f>AH80+('Economic Model'!K$60/100)</f>
        <v>5.3347579527272719</v>
      </c>
      <c r="AJ80" s="130"/>
      <c r="AK80" s="92">
        <f t="shared" si="23"/>
        <v>2.5729598484848522</v>
      </c>
      <c r="AL80" s="92">
        <f t="shared" si="24"/>
        <v>2.0136587139393978</v>
      </c>
      <c r="AM80" s="92">
        <f t="shared" si="25"/>
        <v>4.6864341645026286E-2</v>
      </c>
      <c r="AN80" s="92">
        <f t="shared" si="26"/>
        <v>1.9667943722943715</v>
      </c>
      <c r="AO80" s="136"/>
      <c r="AP80" s="120"/>
      <c r="AR80" s="186"/>
      <c r="AS80" s="15"/>
      <c r="AW80" s="273"/>
    </row>
    <row r="81" spans="1:49" hidden="1" x14ac:dyDescent="0.2">
      <c r="A81" s="21">
        <v>40544</v>
      </c>
      <c r="C81" s="53"/>
      <c r="D81" s="141">
        <f>'Returns per Gal.'!C81</f>
        <v>2.2695238095238093</v>
      </c>
      <c r="E81" s="142">
        <f>'Returns per Gal.'!D81</f>
        <v>179.39285714285714</v>
      </c>
      <c r="F81" s="142"/>
      <c r="G81" s="141">
        <f>'Returns per Gal.'!F81</f>
        <v>6.0441666666666682</v>
      </c>
      <c r="H81" s="141">
        <f>'Returns per Gal.'!G81</f>
        <v>6.51</v>
      </c>
      <c r="I81" s="143"/>
      <c r="J81" s="101"/>
      <c r="K81" s="101">
        <f>D81*'Economic Model'!C$30</f>
        <v>6.4681428571428565</v>
      </c>
      <c r="L81" s="101">
        <f>E81/2000*('Economic Model'!C$32+0.5)</f>
        <v>1.5158696428571425</v>
      </c>
      <c r="M81" s="321"/>
      <c r="N81" s="101">
        <f t="shared" si="18"/>
        <v>7.9840124999999986</v>
      </c>
      <c r="O81" s="101">
        <f t="shared" si="19"/>
        <v>6.2428163654545443</v>
      </c>
      <c r="P81" s="116"/>
      <c r="Q81" s="102"/>
      <c r="R81" s="101">
        <f>G81+(H81*'Economic Model'!C$30*'Economic Model'!C$34/1000)+('Economic Model'!K$63/100)</f>
        <v>7.2260616666666682</v>
      </c>
      <c r="S81" s="101">
        <f>R81+('Economic Model'!K$60/100)</f>
        <v>7.7853628012121225</v>
      </c>
      <c r="T81" s="144"/>
      <c r="U81" s="102"/>
      <c r="V81" s="101">
        <f t="shared" si="20"/>
        <v>0.75795083333333046</v>
      </c>
      <c r="W81" s="101">
        <f t="shared" si="21"/>
        <v>0.19864969878787608</v>
      </c>
      <c r="X81" s="116"/>
      <c r="Y81" s="145"/>
      <c r="Z81" s="149">
        <f>W81/('Economic Model'!H$14*(1-'Economic Model'!C$25/100))</f>
        <v>6.0491441746115857E-2</v>
      </c>
      <c r="AA81" s="62"/>
      <c r="AB81" s="183"/>
      <c r="AC81" s="53"/>
      <c r="AD81" s="262">
        <v>1.1151515151515152</v>
      </c>
      <c r="AE81" s="93">
        <f t="shared" si="22"/>
        <v>2.5160303030303028</v>
      </c>
      <c r="AF81" s="17">
        <v>3.6311818181818181</v>
      </c>
      <c r="AG81" s="27"/>
      <c r="AH81" s="93">
        <f>AF81+(H81*'Economic Model'!C$30*'Economic Model'!C$34/1000)+('Economic Model'!K$63/100)</f>
        <v>4.813076818181818</v>
      </c>
      <c r="AI81" s="93">
        <f>AH81+('Economic Model'!K$60/100)</f>
        <v>5.3723779527272724</v>
      </c>
      <c r="AJ81" s="120"/>
      <c r="AK81" s="91">
        <f t="shared" si="23"/>
        <v>3.1709356818181806</v>
      </c>
      <c r="AL81" s="91">
        <f t="shared" si="24"/>
        <v>2.6116345472727263</v>
      </c>
      <c r="AM81" s="91">
        <f t="shared" si="25"/>
        <v>0.19864969878787608</v>
      </c>
      <c r="AN81" s="91">
        <f t="shared" si="26"/>
        <v>2.4129848484848502</v>
      </c>
      <c r="AO81" s="52"/>
      <c r="AR81" s="186"/>
      <c r="AS81" s="15"/>
      <c r="AW81" s="273"/>
    </row>
    <row r="82" spans="1:49" hidden="1" x14ac:dyDescent="0.2">
      <c r="A82" s="8">
        <v>40575</v>
      </c>
      <c r="C82" s="53"/>
      <c r="D82" s="118">
        <f>'Returns per Gal.'!C82</f>
        <v>2.2922500000000001</v>
      </c>
      <c r="E82" s="119">
        <f>'Returns per Gal.'!D82</f>
        <v>190.81578947368422</v>
      </c>
      <c r="F82" s="119"/>
      <c r="G82" s="118">
        <f>'Returns per Gal.'!F82</f>
        <v>6.5826315789473684</v>
      </c>
      <c r="H82" s="118">
        <f>'Returns per Gal.'!G82</f>
        <v>6.39</v>
      </c>
      <c r="I82" s="126"/>
      <c r="J82" s="93"/>
      <c r="K82" s="93">
        <f>D82*'Economic Model'!C$30</f>
        <v>6.5329125000000001</v>
      </c>
      <c r="L82" s="93">
        <f>E82/2000*('Economic Model'!C$32+0.5)</f>
        <v>1.6123934210526314</v>
      </c>
      <c r="M82" s="319"/>
      <c r="N82" s="93">
        <f t="shared" si="18"/>
        <v>8.145305921052632</v>
      </c>
      <c r="O82" s="93">
        <f t="shared" si="19"/>
        <v>6.4143697865071774</v>
      </c>
      <c r="P82" s="105"/>
      <c r="Q82" s="94"/>
      <c r="R82" s="93">
        <f>G82+(H82*'Economic Model'!C$30*'Economic Model'!C$34/1000)+('Economic Model'!K$63/100)</f>
        <v>7.7542665789473677</v>
      </c>
      <c r="S82" s="93">
        <f>R82+('Economic Model'!K$60/100)</f>
        <v>8.313567713492823</v>
      </c>
      <c r="T82" s="121"/>
      <c r="U82" s="94"/>
      <c r="V82" s="93">
        <f t="shared" si="20"/>
        <v>0.39103934210526425</v>
      </c>
      <c r="W82" s="93">
        <f t="shared" si="21"/>
        <v>-0.16826179244019102</v>
      </c>
      <c r="X82" s="105"/>
      <c r="Y82" s="120"/>
      <c r="Z82" s="147">
        <f>W82/('Economic Model'!H$14*(1-'Economic Model'!C$25/100))</f>
        <v>-5.1237925240257436E-2</v>
      </c>
      <c r="AA82" s="127"/>
      <c r="AB82" s="120"/>
      <c r="AC82" s="125"/>
      <c r="AD82" s="262">
        <v>1.1151515151515152</v>
      </c>
      <c r="AE82" s="93">
        <f t="shared" si="22"/>
        <v>2.5160303030303028</v>
      </c>
      <c r="AF82" s="17">
        <v>3.6311818181818181</v>
      </c>
      <c r="AG82" s="120"/>
      <c r="AH82" s="93">
        <f>AF82+(H82*'Economic Model'!C$30*'Economic Model'!C$34/1000)+('Economic Model'!K$63/100)</f>
        <v>4.8028168181818174</v>
      </c>
      <c r="AI82" s="93">
        <f>AH82+('Economic Model'!K$60/100)</f>
        <v>5.3621179527272718</v>
      </c>
      <c r="AJ82" s="120"/>
      <c r="AK82" s="91">
        <f t="shared" si="23"/>
        <v>3.3424891028708146</v>
      </c>
      <c r="AL82" s="91">
        <f t="shared" si="24"/>
        <v>2.7831879683253602</v>
      </c>
      <c r="AM82" s="91">
        <f t="shared" si="25"/>
        <v>-0.16826179244019102</v>
      </c>
      <c r="AN82" s="91">
        <f t="shared" si="26"/>
        <v>2.9514497607655503</v>
      </c>
      <c r="AO82" s="52"/>
      <c r="AR82" s="186"/>
      <c r="AS82" s="15"/>
      <c r="AW82" s="273"/>
    </row>
    <row r="83" spans="1:49" hidden="1" x14ac:dyDescent="0.2">
      <c r="A83" s="8">
        <v>40603</v>
      </c>
      <c r="C83" s="53"/>
      <c r="D83" s="118">
        <f>'Returns per Gal.'!C83</f>
        <v>2.434565217391305</v>
      </c>
      <c r="E83" s="119">
        <f>'Returns per Gal.'!D83</f>
        <v>195.22826086956522</v>
      </c>
      <c r="F83" s="119"/>
      <c r="G83" s="118">
        <f>'Returns per Gal.'!F83</f>
        <v>6.5423369565217415</v>
      </c>
      <c r="H83" s="118">
        <f>'Returns per Gal.'!G83</f>
        <v>6.18</v>
      </c>
      <c r="I83" s="126"/>
      <c r="J83" s="93"/>
      <c r="K83" s="93">
        <f>D83*'Economic Model'!C$30</f>
        <v>6.9385108695652198</v>
      </c>
      <c r="L83" s="93">
        <f>E83/2000*('Economic Model'!C$32+0.5)</f>
        <v>1.6496788043478259</v>
      </c>
      <c r="M83" s="319"/>
      <c r="N83" s="93">
        <f t="shared" si="18"/>
        <v>8.5881896739130461</v>
      </c>
      <c r="O83" s="93">
        <f t="shared" si="19"/>
        <v>6.8752085393675921</v>
      </c>
      <c r="P83" s="105"/>
      <c r="Q83" s="94"/>
      <c r="R83" s="93">
        <f>G83+(H83*'Economic Model'!C$30*'Economic Model'!C$34/1000)+('Economic Model'!K$63/100)</f>
        <v>7.6960169565217411</v>
      </c>
      <c r="S83" s="93">
        <f>R83+('Economic Model'!K$60/100)</f>
        <v>8.2553180910671955</v>
      </c>
      <c r="T83" s="121"/>
      <c r="U83" s="94"/>
      <c r="V83" s="93">
        <f t="shared" si="20"/>
        <v>0.89217271739130499</v>
      </c>
      <c r="W83" s="93">
        <f t="shared" si="21"/>
        <v>0.33287158284585061</v>
      </c>
      <c r="X83" s="105"/>
      <c r="Y83" s="120"/>
      <c r="Z83" s="147">
        <f>W83/('Economic Model'!H$14*(1-'Economic Model'!C$25/100))</f>
        <v>0.10136376790663464</v>
      </c>
      <c r="AA83" s="127"/>
      <c r="AB83" s="120"/>
      <c r="AC83" s="53"/>
      <c r="AD83" s="262">
        <v>1.1151515151515152</v>
      </c>
      <c r="AE83" s="93">
        <f t="shared" si="22"/>
        <v>2.5160303030303028</v>
      </c>
      <c r="AF83" s="17">
        <v>3.6311818181818181</v>
      </c>
      <c r="AG83" s="120"/>
      <c r="AH83" s="93">
        <f>AF83+(H83*'Economic Model'!C$30*'Economic Model'!C$34/1000)+('Economic Model'!K$63/100)</f>
        <v>4.7848618181818177</v>
      </c>
      <c r="AI83" s="93">
        <f>AH83+('Economic Model'!K$60/100)</f>
        <v>5.344162952727272</v>
      </c>
      <c r="AJ83" s="120"/>
      <c r="AK83" s="91">
        <f t="shared" si="23"/>
        <v>3.8033278557312284</v>
      </c>
      <c r="AL83" s="91">
        <f t="shared" si="24"/>
        <v>3.2440267211857741</v>
      </c>
      <c r="AM83" s="91">
        <f t="shared" si="25"/>
        <v>0.33287158284585061</v>
      </c>
      <c r="AN83" s="91">
        <f t="shared" si="26"/>
        <v>2.9111551383399235</v>
      </c>
      <c r="AO83" s="52"/>
      <c r="AR83" s="186"/>
      <c r="AS83" s="15"/>
      <c r="AW83" s="273"/>
    </row>
    <row r="84" spans="1:49" hidden="1" x14ac:dyDescent="0.2">
      <c r="A84" s="8">
        <v>40634</v>
      </c>
      <c r="C84" s="53"/>
      <c r="D84" s="118">
        <f>'Returns per Gal.'!C84</f>
        <v>2.5649999999999986</v>
      </c>
      <c r="E84" s="119">
        <f>'Returns per Gal.'!D84</f>
        <v>209.45</v>
      </c>
      <c r="F84" s="119"/>
      <c r="G84" s="118">
        <f>'Returns per Gal.'!F84</f>
        <v>7.2114000000000003</v>
      </c>
      <c r="H84" s="118">
        <f>'Returns per Gal.'!G84</f>
        <v>5.7</v>
      </c>
      <c r="I84" s="126"/>
      <c r="J84" s="93"/>
      <c r="K84" s="93">
        <f>D84*'Economic Model'!C$30</f>
        <v>7.3102499999999964</v>
      </c>
      <c r="L84" s="93">
        <f>E84/2000*('Economic Model'!C$32+0.5)</f>
        <v>1.7698524999999998</v>
      </c>
      <c r="M84" s="319"/>
      <c r="N84" s="93">
        <f t="shared" si="18"/>
        <v>9.0801024999999953</v>
      </c>
      <c r="O84" s="93">
        <f t="shared" si="19"/>
        <v>7.4081613654545402</v>
      </c>
      <c r="P84" s="105"/>
      <c r="Q84" s="94"/>
      <c r="R84" s="93">
        <f>G84+(H84*'Economic Model'!C$30*'Economic Model'!C$34/1000)+('Economic Model'!K$63/100)</f>
        <v>8.3240400000000001</v>
      </c>
      <c r="S84" s="93">
        <f>R84+('Economic Model'!K$60/100)</f>
        <v>8.8833411345454554</v>
      </c>
      <c r="T84" s="121"/>
      <c r="U84" s="94"/>
      <c r="V84" s="93">
        <f t="shared" si="20"/>
        <v>0.7560624999999952</v>
      </c>
      <c r="W84" s="93">
        <f t="shared" si="21"/>
        <v>0.19676136545453993</v>
      </c>
      <c r="X84" s="105"/>
      <c r="Y84" s="120"/>
      <c r="Z84" s="147">
        <f>W84/('Economic Model'!H$14*(1-'Economic Model'!C$25/100))</f>
        <v>5.99164194504479E-2</v>
      </c>
      <c r="AA84" s="127"/>
      <c r="AB84" s="120"/>
      <c r="AC84" s="53"/>
      <c r="AD84" s="262">
        <v>1.1151515151515152</v>
      </c>
      <c r="AE84" s="93">
        <f t="shared" si="22"/>
        <v>2.5160303030303028</v>
      </c>
      <c r="AF84" s="17">
        <v>3.6311818181818181</v>
      </c>
      <c r="AG84" s="120"/>
      <c r="AH84" s="93">
        <f>AF84+(H84*'Economic Model'!C$30*'Economic Model'!C$34/1000)+('Economic Model'!K$63/100)</f>
        <v>4.7438218181818179</v>
      </c>
      <c r="AI84" s="93">
        <f>AH84+('Economic Model'!K$60/100)</f>
        <v>5.3031229527272723</v>
      </c>
      <c r="AJ84" s="120"/>
      <c r="AK84" s="91">
        <f t="shared" si="23"/>
        <v>4.3362806818181774</v>
      </c>
      <c r="AL84" s="91">
        <f t="shared" si="24"/>
        <v>3.776979547272723</v>
      </c>
      <c r="AM84" s="91">
        <f t="shared" si="25"/>
        <v>0.19676136545453993</v>
      </c>
      <c r="AN84" s="91">
        <f t="shared" si="26"/>
        <v>3.5802181818181822</v>
      </c>
      <c r="AO84" s="52"/>
      <c r="AR84" s="186"/>
      <c r="AS84" s="15"/>
      <c r="AW84" s="273"/>
    </row>
    <row r="85" spans="1:49" hidden="1" x14ac:dyDescent="0.2">
      <c r="A85" s="8">
        <v>40664</v>
      </c>
      <c r="C85" s="53"/>
      <c r="D85" s="118">
        <f>'Returns per Gal.'!C85</f>
        <v>2.5459523809523801</v>
      </c>
      <c r="E85" s="119">
        <f>'Returns per Gal.'!D85</f>
        <v>197.3452380952381</v>
      </c>
      <c r="F85" s="119"/>
      <c r="G85" s="118">
        <f>'Returns per Gal.'!F85</f>
        <v>6.9776190476190454</v>
      </c>
      <c r="H85" s="118">
        <f>'Returns per Gal.'!G85</f>
        <v>5.47</v>
      </c>
      <c r="I85" s="126"/>
      <c r="J85" s="93"/>
      <c r="K85" s="93">
        <f>D85*'Economic Model'!C$30</f>
        <v>7.2559642857142839</v>
      </c>
      <c r="L85" s="93">
        <f>E85/2000*('Economic Model'!C$32+0.5)</f>
        <v>1.6675672619047619</v>
      </c>
      <c r="M85" s="319"/>
      <c r="N85" s="93">
        <f t="shared" si="18"/>
        <v>8.9235315476190458</v>
      </c>
      <c r="O85" s="93">
        <f t="shared" si="19"/>
        <v>7.2712554130735896</v>
      </c>
      <c r="P85" s="105"/>
      <c r="Q85" s="94"/>
      <c r="R85" s="93">
        <f>G85+(H85*'Economic Model'!C$30*'Economic Model'!C$34/1000)+('Economic Model'!K$63/100)</f>
        <v>8.0705940476190463</v>
      </c>
      <c r="S85" s="93">
        <f>R85+('Economic Model'!K$60/100)</f>
        <v>8.6298951821645016</v>
      </c>
      <c r="T85" s="121"/>
      <c r="U85" s="94"/>
      <c r="V85" s="93">
        <f t="shared" si="20"/>
        <v>0.85293749999999946</v>
      </c>
      <c r="W85" s="93">
        <f t="shared" si="21"/>
        <v>0.29363636545454419</v>
      </c>
      <c r="X85" s="105"/>
      <c r="Y85" s="120"/>
      <c r="Z85" s="147">
        <f>W85/('Economic Model'!H$14*(1-'Economic Model'!C$25/100))</f>
        <v>8.9416129014129778E-2</v>
      </c>
      <c r="AA85" s="127"/>
      <c r="AB85" s="120"/>
      <c r="AC85" s="53"/>
      <c r="AD85" s="262">
        <v>1.1151515151515152</v>
      </c>
      <c r="AE85" s="93">
        <f t="shared" si="22"/>
        <v>2.5160303030303028</v>
      </c>
      <c r="AF85" s="17">
        <v>3.6311818181818181</v>
      </c>
      <c r="AG85" s="120"/>
      <c r="AH85" s="93">
        <f>AF85+(H85*'Economic Model'!C$30*'Economic Model'!C$34/1000)+('Economic Model'!K$63/100)</f>
        <v>4.7241568181818181</v>
      </c>
      <c r="AI85" s="93">
        <f>AH85+('Economic Model'!K$60/100)</f>
        <v>5.2834579527272725</v>
      </c>
      <c r="AJ85" s="120"/>
      <c r="AK85" s="91">
        <f t="shared" si="23"/>
        <v>4.1993747294372277</v>
      </c>
      <c r="AL85" s="91">
        <f t="shared" si="24"/>
        <v>3.6400735948917733</v>
      </c>
      <c r="AM85" s="91">
        <f t="shared" si="25"/>
        <v>0.29363636545454419</v>
      </c>
      <c r="AN85" s="91">
        <f t="shared" si="26"/>
        <v>3.3464372294372273</v>
      </c>
      <c r="AO85" s="52"/>
      <c r="AR85" s="186"/>
      <c r="AS85" s="15"/>
      <c r="AW85" s="273"/>
    </row>
    <row r="86" spans="1:49" hidden="1" x14ac:dyDescent="0.2">
      <c r="A86" s="8">
        <v>40695</v>
      </c>
      <c r="C86" s="53"/>
      <c r="D86" s="118">
        <f>'Returns per Gal.'!C86</f>
        <v>2.6002272727272735</v>
      </c>
      <c r="E86" s="119">
        <f>'Returns per Gal.'!D86</f>
        <v>193.71590909090909</v>
      </c>
      <c r="F86" s="119"/>
      <c r="G86" s="118">
        <f>'Returns per Gal.'!F86</f>
        <v>7.1056534090909063</v>
      </c>
      <c r="H86" s="118">
        <f>'Returns per Gal.'!G86</f>
        <v>5.46</v>
      </c>
      <c r="I86" s="126"/>
      <c r="J86" s="93"/>
      <c r="K86" s="93">
        <f>D86*'Economic Model'!C$30</f>
        <v>7.41064772727273</v>
      </c>
      <c r="L86" s="93">
        <f>E86/2000*('Economic Model'!C$32+0.5)</f>
        <v>1.6368994318181818</v>
      </c>
      <c r="M86" s="319"/>
      <c r="N86" s="93">
        <f t="shared" si="18"/>
        <v>9.0475471590909109</v>
      </c>
      <c r="O86" s="93">
        <f t="shared" si="19"/>
        <v>7.3961260245454552</v>
      </c>
      <c r="P86" s="105"/>
      <c r="Q86" s="94"/>
      <c r="R86" s="93">
        <f>G86+(H86*'Economic Model'!C$30*'Economic Model'!C$34/1000)+('Economic Model'!K$63/100)</f>
        <v>8.1977734090909067</v>
      </c>
      <c r="S86" s="93">
        <f>R86+('Economic Model'!K$60/100)</f>
        <v>8.757074543636362</v>
      </c>
      <c r="T86" s="121"/>
      <c r="U86" s="94"/>
      <c r="V86" s="93">
        <f t="shared" si="20"/>
        <v>0.84977375000000421</v>
      </c>
      <c r="W86" s="93">
        <f t="shared" si="21"/>
        <v>0.29047261545454894</v>
      </c>
      <c r="X86" s="105"/>
      <c r="Y86" s="120"/>
      <c r="Z86" s="147">
        <f>W86/('Economic Model'!H$14*(1-'Economic Model'!C$25/100))</f>
        <v>8.8452725595993473E-2</v>
      </c>
      <c r="AA86" s="127"/>
      <c r="AB86" s="120"/>
      <c r="AC86" s="53"/>
      <c r="AD86" s="262">
        <v>1.1151515151515152</v>
      </c>
      <c r="AE86" s="93">
        <f t="shared" si="22"/>
        <v>2.5160303030303028</v>
      </c>
      <c r="AF86" s="17">
        <v>3.6311818181818181</v>
      </c>
      <c r="AG86" s="120"/>
      <c r="AH86" s="93">
        <f>AF86+(H86*'Economic Model'!C$30*'Economic Model'!C$34/1000)+('Economic Model'!K$63/100)</f>
        <v>4.7233018181818176</v>
      </c>
      <c r="AI86" s="93">
        <f>AH86+('Economic Model'!K$60/100)</f>
        <v>5.282602952727272</v>
      </c>
      <c r="AJ86" s="120"/>
      <c r="AK86" s="91">
        <f t="shared" si="23"/>
        <v>4.3242453409090933</v>
      </c>
      <c r="AL86" s="91">
        <f t="shared" si="24"/>
        <v>3.7649442063636389</v>
      </c>
      <c r="AM86" s="91">
        <f t="shared" si="25"/>
        <v>0.29047261545454894</v>
      </c>
      <c r="AN86" s="91">
        <f t="shared" si="26"/>
        <v>3.4744715909090882</v>
      </c>
      <c r="AO86" s="52"/>
      <c r="AR86" s="186"/>
      <c r="AS86" s="15"/>
      <c r="AW86" s="273"/>
    </row>
    <row r="87" spans="1:49" hidden="1" x14ac:dyDescent="0.2">
      <c r="A87" s="8">
        <v>40725</v>
      </c>
      <c r="C87" s="53"/>
      <c r="D87" s="118">
        <f>'Returns per Gal.'!C87</f>
        <v>2.7150000000000003</v>
      </c>
      <c r="E87" s="119">
        <f>'Returns per Gal.'!D87</f>
        <v>191.25</v>
      </c>
      <c r="F87" s="119"/>
      <c r="G87" s="118">
        <f>'Returns per Gal.'!F87</f>
        <v>6.802525000000001</v>
      </c>
      <c r="H87" s="118">
        <f>'Returns per Gal.'!G87</f>
        <v>5.63</v>
      </c>
      <c r="I87" s="126"/>
      <c r="J87" s="93"/>
      <c r="K87" s="93">
        <f>D87*'Economic Model'!C$30</f>
        <v>7.737750000000001</v>
      </c>
      <c r="L87" s="93">
        <f>E87/2000*('Economic Model'!C$32+0.5)</f>
        <v>1.6160625</v>
      </c>
      <c r="M87" s="319"/>
      <c r="N87" s="93">
        <f t="shared" si="18"/>
        <v>9.3538125000000001</v>
      </c>
      <c r="O87" s="93">
        <f t="shared" si="19"/>
        <v>7.6878563654545449</v>
      </c>
      <c r="P87" s="105"/>
      <c r="Q87" s="94"/>
      <c r="R87" s="93">
        <f>G87+(H87*'Economic Model'!C$30*'Economic Model'!C$34/1000)+('Economic Model'!K$63/100)</f>
        <v>7.909180000000001</v>
      </c>
      <c r="S87" s="93">
        <f>R87+('Economic Model'!K$60/100)</f>
        <v>8.4684811345454563</v>
      </c>
      <c r="T87" s="121"/>
      <c r="U87" s="94"/>
      <c r="V87" s="93">
        <f t="shared" si="20"/>
        <v>1.4446324999999991</v>
      </c>
      <c r="W87" s="93">
        <f t="shared" si="21"/>
        <v>0.88533136545454383</v>
      </c>
      <c r="X87" s="105"/>
      <c r="Y87" s="120"/>
      <c r="Z87" s="147">
        <f>W87/('Economic Model'!H$14*(1-'Economic Model'!C$25/100))</f>
        <v>0.26959502604929847</v>
      </c>
      <c r="AA87" s="127"/>
      <c r="AB87" s="120"/>
      <c r="AC87" s="53"/>
      <c r="AD87" s="262">
        <v>1.1151515151515152</v>
      </c>
      <c r="AE87" s="93">
        <f t="shared" si="22"/>
        <v>2.5160303030303028</v>
      </c>
      <c r="AF87" s="17">
        <v>3.6311818181818181</v>
      </c>
      <c r="AG87" s="120"/>
      <c r="AH87" s="93">
        <f>AF87+(H87*'Economic Model'!C$30*'Economic Model'!C$34/1000)+('Economic Model'!K$63/100)</f>
        <v>4.737836818181818</v>
      </c>
      <c r="AI87" s="93">
        <f>AH87+('Economic Model'!K$60/100)</f>
        <v>5.2971379527272724</v>
      </c>
      <c r="AJ87" s="120"/>
      <c r="AK87" s="91">
        <f t="shared" si="23"/>
        <v>4.6159756818181821</v>
      </c>
      <c r="AL87" s="91">
        <f t="shared" si="24"/>
        <v>4.0566745472727277</v>
      </c>
      <c r="AM87" s="91">
        <f t="shared" si="25"/>
        <v>0.88533136545454383</v>
      </c>
      <c r="AN87" s="91">
        <f t="shared" si="26"/>
        <v>3.171343181818183</v>
      </c>
      <c r="AO87" s="52"/>
      <c r="AR87" s="186"/>
      <c r="AS87" s="15"/>
      <c r="AW87" s="273"/>
    </row>
    <row r="88" spans="1:49" s="27" customFormat="1" hidden="1" x14ac:dyDescent="0.2">
      <c r="A88" s="182">
        <v>40756</v>
      </c>
      <c r="C88" s="53"/>
      <c r="D88" s="118">
        <f>'Returns per Gal.'!C88</f>
        <v>2.8304347826086973</v>
      </c>
      <c r="E88" s="119">
        <f>'Returns per Gal.'!D88</f>
        <v>192.17391304347825</v>
      </c>
      <c r="F88" s="119"/>
      <c r="G88" s="118">
        <f>'Returns per Gal.'!F88</f>
        <v>7.1408967391304348</v>
      </c>
      <c r="H88" s="118">
        <f>'Returns per Gal.'!G88</f>
        <v>5.44</v>
      </c>
      <c r="I88" s="126"/>
      <c r="J88" s="93"/>
      <c r="K88" s="93">
        <f>D88*'Economic Model'!C$30</f>
        <v>8.0667391304347884</v>
      </c>
      <c r="L88" s="93">
        <f>E88/2000*('Economic Model'!C$32+0.5)</f>
        <v>1.6238695652173911</v>
      </c>
      <c r="M88" s="319"/>
      <c r="N88" s="93">
        <f t="shared" si="18"/>
        <v>9.6906086956521804</v>
      </c>
      <c r="O88" s="93">
        <f t="shared" si="19"/>
        <v>8.0408975611067248</v>
      </c>
      <c r="P88" s="105"/>
      <c r="Q88" s="94"/>
      <c r="R88" s="93">
        <f>G88+(H88*'Economic Model'!C$30*'Economic Model'!C$34/1000)+('Economic Model'!K$63/100)</f>
        <v>8.2313067391304351</v>
      </c>
      <c r="S88" s="93">
        <f>R88+('Economic Model'!K$60/100)</f>
        <v>8.7906078736758904</v>
      </c>
      <c r="T88" s="121"/>
      <c r="U88" s="94"/>
      <c r="V88" s="93">
        <f t="shared" si="20"/>
        <v>1.4593019565217453</v>
      </c>
      <c r="W88" s="93">
        <f t="shared" si="21"/>
        <v>0.90000082197629006</v>
      </c>
      <c r="X88" s="105"/>
      <c r="Y88" s="120"/>
      <c r="Z88" s="147">
        <f>W88/('Economic Model'!H$14*(1-'Economic Model'!C$25/100))</f>
        <v>0.27406206818450934</v>
      </c>
      <c r="AA88" s="127"/>
      <c r="AB88" s="120"/>
      <c r="AC88" s="53"/>
      <c r="AD88" s="262">
        <v>1.1151515151515152</v>
      </c>
      <c r="AE88" s="93">
        <f t="shared" si="22"/>
        <v>2.5160303030303028</v>
      </c>
      <c r="AF88" s="17">
        <v>3.6311818181818181</v>
      </c>
      <c r="AG88" s="120"/>
      <c r="AH88" s="93">
        <f>AF88+(H88*'Economic Model'!C$30*'Economic Model'!C$34/1000)+('Economic Model'!K$63/100)</f>
        <v>4.7215918181818175</v>
      </c>
      <c r="AI88" s="93">
        <f>AH88+('Economic Model'!K$60/100)</f>
        <v>5.2808929527272719</v>
      </c>
      <c r="AJ88" s="120"/>
      <c r="AK88" s="91">
        <f t="shared" si="23"/>
        <v>4.9690168774703629</v>
      </c>
      <c r="AL88" s="91">
        <f t="shared" si="24"/>
        <v>4.4097157429249085</v>
      </c>
      <c r="AM88" s="91">
        <f t="shared" si="25"/>
        <v>0.90000082197629006</v>
      </c>
      <c r="AN88" s="91">
        <f t="shared" si="26"/>
        <v>3.5097149209486167</v>
      </c>
      <c r="AO88" s="52"/>
      <c r="AR88" s="186"/>
      <c r="AS88" s="15"/>
      <c r="AW88" s="273"/>
    </row>
    <row r="89" spans="1:49" hidden="1" x14ac:dyDescent="0.2">
      <c r="A89" s="8">
        <v>40787</v>
      </c>
      <c r="C89" s="53"/>
      <c r="D89" s="118">
        <f>'Returns per Gal.'!C89</f>
        <v>2.7459523809523807</v>
      </c>
      <c r="E89" s="119">
        <f>'Returns per Gal.'!D89</f>
        <v>198.02500000000001</v>
      </c>
      <c r="F89" s="119"/>
      <c r="G89" s="118">
        <f>'Returns per Gal.'!F89</f>
        <v>6.7983750000000001</v>
      </c>
      <c r="H89" s="118">
        <f>'Returns per Gal.'!G89</f>
        <v>5.43</v>
      </c>
      <c r="I89" s="126"/>
      <c r="J89" s="27"/>
      <c r="K89" s="93">
        <f>D89*'Economic Model'!C$30</f>
        <v>7.825964285714285</v>
      </c>
      <c r="L89" s="93">
        <f>E89/2000*('Economic Model'!C$32+0.5)</f>
        <v>1.6733112499999998</v>
      </c>
      <c r="M89" s="319"/>
      <c r="N89" s="93">
        <f t="shared" si="18"/>
        <v>9.4992755357142844</v>
      </c>
      <c r="O89" s="93">
        <f t="shared" si="19"/>
        <v>7.8504194011688302</v>
      </c>
      <c r="P89" s="105"/>
      <c r="Q89" s="94"/>
      <c r="R89" s="93">
        <f>G89+(H89*'Economic Model'!C$30*'Economic Model'!C$34/1000)+('Economic Model'!K$63/100)</f>
        <v>7.8879299999999999</v>
      </c>
      <c r="S89" s="93">
        <f>R89+('Economic Model'!K$60/100)</f>
        <v>8.4472311345454543</v>
      </c>
      <c r="T89" s="121"/>
      <c r="U89" s="94"/>
      <c r="V89" s="93">
        <f t="shared" si="20"/>
        <v>1.6113455357142845</v>
      </c>
      <c r="W89" s="93">
        <f t="shared" si="21"/>
        <v>1.0520444011688301</v>
      </c>
      <c r="X89" s="105"/>
      <c r="Y89" s="120"/>
      <c r="Z89" s="147">
        <f>W89/('Economic Model'!H$14*(1-'Economic Model'!C$25/100))</f>
        <v>0.32036133452982446</v>
      </c>
      <c r="AA89" s="52"/>
      <c r="AB89" s="27"/>
      <c r="AC89" s="53"/>
      <c r="AD89" s="262">
        <v>1.2441860465116279</v>
      </c>
      <c r="AE89" s="93">
        <f t="shared" si="22"/>
        <v>2.7804360465116278</v>
      </c>
      <c r="AF89" s="17">
        <v>4.0246220930232557</v>
      </c>
      <c r="AG89" s="27"/>
      <c r="AH89" s="93">
        <f>AF89+(H89*'Economic Model'!C$30*'Economic Model'!C$34/1000)+('Economic Model'!K$63/100)</f>
        <v>5.1141770930232555</v>
      </c>
      <c r="AI89" s="93">
        <f>AH89+('Economic Model'!K$60/100)</f>
        <v>5.6734782275687099</v>
      </c>
      <c r="AJ89" s="120"/>
      <c r="AK89" s="91">
        <f t="shared" si="23"/>
        <v>4.3850984426910289</v>
      </c>
      <c r="AL89" s="91">
        <f t="shared" si="24"/>
        <v>3.8257973081455745</v>
      </c>
      <c r="AM89" s="91">
        <f t="shared" si="25"/>
        <v>1.0520444011688301</v>
      </c>
      <c r="AN89" s="91">
        <f t="shared" si="26"/>
        <v>2.7737529069767444</v>
      </c>
      <c r="AO89" s="52"/>
      <c r="AR89" s="186"/>
      <c r="AS89" s="15"/>
      <c r="AW89" s="273"/>
    </row>
    <row r="90" spans="1:49" hidden="1" x14ac:dyDescent="0.2">
      <c r="A90" s="8">
        <v>40817</v>
      </c>
      <c r="C90" s="53"/>
      <c r="D90" s="118">
        <f>'Returns per Gal.'!C90</f>
        <v>2.5959523809523826</v>
      </c>
      <c r="E90" s="119">
        <f>'Returns per Gal.'!D90</f>
        <v>197.95238095238096</v>
      </c>
      <c r="F90" s="119"/>
      <c r="G90" s="118">
        <f>'Returns per Gal.'!F90</f>
        <v>6.1482619047619025</v>
      </c>
      <c r="H90" s="118">
        <f>'Returns per Gal.'!G90</f>
        <v>5.2</v>
      </c>
      <c r="I90" s="126"/>
      <c r="J90" s="27"/>
      <c r="K90" s="93">
        <f>D90*'Economic Model'!C$30</f>
        <v>7.3984642857142902</v>
      </c>
      <c r="L90" s="93">
        <f>E90/2000*('Economic Model'!C$32+0.5)</f>
        <v>1.672697619047619</v>
      </c>
      <c r="M90" s="319"/>
      <c r="N90" s="93">
        <f t="shared" si="18"/>
        <v>9.0711619047619099</v>
      </c>
      <c r="O90" s="93">
        <f t="shared" si="19"/>
        <v>7.4419707702164555</v>
      </c>
      <c r="P90" s="105"/>
      <c r="Q90" s="94"/>
      <c r="R90" s="93">
        <f>G90+(H90*'Economic Model'!C$30*'Economic Model'!C$34/1000)+('Economic Model'!K$63/100)</f>
        <v>7.2181519047619025</v>
      </c>
      <c r="S90" s="93">
        <f>R90+('Economic Model'!K$60/100)</f>
        <v>7.7774530393073569</v>
      </c>
      <c r="T90" s="121"/>
      <c r="U90" s="94"/>
      <c r="V90" s="93">
        <f t="shared" si="20"/>
        <v>1.8530100000000074</v>
      </c>
      <c r="W90" s="93">
        <f t="shared" si="21"/>
        <v>1.293708865454553</v>
      </c>
      <c r="X90" s="105"/>
      <c r="Y90" s="120"/>
      <c r="Z90" s="147">
        <f>W90/('Economic Model'!H$14*(1-'Economic Model'!C$25/100))</f>
        <v>0.39395133719605702</v>
      </c>
      <c r="AA90" s="127"/>
      <c r="AB90" s="120"/>
      <c r="AC90" s="125"/>
      <c r="AD90" s="262">
        <v>1.2441860465116279</v>
      </c>
      <c r="AE90" s="93">
        <f t="shared" si="22"/>
        <v>2.7804360465116278</v>
      </c>
      <c r="AF90" s="17">
        <v>4.0246220930232557</v>
      </c>
      <c r="AG90" s="120"/>
      <c r="AH90" s="93">
        <f>AF90+(H90*'Economic Model'!C$30*'Economic Model'!C$34/1000)+('Economic Model'!K$63/100)</f>
        <v>5.0945120930232557</v>
      </c>
      <c r="AI90" s="93">
        <f>AH90+('Economic Model'!K$60/100)</f>
        <v>5.6538132275687101</v>
      </c>
      <c r="AJ90" s="120"/>
      <c r="AK90" s="91">
        <f t="shared" si="23"/>
        <v>3.9766498117386542</v>
      </c>
      <c r="AL90" s="91">
        <f t="shared" si="24"/>
        <v>3.4173486771931998</v>
      </c>
      <c r="AM90" s="91">
        <f t="shared" si="25"/>
        <v>1.293708865454553</v>
      </c>
      <c r="AN90" s="91">
        <f t="shared" si="26"/>
        <v>2.1236398117386468</v>
      </c>
      <c r="AO90" s="52"/>
      <c r="AR90" s="186"/>
      <c r="AS90" s="15"/>
      <c r="AW90" s="273"/>
    </row>
    <row r="91" spans="1:49" hidden="1" x14ac:dyDescent="0.2">
      <c r="A91" s="8">
        <v>40848</v>
      </c>
      <c r="C91" s="53"/>
      <c r="D91" s="118">
        <f>'Returns per Gal.'!C91</f>
        <v>2.8220454545454561</v>
      </c>
      <c r="E91" s="119">
        <f>'Returns per Gal.'!D91</f>
        <v>214.57142857142858</v>
      </c>
      <c r="F91" s="119"/>
      <c r="G91" s="118">
        <f>'Returns per Gal.'!F91</f>
        <v>6.1357738095238101</v>
      </c>
      <c r="H91" s="118">
        <f>'Returns per Gal.'!G91</f>
        <v>5.75</v>
      </c>
      <c r="I91" s="126"/>
      <c r="J91" s="27"/>
      <c r="K91" s="93">
        <f>D91*'Economic Model'!C$30</f>
        <v>8.0428295454545502</v>
      </c>
      <c r="L91" s="93">
        <f>E91/2000*('Economic Model'!C$32+0.5)</f>
        <v>1.8131285714285714</v>
      </c>
      <c r="M91" s="319"/>
      <c r="N91" s="93">
        <f t="shared" si="18"/>
        <v>9.8559581168831212</v>
      </c>
      <c r="O91" s="93">
        <f t="shared" si="19"/>
        <v>8.1797419823376671</v>
      </c>
      <c r="P91" s="105"/>
      <c r="Q91" s="94"/>
      <c r="R91" s="93">
        <f>G91+(H91*'Economic Model'!C$30*'Economic Model'!C$34/1000)+('Economic Model'!K$63/100)</f>
        <v>7.2526888095238098</v>
      </c>
      <c r="S91" s="93">
        <f>R91+('Economic Model'!K$60/100)</f>
        <v>7.8119899440692642</v>
      </c>
      <c r="T91" s="121"/>
      <c r="U91" s="94"/>
      <c r="V91" s="93">
        <f t="shared" si="20"/>
        <v>2.6032693073593114</v>
      </c>
      <c r="W91" s="93">
        <f t="shared" si="21"/>
        <v>2.043968172813857</v>
      </c>
      <c r="X91" s="105"/>
      <c r="Y91" s="120"/>
      <c r="Z91" s="147">
        <f>W91/('Economic Model'!H$14*(1-'Economic Model'!C$25/100))</f>
        <v>0.62241514792687125</v>
      </c>
      <c r="AA91" s="127"/>
      <c r="AB91" s="120"/>
      <c r="AC91" s="53"/>
      <c r="AD91" s="262">
        <v>1.2441860465116279</v>
      </c>
      <c r="AE91" s="93">
        <f t="shared" si="22"/>
        <v>2.7804360465116278</v>
      </c>
      <c r="AF91" s="17">
        <v>4.0246220930232557</v>
      </c>
      <c r="AG91" s="120"/>
      <c r="AH91" s="93">
        <f>AF91+(H91*'Economic Model'!C$30*'Economic Model'!C$34/1000)+('Economic Model'!K$63/100)</f>
        <v>5.1415370930232553</v>
      </c>
      <c r="AI91" s="93">
        <f>AH91+('Economic Model'!K$60/100)</f>
        <v>5.7008382275687097</v>
      </c>
      <c r="AJ91" s="120"/>
      <c r="AK91" s="91">
        <f t="shared" si="23"/>
        <v>4.7144210238598658</v>
      </c>
      <c r="AL91" s="91">
        <f t="shared" si="24"/>
        <v>4.1551198893144115</v>
      </c>
      <c r="AM91" s="91">
        <f t="shared" si="25"/>
        <v>2.043968172813857</v>
      </c>
      <c r="AN91" s="91">
        <f t="shared" si="26"/>
        <v>2.1111517165005544</v>
      </c>
      <c r="AO91" s="52"/>
      <c r="AR91" s="186"/>
      <c r="AS91" s="15"/>
      <c r="AW91" s="273"/>
    </row>
    <row r="92" spans="1:49" hidden="1" x14ac:dyDescent="0.2">
      <c r="A92" s="68">
        <v>40878</v>
      </c>
      <c r="B92" s="29"/>
      <c r="C92" s="56"/>
      <c r="D92" s="128">
        <f>'Returns per Gal.'!C92</f>
        <v>2.3129545454545455</v>
      </c>
      <c r="E92" s="129">
        <f>'Returns per Gal.'!D92</f>
        <v>190.04761904761904</v>
      </c>
      <c r="F92" s="129"/>
      <c r="G92" s="128">
        <f>'Returns per Gal.'!F92</f>
        <v>5.8892857142857151</v>
      </c>
      <c r="H92" s="128">
        <f>'Returns per Gal.'!G92</f>
        <v>5.49</v>
      </c>
      <c r="I92" s="135"/>
      <c r="J92" s="29"/>
      <c r="K92" s="97">
        <f>D92*'Economic Model'!C$30</f>
        <v>6.5919204545454546</v>
      </c>
      <c r="L92" s="97">
        <f>E92/2000*('Economic Model'!C$32+0.5)</f>
        <v>1.6059023809523809</v>
      </c>
      <c r="M92" s="320"/>
      <c r="N92" s="97">
        <f t="shared" si="18"/>
        <v>8.1978228354978349</v>
      </c>
      <c r="O92" s="97">
        <f t="shared" si="19"/>
        <v>6.5438367009523803</v>
      </c>
      <c r="P92" s="107"/>
      <c r="Q92" s="98"/>
      <c r="R92" s="97">
        <f>G92+(H92*'Economic Model'!C$30*'Economic Model'!C$34/1000)+('Economic Model'!K$63/100)</f>
        <v>6.9839707142857153</v>
      </c>
      <c r="S92" s="97">
        <f>R92+('Economic Model'!K$60/100)</f>
        <v>7.5432718488311696</v>
      </c>
      <c r="T92" s="131"/>
      <c r="U92" s="98"/>
      <c r="V92" s="97">
        <f t="shared" si="20"/>
        <v>1.2138521212121196</v>
      </c>
      <c r="W92" s="97">
        <f t="shared" si="21"/>
        <v>0.65455098666666522</v>
      </c>
      <c r="X92" s="107"/>
      <c r="Y92" s="130"/>
      <c r="Z92" s="148">
        <f>W92/('Economic Model'!H$14*(1-'Economic Model'!C$25/100))</f>
        <v>0.19931937033586769</v>
      </c>
      <c r="AA92" s="136"/>
      <c r="AB92" s="130"/>
      <c r="AC92" s="56"/>
      <c r="AD92" s="263">
        <v>1.2441860465116279</v>
      </c>
      <c r="AE92" s="97">
        <f t="shared" si="22"/>
        <v>2.7804360465116278</v>
      </c>
      <c r="AF92" s="65">
        <v>4.0246220930232557</v>
      </c>
      <c r="AG92" s="130"/>
      <c r="AH92" s="97">
        <f>AF92+(H92*'Economic Model'!C$30*'Economic Model'!C$34/1000)+('Economic Model'!K$63/100)</f>
        <v>5.1193070930232558</v>
      </c>
      <c r="AI92" s="97">
        <f>AH92+('Economic Model'!K$60/100)</f>
        <v>5.6786082275687102</v>
      </c>
      <c r="AJ92" s="130"/>
      <c r="AK92" s="92">
        <f t="shared" si="23"/>
        <v>3.078515742474579</v>
      </c>
      <c r="AL92" s="92">
        <f t="shared" si="24"/>
        <v>2.5192146079291247</v>
      </c>
      <c r="AM92" s="92">
        <f t="shared" si="25"/>
        <v>0.65455098666666522</v>
      </c>
      <c r="AN92" s="92">
        <f t="shared" si="26"/>
        <v>1.8646636212624594</v>
      </c>
      <c r="AO92" s="64"/>
      <c r="AR92" s="186"/>
      <c r="AS92" s="15"/>
      <c r="AW92" s="273"/>
    </row>
    <row r="93" spans="1:49" hidden="1" x14ac:dyDescent="0.2">
      <c r="A93" s="21">
        <v>40909</v>
      </c>
      <c r="C93" s="53"/>
      <c r="D93" s="118">
        <f>'Returns per Gal.'!C93</f>
        <v>2.1313636363636368</v>
      </c>
      <c r="E93" s="119">
        <f>'Returns per Gal.'!D93</f>
        <v>186.75624999999999</v>
      </c>
      <c r="F93" s="119"/>
      <c r="G93" s="118">
        <f>'Returns per Gal.'!F93</f>
        <v>6.1923125000000008</v>
      </c>
      <c r="H93" s="118">
        <f>'Returns per Gal.'!G93</f>
        <v>5.49</v>
      </c>
      <c r="I93" s="126"/>
      <c r="J93" s="27"/>
      <c r="K93" s="93">
        <f>D93*'Economic Model'!C$30</f>
        <v>6.0743863636363651</v>
      </c>
      <c r="L93" s="93">
        <f>E93/2000*('Economic Model'!C$32+0.5)</f>
        <v>1.5780903124999996</v>
      </c>
      <c r="M93" s="319"/>
      <c r="N93" s="93">
        <f t="shared" si="18"/>
        <v>7.6524766761363647</v>
      </c>
      <c r="O93" s="93">
        <f t="shared" si="19"/>
        <v>5.9984905415909102</v>
      </c>
      <c r="P93" s="105"/>
      <c r="Q93" s="94"/>
      <c r="R93" s="93">
        <f>G93+(H93*'Economic Model'!C$30*'Economic Model'!C$34/1000)+('Economic Model'!K$63/100)</f>
        <v>7.2869975000000009</v>
      </c>
      <c r="S93" s="93">
        <f>R93+('Economic Model'!K$60/100)</f>
        <v>7.8462986345454553</v>
      </c>
      <c r="T93" s="121"/>
      <c r="U93" s="94"/>
      <c r="V93" s="93">
        <f t="shared" si="20"/>
        <v>0.36547917613636383</v>
      </c>
      <c r="W93" s="93">
        <f t="shared" si="21"/>
        <v>-0.19382195840909056</v>
      </c>
      <c r="X93" s="105"/>
      <c r="Y93" s="120"/>
      <c r="Z93" s="147">
        <f>W93/('Economic Model'!H$14*(1-'Economic Model'!C$25/100))</f>
        <v>-5.9021331407813654E-2</v>
      </c>
      <c r="AA93" s="127"/>
      <c r="AB93" s="120"/>
      <c r="AC93" s="53"/>
      <c r="AD93" s="262">
        <v>1.2441860465116279</v>
      </c>
      <c r="AE93" s="93">
        <f t="shared" si="22"/>
        <v>2.7804360465116278</v>
      </c>
      <c r="AF93" s="17">
        <v>4.0246220930232557</v>
      </c>
      <c r="AG93" s="120"/>
      <c r="AH93" s="93">
        <f>AF93+(H93*'Economic Model'!C$30*'Economic Model'!C$34/1000)+('Economic Model'!K$63/100)</f>
        <v>5.1193070930232558</v>
      </c>
      <c r="AI93" s="93">
        <f>AH93+('Economic Model'!K$60/100)</f>
        <v>5.6786082275687102</v>
      </c>
      <c r="AJ93" s="120"/>
      <c r="AK93" s="91">
        <f t="shared" si="23"/>
        <v>2.5331695831131089</v>
      </c>
      <c r="AL93" s="91">
        <f t="shared" si="24"/>
        <v>1.9738684485676545</v>
      </c>
      <c r="AM93" s="91">
        <f t="shared" si="25"/>
        <v>-0.19382195840909056</v>
      </c>
      <c r="AN93" s="91">
        <f t="shared" si="26"/>
        <v>2.1676904069767451</v>
      </c>
      <c r="AO93" s="52"/>
      <c r="AR93" s="186"/>
      <c r="AS93" s="15"/>
      <c r="AW93" s="273"/>
    </row>
    <row r="94" spans="1:49" hidden="1" x14ac:dyDescent="0.2">
      <c r="A94" s="8">
        <v>40940</v>
      </c>
      <c r="C94" s="53"/>
      <c r="D94" s="118">
        <f>'Returns per Gal.'!C94</f>
        <v>2.0895238095238104</v>
      </c>
      <c r="E94" s="119">
        <f>'Returns per Gal.'!D94</f>
        <v>194.61250000000001</v>
      </c>
      <c r="F94" s="119"/>
      <c r="G94" s="118">
        <f>'Returns per Gal.'!F94</f>
        <v>6.3003625000000012</v>
      </c>
      <c r="H94" s="118">
        <f>'Returns per Gal.'!G94</f>
        <v>5.24</v>
      </c>
      <c r="I94" s="126"/>
      <c r="J94" s="27"/>
      <c r="K94" s="93">
        <f>D94*'Economic Model'!C$30</f>
        <v>5.9551428571428602</v>
      </c>
      <c r="L94" s="93">
        <f>E94/2000*('Economic Model'!C$32+0.5)</f>
        <v>1.6444756250000001</v>
      </c>
      <c r="M94" s="319"/>
      <c r="N94" s="93">
        <f t="shared" si="18"/>
        <v>7.5996184821428603</v>
      </c>
      <c r="O94" s="93">
        <f t="shared" si="19"/>
        <v>5.9670073475974066</v>
      </c>
      <c r="P94" s="105"/>
      <c r="Q94" s="94"/>
      <c r="R94" s="93">
        <f>G94+(H94*'Economic Model'!C$30*'Economic Model'!C$34/1000)+('Economic Model'!K$63/100)</f>
        <v>7.3736725000000005</v>
      </c>
      <c r="S94" s="93">
        <f>R94+('Economic Model'!K$60/100)</f>
        <v>7.9329736345454549</v>
      </c>
      <c r="T94" s="121"/>
      <c r="U94" s="94"/>
      <c r="V94" s="93">
        <f t="shared" si="20"/>
        <v>0.22594598214285977</v>
      </c>
      <c r="W94" s="93">
        <f t="shared" si="21"/>
        <v>-0.33335515240259461</v>
      </c>
      <c r="X94" s="105"/>
      <c r="Y94" s="120"/>
      <c r="Z94" s="147">
        <f>W94/('Economic Model'!H$14*(1-'Economic Model'!C$25/100))</f>
        <v>-0.10151102118640533</v>
      </c>
      <c r="AA94" s="127"/>
      <c r="AB94" s="120"/>
      <c r="AC94" s="53"/>
      <c r="AD94" s="262">
        <v>1.2441860465116279</v>
      </c>
      <c r="AE94" s="93">
        <f t="shared" si="22"/>
        <v>2.7804360465116278</v>
      </c>
      <c r="AF94" s="17">
        <v>4.0246220930232557</v>
      </c>
      <c r="AG94" s="120"/>
      <c r="AH94" s="93">
        <f>AF94+(H94*'Economic Model'!C$30*'Economic Model'!C$34/1000)+('Economic Model'!K$63/100)</f>
        <v>5.097932093023255</v>
      </c>
      <c r="AI94" s="93">
        <f>AH94+('Economic Model'!K$60/100)</f>
        <v>5.6572332275687094</v>
      </c>
      <c r="AJ94" s="120"/>
      <c r="AK94" s="91">
        <f t="shared" si="23"/>
        <v>2.5016863891196053</v>
      </c>
      <c r="AL94" s="91">
        <f t="shared" si="24"/>
        <v>1.9423852545741509</v>
      </c>
      <c r="AM94" s="91">
        <f t="shared" si="25"/>
        <v>-0.33335515240259461</v>
      </c>
      <c r="AN94" s="91">
        <f t="shared" si="26"/>
        <v>2.2757404069767455</v>
      </c>
      <c r="AO94" s="52"/>
      <c r="AR94" s="186"/>
      <c r="AS94" s="15"/>
      <c r="AW94" s="273"/>
    </row>
    <row r="95" spans="1:49" hidden="1" x14ac:dyDescent="0.2">
      <c r="A95" s="8">
        <v>40969</v>
      </c>
      <c r="C95" s="53"/>
      <c r="D95" s="118">
        <f>'Returns per Gal.'!C95</f>
        <v>2.1806818181818177</v>
      </c>
      <c r="E95" s="119">
        <f>'Returns per Gal.'!D95</f>
        <v>203.38068181818181</v>
      </c>
      <c r="F95" s="119"/>
      <c r="G95" s="118">
        <f>'Returns per Gal.'!F95</f>
        <v>6.3997727272727269</v>
      </c>
      <c r="H95" s="118">
        <f>'Returns per Gal.'!G95</f>
        <v>5.26</v>
      </c>
      <c r="I95" s="126"/>
      <c r="J95" s="27"/>
      <c r="K95" s="93">
        <f>D95*'Economic Model'!C$30</f>
        <v>6.2149431818181808</v>
      </c>
      <c r="L95" s="93">
        <f>E95/2000*('Economic Model'!C$32+0.5)</f>
        <v>1.7185667613636362</v>
      </c>
      <c r="M95" s="319"/>
      <c r="N95" s="93">
        <f t="shared" si="18"/>
        <v>7.933509943181817</v>
      </c>
      <c r="O95" s="93">
        <f t="shared" si="19"/>
        <v>6.2991888086363623</v>
      </c>
      <c r="P95" s="105"/>
      <c r="Q95" s="94"/>
      <c r="R95" s="93">
        <f>G95+(H95*'Economic Model'!C$30*'Economic Model'!C$34/1000)+('Economic Model'!K$63/100)</f>
        <v>7.4747927272727264</v>
      </c>
      <c r="S95" s="93">
        <f>R95+('Economic Model'!K$60/100)</f>
        <v>8.0340938618181816</v>
      </c>
      <c r="T95" s="121"/>
      <c r="U95" s="94"/>
      <c r="V95" s="93">
        <f t="shared" si="20"/>
        <v>0.45871721590909065</v>
      </c>
      <c r="W95" s="93">
        <f t="shared" si="21"/>
        <v>-0.10058391863636462</v>
      </c>
      <c r="X95" s="105"/>
      <c r="Y95" s="120"/>
      <c r="Z95" s="147">
        <f>W95/('Economic Model'!H$14*(1-'Economic Model'!C$25/100))</f>
        <v>-3.0629123990189775E-2</v>
      </c>
      <c r="AA95" s="127"/>
      <c r="AB95" s="120"/>
      <c r="AC95" s="53"/>
      <c r="AD95" s="262">
        <v>1.2441860465116279</v>
      </c>
      <c r="AE95" s="93">
        <f t="shared" si="22"/>
        <v>2.7804360465116278</v>
      </c>
      <c r="AF95" s="17">
        <v>4.0246220930232557</v>
      </c>
      <c r="AG95" s="120"/>
      <c r="AH95" s="93">
        <f>AF95+(H95*'Economic Model'!C$30*'Economic Model'!C$34/1000)+('Economic Model'!K$63/100)</f>
        <v>5.0996420930232551</v>
      </c>
      <c r="AI95" s="93">
        <f>AH95+('Economic Model'!K$60/100)</f>
        <v>5.6589432275687095</v>
      </c>
      <c r="AJ95" s="120"/>
      <c r="AK95" s="91">
        <f t="shared" si="23"/>
        <v>2.8338678501585619</v>
      </c>
      <c r="AL95" s="91">
        <f t="shared" si="24"/>
        <v>2.2745667156131075</v>
      </c>
      <c r="AM95" s="91">
        <f t="shared" si="25"/>
        <v>-0.10058391863636462</v>
      </c>
      <c r="AN95" s="91">
        <f t="shared" si="26"/>
        <v>2.3751506342494713</v>
      </c>
      <c r="AO95" s="52"/>
      <c r="AR95" s="186"/>
      <c r="AS95" s="15"/>
      <c r="AW95" s="273"/>
    </row>
    <row r="96" spans="1:49" hidden="1" x14ac:dyDescent="0.2">
      <c r="A96" s="8">
        <v>41000</v>
      </c>
      <c r="C96" s="53"/>
      <c r="D96" s="118">
        <f>'Returns per Gal.'!C96</f>
        <v>2.1514285714285726</v>
      </c>
      <c r="E96" s="119">
        <f>'Returns per Gal.'!D96</f>
        <v>208.34375</v>
      </c>
      <c r="F96" s="119"/>
      <c r="G96" s="118">
        <f>'Returns per Gal.'!F96</f>
        <v>6.2756249999999989</v>
      </c>
      <c r="H96" s="118">
        <f>'Returns per Gal.'!G96</f>
        <v>3.7</v>
      </c>
      <c r="I96" s="126"/>
      <c r="J96" s="27"/>
      <c r="K96" s="93">
        <f>D96*'Economic Model'!C$30</f>
        <v>6.1315714285714318</v>
      </c>
      <c r="L96" s="93">
        <f>E96/2000*('Economic Model'!C$32+0.5)</f>
        <v>1.7605046874999999</v>
      </c>
      <c r="M96" s="319"/>
      <c r="N96" s="93">
        <f t="shared" si="18"/>
        <v>7.8920761160714319</v>
      </c>
      <c r="O96" s="93">
        <f t="shared" si="19"/>
        <v>6.3911349815259779</v>
      </c>
      <c r="P96" s="105"/>
      <c r="Q96" s="94"/>
      <c r="R96" s="93">
        <f>G96+(H96*'Economic Model'!C$30*'Economic Model'!C$34/1000)+('Economic Model'!K$63/100)</f>
        <v>7.2172649999999985</v>
      </c>
      <c r="S96" s="93">
        <f>R96+('Economic Model'!K$60/100)</f>
        <v>7.7765661345454529</v>
      </c>
      <c r="T96" s="121"/>
      <c r="U96" s="94"/>
      <c r="V96" s="93">
        <f t="shared" si="20"/>
        <v>0.6748111160714334</v>
      </c>
      <c r="W96" s="93">
        <f t="shared" si="21"/>
        <v>0.11550998152597902</v>
      </c>
      <c r="X96" s="105"/>
      <c r="Y96" s="120"/>
      <c r="Z96" s="147">
        <f>W96/('Economic Model'!H$14*(1-'Economic Model'!C$25/100))</f>
        <v>3.5174306133909573E-2</v>
      </c>
      <c r="AA96" s="127"/>
      <c r="AB96" s="120"/>
      <c r="AC96" s="53"/>
      <c r="AD96" s="262">
        <v>1.2441860465116279</v>
      </c>
      <c r="AE96" s="93">
        <f t="shared" si="22"/>
        <v>2.7804360465116278</v>
      </c>
      <c r="AF96" s="17">
        <v>4.0246220930232557</v>
      </c>
      <c r="AG96" s="120"/>
      <c r="AH96" s="93">
        <f>AF96+(H96*'Economic Model'!C$30*'Economic Model'!C$34/1000)+('Economic Model'!K$63/100)</f>
        <v>4.9662620930232553</v>
      </c>
      <c r="AI96" s="93">
        <f>AH96+('Economic Model'!K$60/100)</f>
        <v>5.5255632275687097</v>
      </c>
      <c r="AJ96" s="120"/>
      <c r="AK96" s="91">
        <f t="shared" si="23"/>
        <v>2.9258140230481766</v>
      </c>
      <c r="AL96" s="91">
        <f t="shared" si="24"/>
        <v>2.3665128885027222</v>
      </c>
      <c r="AM96" s="91">
        <f t="shared" si="25"/>
        <v>0.11550998152597902</v>
      </c>
      <c r="AN96" s="91">
        <f t="shared" si="26"/>
        <v>2.2510029069767432</v>
      </c>
      <c r="AO96" s="52"/>
      <c r="AP96" s="27"/>
      <c r="AQ96" s="27"/>
      <c r="AR96" s="186"/>
      <c r="AS96" s="15"/>
      <c r="AW96" s="273"/>
    </row>
    <row r="97" spans="1:49" hidden="1" x14ac:dyDescent="0.2">
      <c r="A97" s="8">
        <v>41030</v>
      </c>
      <c r="C97" s="53"/>
      <c r="D97" s="118">
        <f>'Returns per Gal.'!C97</f>
        <v>2.106818181818181</v>
      </c>
      <c r="E97" s="119">
        <f>'Returns per Gal.'!D97</f>
        <v>215.83333333333334</v>
      </c>
      <c r="F97" s="119"/>
      <c r="G97" s="118">
        <f>'Returns per Gal.'!F97</f>
        <v>6.2820238095238112</v>
      </c>
      <c r="H97" s="118">
        <f>'Returns per Gal.'!G97</f>
        <v>3.3</v>
      </c>
      <c r="I97" s="126"/>
      <c r="J97" s="27"/>
      <c r="K97" s="93">
        <f>D97*'Economic Model'!C$30</f>
        <v>6.0044318181818159</v>
      </c>
      <c r="L97" s="93">
        <f>E97/2000*('Economic Model'!C$32+0.5)</f>
        <v>1.8237916666666667</v>
      </c>
      <c r="M97" s="319"/>
      <c r="N97" s="93">
        <f t="shared" si="18"/>
        <v>7.8282234848484826</v>
      </c>
      <c r="O97" s="93">
        <f t="shared" si="19"/>
        <v>6.3614823503030289</v>
      </c>
      <c r="P97" s="105"/>
      <c r="Q97" s="94"/>
      <c r="R97" s="93">
        <f>G97+(H97*'Economic Model'!C$30*'Economic Model'!C$34/1000)+('Economic Model'!K$63/100)</f>
        <v>7.1894638095238106</v>
      </c>
      <c r="S97" s="93">
        <f>R97+('Economic Model'!K$60/100)</f>
        <v>7.748764944069265</v>
      </c>
      <c r="T97" s="121"/>
      <c r="U97" s="94"/>
      <c r="V97" s="93">
        <f t="shared" si="20"/>
        <v>0.63875967532467204</v>
      </c>
      <c r="W97" s="93">
        <f t="shared" si="21"/>
        <v>7.9458540779217657E-2</v>
      </c>
      <c r="X97" s="105"/>
      <c r="Y97" s="120"/>
      <c r="Z97" s="147">
        <f>W97/('Economic Model'!H$14*(1-'Economic Model'!C$25/100))</f>
        <v>2.41961690357759E-2</v>
      </c>
      <c r="AA97" s="52"/>
      <c r="AB97" s="27"/>
      <c r="AC97" s="53"/>
      <c r="AD97" s="262">
        <v>1.2441860465116279</v>
      </c>
      <c r="AE97" s="93">
        <f t="shared" si="22"/>
        <v>2.7804360465116278</v>
      </c>
      <c r="AF97" s="17">
        <v>4.0246220930232557</v>
      </c>
      <c r="AG97" s="27"/>
      <c r="AH97" s="93">
        <f>AF97+(H97*'Economic Model'!C$30*'Economic Model'!C$34/1000)+('Economic Model'!K$63/100)</f>
        <v>4.932062093023255</v>
      </c>
      <c r="AI97" s="93">
        <f>AH97+('Economic Model'!K$60/100)</f>
        <v>5.4913632275687094</v>
      </c>
      <c r="AJ97" s="120"/>
      <c r="AK97" s="91">
        <f t="shared" si="23"/>
        <v>2.8961613918252276</v>
      </c>
      <c r="AL97" s="91">
        <f t="shared" si="24"/>
        <v>2.3368602572797732</v>
      </c>
      <c r="AM97" s="91">
        <f t="shared" si="25"/>
        <v>7.9458540779217657E-2</v>
      </c>
      <c r="AN97" s="91">
        <f t="shared" si="26"/>
        <v>2.2574017165005555</v>
      </c>
      <c r="AO97" s="52"/>
      <c r="AR97" s="186"/>
      <c r="AS97" s="15"/>
      <c r="AW97" s="273"/>
    </row>
    <row r="98" spans="1:49" hidden="1" x14ac:dyDescent="0.2">
      <c r="A98" s="8">
        <v>41061</v>
      </c>
      <c r="C98" s="53"/>
      <c r="D98" s="118">
        <f>'Returns per Gal.'!C98</f>
        <v>2.0019047619047625</v>
      </c>
      <c r="E98" s="119">
        <f>'Returns per Gal.'!D98</f>
        <v>215.92261904761904</v>
      </c>
      <c r="F98" s="119"/>
      <c r="G98" s="118">
        <f>'Returns per Gal.'!F98</f>
        <v>6.2605511904761908</v>
      </c>
      <c r="H98" s="118">
        <f>'Returns per Gal.'!G98</f>
        <v>3.5</v>
      </c>
      <c r="I98" s="126"/>
      <c r="J98" s="27"/>
      <c r="K98" s="93">
        <f>D98*'Economic Model'!C$30</f>
        <v>5.7054285714285733</v>
      </c>
      <c r="L98" s="93">
        <f>E98/2000*('Economic Model'!C$32+0.5)</f>
        <v>1.8245461309523807</v>
      </c>
      <c r="M98" s="319"/>
      <c r="N98" s="93">
        <f t="shared" si="18"/>
        <v>7.5299747023809545</v>
      </c>
      <c r="O98" s="93">
        <f t="shared" si="19"/>
        <v>6.0461335678355006</v>
      </c>
      <c r="P98" s="105"/>
      <c r="Q98" s="94"/>
      <c r="R98" s="93">
        <f>G98+(H98*'Economic Model'!C$30*'Economic Model'!C$34/1000)+('Economic Model'!K$63/100)</f>
        <v>7.1850911904761903</v>
      </c>
      <c r="S98" s="93">
        <f>R98+('Economic Model'!K$60/100)</f>
        <v>7.7443923250216447</v>
      </c>
      <c r="T98" s="121"/>
      <c r="U98" s="94"/>
      <c r="V98" s="93">
        <f t="shared" si="20"/>
        <v>0.34488351190476418</v>
      </c>
      <c r="W98" s="93">
        <f t="shared" si="21"/>
        <v>-0.2144176226406902</v>
      </c>
      <c r="X98" s="105"/>
      <c r="Y98" s="120"/>
      <c r="Z98" s="147">
        <f>W98/('Economic Model'!H$14*(1-'Economic Model'!C$25/100))</f>
        <v>-6.5292981607589382E-2</v>
      </c>
      <c r="AA98" s="127"/>
      <c r="AB98" s="120"/>
      <c r="AC98" s="125"/>
      <c r="AD98" s="262">
        <v>1.2441860465116279</v>
      </c>
      <c r="AE98" s="93">
        <f t="shared" si="22"/>
        <v>2.7804360465116278</v>
      </c>
      <c r="AF98" s="17">
        <v>4.0246220930232557</v>
      </c>
      <c r="AG98" s="120"/>
      <c r="AH98" s="93">
        <f>AF98+(H98*'Economic Model'!C$30*'Economic Model'!C$34/1000)+('Economic Model'!K$63/100)</f>
        <v>4.9491620930232552</v>
      </c>
      <c r="AI98" s="93">
        <f>AH98+('Economic Model'!K$60/100)</f>
        <v>5.5084632275687095</v>
      </c>
      <c r="AJ98" s="120"/>
      <c r="AK98" s="91">
        <f t="shared" si="23"/>
        <v>2.5808126093576993</v>
      </c>
      <c r="AL98" s="91">
        <f t="shared" si="24"/>
        <v>2.0215114748122449</v>
      </c>
      <c r="AM98" s="91">
        <f t="shared" si="25"/>
        <v>-0.2144176226406902</v>
      </c>
      <c r="AN98" s="91">
        <f t="shared" si="26"/>
        <v>2.2359290974529351</v>
      </c>
      <c r="AO98" s="52"/>
      <c r="AR98" s="186"/>
      <c r="AS98" s="15"/>
      <c r="AW98" s="273"/>
    </row>
    <row r="99" spans="1:49" hidden="1" x14ac:dyDescent="0.2">
      <c r="A99" s="8">
        <v>41091</v>
      </c>
      <c r="C99" s="53"/>
      <c r="D99" s="118">
        <f>'Returns per Gal.'!C99</f>
        <v>2.3859090909090921</v>
      </c>
      <c r="E99" s="119">
        <f>'Returns per Gal.'!D99</f>
        <v>266.48214285714283</v>
      </c>
      <c r="F99" s="119"/>
      <c r="G99" s="118">
        <f>'Returns per Gal.'!F99</f>
        <v>7.6082738095238103</v>
      </c>
      <c r="H99" s="118">
        <f>'Returns per Gal.'!G99</f>
        <v>4.21</v>
      </c>
      <c r="I99" s="126"/>
      <c r="J99" s="27"/>
      <c r="K99" s="93">
        <f>D99*'Economic Model'!C$30</f>
        <v>6.7998409090909124</v>
      </c>
      <c r="L99" s="93">
        <f>E99/2000*('Economic Model'!C$32+0.5)</f>
        <v>2.251774107142857</v>
      </c>
      <c r="M99" s="319"/>
      <c r="N99" s="93">
        <f t="shared" si="18"/>
        <v>9.0516150162337699</v>
      </c>
      <c r="O99" s="93">
        <f t="shared" si="19"/>
        <v>7.5070688816883138</v>
      </c>
      <c r="P99" s="105"/>
      <c r="Q99" s="94"/>
      <c r="R99" s="93">
        <f>G99+(H99*'Economic Model'!C$30*'Economic Model'!C$34/1000)+('Economic Model'!K$63/100)</f>
        <v>8.5935188095238111</v>
      </c>
      <c r="S99" s="93">
        <f>R99+('Economic Model'!K$60/100)</f>
        <v>9.1528199440692664</v>
      </c>
      <c r="T99" s="121"/>
      <c r="U99" s="94"/>
      <c r="V99" s="93">
        <f t="shared" si="20"/>
        <v>0.45809620670995876</v>
      </c>
      <c r="W99" s="93">
        <f t="shared" si="21"/>
        <v>-0.10120492783549651</v>
      </c>
      <c r="X99" s="105"/>
      <c r="Y99" s="120"/>
      <c r="Z99" s="147">
        <f>W99/('Economic Model'!H$14*(1-'Economic Model'!C$25/100))</f>
        <v>-3.0818229445784762E-2</v>
      </c>
      <c r="AA99" s="127"/>
      <c r="AB99" s="120"/>
      <c r="AC99" s="53"/>
      <c r="AD99" s="262">
        <v>1.2441860465116279</v>
      </c>
      <c r="AE99" s="93">
        <f t="shared" si="22"/>
        <v>2.7804360465116278</v>
      </c>
      <c r="AF99" s="17">
        <v>4.0246220930232557</v>
      </c>
      <c r="AG99" s="120"/>
      <c r="AH99" s="93">
        <f>AF99+(H99*'Economic Model'!C$30*'Economic Model'!C$34/1000)+('Economic Model'!K$63/100)</f>
        <v>5.0098670930232556</v>
      </c>
      <c r="AI99" s="93">
        <f>AH99+('Economic Model'!K$60/100)</f>
        <v>5.56916822756871</v>
      </c>
      <c r="AJ99" s="120"/>
      <c r="AK99" s="91">
        <f t="shared" si="23"/>
        <v>4.0417479232105142</v>
      </c>
      <c r="AL99" s="91">
        <f t="shared" si="24"/>
        <v>3.4824467886650599</v>
      </c>
      <c r="AM99" s="91">
        <f t="shared" si="25"/>
        <v>-0.10120492783549651</v>
      </c>
      <c r="AN99" s="91">
        <f t="shared" si="26"/>
        <v>3.5836517165005546</v>
      </c>
      <c r="AO99" s="52"/>
      <c r="AR99" s="186"/>
      <c r="AS99" s="15"/>
      <c r="AW99" s="273"/>
    </row>
    <row r="100" spans="1:49" hidden="1" x14ac:dyDescent="0.2">
      <c r="A100" s="8">
        <v>41122</v>
      </c>
      <c r="C100" s="53"/>
      <c r="D100" s="118">
        <f>'Returns per Gal.'!C100</f>
        <v>2.531739130434782</v>
      </c>
      <c r="E100" s="119">
        <f>'Returns per Gal.'!D100</f>
        <v>298.80978260869563</v>
      </c>
      <c r="F100" s="119"/>
      <c r="G100" s="118">
        <f>'Returns per Gal.'!F100</f>
        <v>8.148994565217393</v>
      </c>
      <c r="H100" s="118">
        <f>'Returns per Gal.'!G100</f>
        <v>4.26</v>
      </c>
      <c r="I100" s="126"/>
      <c r="J100" s="27"/>
      <c r="K100" s="93">
        <f>D100*'Economic Model'!C$30</f>
        <v>7.2154565217391289</v>
      </c>
      <c r="L100" s="93">
        <f>E100/2000*('Economic Model'!C$32+0.5)</f>
        <v>2.5249426630434777</v>
      </c>
      <c r="M100" s="319"/>
      <c r="N100" s="93">
        <f t="shared" si="18"/>
        <v>9.740399184782607</v>
      </c>
      <c r="O100" s="93">
        <f t="shared" si="19"/>
        <v>8.1915780502371529</v>
      </c>
      <c r="P100" s="105"/>
      <c r="Q100" s="94"/>
      <c r="R100" s="93">
        <f>G100+(H100*'Economic Model'!C$30*'Economic Model'!C$34/1000)+('Economic Model'!K$63/100)</f>
        <v>9.1385145652173918</v>
      </c>
      <c r="S100" s="93">
        <f>R100+('Economic Model'!K$60/100)</f>
        <v>9.6978156997628471</v>
      </c>
      <c r="T100" s="121"/>
      <c r="U100" s="94"/>
      <c r="V100" s="93">
        <f t="shared" si="20"/>
        <v>0.60188461956521522</v>
      </c>
      <c r="W100" s="93">
        <f t="shared" si="21"/>
        <v>4.2583485019759948E-2</v>
      </c>
      <c r="X100" s="105"/>
      <c r="Y100" s="120"/>
      <c r="Z100" s="147">
        <f>W100/('Economic Model'!H$14*(1-'Economic Model'!C$25/100))</f>
        <v>1.2967230351403985E-2</v>
      </c>
      <c r="AA100" s="127"/>
      <c r="AB100" s="120"/>
      <c r="AC100" s="53"/>
      <c r="AD100" s="262">
        <v>1.2441860465116279</v>
      </c>
      <c r="AE100" s="93">
        <f t="shared" si="22"/>
        <v>2.7804360465116278</v>
      </c>
      <c r="AF100" s="17">
        <v>4.0246220930232557</v>
      </c>
      <c r="AG100" s="120"/>
      <c r="AH100" s="93">
        <f>AF100+(H100*'Economic Model'!C$30*'Economic Model'!C$34/1000)+('Economic Model'!K$63/100)</f>
        <v>5.0141420930232554</v>
      </c>
      <c r="AI100" s="93">
        <f>AH100+('Economic Model'!K$60/100)</f>
        <v>5.5734432275687098</v>
      </c>
      <c r="AJ100" s="120"/>
      <c r="AK100" s="91">
        <f t="shared" si="23"/>
        <v>4.7262570917593516</v>
      </c>
      <c r="AL100" s="91">
        <f t="shared" si="24"/>
        <v>4.1669559572138972</v>
      </c>
      <c r="AM100" s="91">
        <f t="shared" si="25"/>
        <v>4.2583485019759948E-2</v>
      </c>
      <c r="AN100" s="91">
        <f t="shared" si="26"/>
        <v>4.1243724721941373</v>
      </c>
      <c r="AO100" s="52"/>
      <c r="AR100" s="186"/>
      <c r="AS100" s="15"/>
      <c r="AW100" s="273"/>
    </row>
    <row r="101" spans="1:49" hidden="1" x14ac:dyDescent="0.2">
      <c r="A101" s="8">
        <v>41153</v>
      </c>
      <c r="C101" s="53"/>
      <c r="D101" s="118">
        <f>'Returns per Gal.'!C101</f>
        <v>2.4042499999999993</v>
      </c>
      <c r="E101" s="119">
        <f>'Returns per Gal.'!D101</f>
        <v>280.43421052631578</v>
      </c>
      <c r="F101" s="119"/>
      <c r="G101" s="118">
        <f>'Returns per Gal.'!F101</f>
        <v>7.6269730263157882</v>
      </c>
      <c r="H101" s="118">
        <f>'Returns per Gal.'!G101</f>
        <v>4.34</v>
      </c>
      <c r="I101" s="126"/>
      <c r="J101" s="27"/>
      <c r="K101" s="93">
        <f>D101*'Economic Model'!C$30</f>
        <v>6.8521124999999987</v>
      </c>
      <c r="L101" s="93">
        <f>E101/2000*('Economic Model'!C$32+0.5)</f>
        <v>2.3696690789473682</v>
      </c>
      <c r="M101" s="319"/>
      <c r="N101" s="93">
        <f t="shared" si="18"/>
        <v>9.2217815789473665</v>
      </c>
      <c r="O101" s="93">
        <f t="shared" si="19"/>
        <v>7.666120444401912</v>
      </c>
      <c r="P101" s="105"/>
      <c r="Q101" s="94"/>
      <c r="R101" s="93">
        <f>G101+(H101*'Economic Model'!C$30*'Economic Model'!C$34/1000)+('Economic Model'!K$63/100)</f>
        <v>8.6233330263157875</v>
      </c>
      <c r="S101" s="93">
        <f>R101+('Economic Model'!K$60/100)</f>
        <v>9.1826341608612427</v>
      </c>
      <c r="T101" s="121"/>
      <c r="U101" s="94"/>
      <c r="V101" s="93">
        <f t="shared" si="20"/>
        <v>0.59844855263157903</v>
      </c>
      <c r="W101" s="93">
        <f t="shared" si="21"/>
        <v>3.9147418086123764E-2</v>
      </c>
      <c r="X101" s="105"/>
      <c r="Y101" s="120"/>
      <c r="Z101" s="147">
        <f>W101/('Economic Model'!H$14*(1-'Economic Model'!C$25/100))</f>
        <v>1.1920902851185829E-2</v>
      </c>
      <c r="AA101" s="127"/>
      <c r="AB101" s="120"/>
      <c r="AC101" s="53"/>
      <c r="AD101" s="262">
        <v>1.8394160583941606</v>
      </c>
      <c r="AE101" s="93">
        <f t="shared" si="22"/>
        <v>3.7164416058394156</v>
      </c>
      <c r="AF101" s="17">
        <v>5.5558576642335762</v>
      </c>
      <c r="AG101" s="120"/>
      <c r="AH101" s="93">
        <f>AF101+(H101*'Economic Model'!C$30*'Economic Model'!C$34/1000)+('Economic Model'!K$63/100)</f>
        <v>6.5522176642335754</v>
      </c>
      <c r="AI101" s="93">
        <f>AH101+('Economic Model'!K$60/100)</f>
        <v>7.1115187987790298</v>
      </c>
      <c r="AJ101" s="120"/>
      <c r="AK101" s="91">
        <f t="shared" si="23"/>
        <v>2.6695639147137911</v>
      </c>
      <c r="AL101" s="91">
        <f t="shared" si="24"/>
        <v>2.1102627801683367</v>
      </c>
      <c r="AM101" s="91">
        <f t="shared" si="25"/>
        <v>3.9147418086123764E-2</v>
      </c>
      <c r="AN101" s="91">
        <f t="shared" si="26"/>
        <v>2.071115362082212</v>
      </c>
      <c r="AO101" s="52"/>
      <c r="AR101" s="186"/>
      <c r="AS101" s="15"/>
      <c r="AW101" s="273"/>
    </row>
    <row r="102" spans="1:49" hidden="1" x14ac:dyDescent="0.2">
      <c r="A102" s="8">
        <v>41183</v>
      </c>
      <c r="C102" s="53"/>
      <c r="D102" s="118">
        <f>'Returns per Gal.'!C102</f>
        <v>2.2963043478260876</v>
      </c>
      <c r="E102" s="119">
        <f>'Returns per Gal.'!D102</f>
        <v>271.25543478260869</v>
      </c>
      <c r="F102" s="119"/>
      <c r="G102" s="118">
        <f>'Returns per Gal.'!F102</f>
        <v>7.5056521739130462</v>
      </c>
      <c r="H102" s="118">
        <f>'Returns per Gal.'!G102</f>
        <v>4.21</v>
      </c>
      <c r="I102" s="126"/>
      <c r="J102" s="27"/>
      <c r="K102" s="93">
        <f>D102*'Economic Model'!C$30</f>
        <v>6.5444673913043498</v>
      </c>
      <c r="L102" s="93">
        <f>E102/2000*('Economic Model'!C$32+0.5)</f>
        <v>2.2921084239130431</v>
      </c>
      <c r="M102" s="319"/>
      <c r="N102" s="93">
        <f t="shared" si="18"/>
        <v>8.8365758152173939</v>
      </c>
      <c r="O102" s="93">
        <f t="shared" si="19"/>
        <v>7.2920296806719387</v>
      </c>
      <c r="P102" s="105"/>
      <c r="Q102" s="94"/>
      <c r="R102" s="93">
        <f>G102+(H102*'Economic Model'!C$30*'Economic Model'!C$34/1000)+('Economic Model'!K$63/100)</f>
        <v>8.4908971739130461</v>
      </c>
      <c r="S102" s="93">
        <f>R102+('Economic Model'!K$60/100)</f>
        <v>9.0501983084585014</v>
      </c>
      <c r="T102" s="121"/>
      <c r="U102" s="94"/>
      <c r="V102" s="93">
        <f t="shared" si="20"/>
        <v>0.34567864130434778</v>
      </c>
      <c r="W102" s="93">
        <f t="shared" si="21"/>
        <v>-0.21362249324110749</v>
      </c>
      <c r="X102" s="105"/>
      <c r="Y102" s="120"/>
      <c r="Z102" s="147">
        <f>W102/('Economic Model'!H$14*(1-'Economic Model'!C$25/100))</f>
        <v>-6.5050854264588259E-2</v>
      </c>
      <c r="AA102" s="127"/>
      <c r="AB102" s="120"/>
      <c r="AC102" s="53"/>
      <c r="AD102" s="262">
        <v>1.8394160583941606</v>
      </c>
      <c r="AE102" s="93">
        <f t="shared" si="22"/>
        <v>3.7164416058394156</v>
      </c>
      <c r="AF102" s="17">
        <v>5.5558576642335762</v>
      </c>
      <c r="AG102" s="120"/>
      <c r="AH102" s="93">
        <f>AF102+(H102*'Economic Model'!C$30*'Economic Model'!C$34/1000)+('Economic Model'!K$63/100)</f>
        <v>6.5411026642335761</v>
      </c>
      <c r="AI102" s="93">
        <f>AH102+('Economic Model'!K$60/100)</f>
        <v>7.1004037987790305</v>
      </c>
      <c r="AJ102" s="120"/>
      <c r="AK102" s="91">
        <f t="shared" si="23"/>
        <v>2.2954731509838178</v>
      </c>
      <c r="AL102" s="91">
        <f t="shared" si="24"/>
        <v>1.7361720164383634</v>
      </c>
      <c r="AM102" s="91">
        <f t="shared" si="25"/>
        <v>-0.21362249324110749</v>
      </c>
      <c r="AN102" s="91">
        <f t="shared" si="26"/>
        <v>1.94979450967947</v>
      </c>
      <c r="AO102" s="52"/>
      <c r="AR102" s="186"/>
      <c r="AS102" s="15"/>
      <c r="AW102" s="273"/>
    </row>
    <row r="103" spans="1:49" hidden="1" x14ac:dyDescent="0.2">
      <c r="A103" s="8">
        <v>41214</v>
      </c>
      <c r="C103" s="53"/>
      <c r="D103" s="118">
        <f>'Returns per Gal.'!C103</f>
        <v>2.3036363636363628</v>
      </c>
      <c r="E103" s="119">
        <f>'Returns per Gal.'!D103</f>
        <v>261.14999999999998</v>
      </c>
      <c r="F103" s="119"/>
      <c r="G103" s="118">
        <f>'Returns per Gal.'!F103</f>
        <v>7.5010937500000026</v>
      </c>
      <c r="H103" s="118">
        <f>'Returns per Gal.'!G103</f>
        <v>5.4</v>
      </c>
      <c r="I103" s="126"/>
      <c r="J103" s="27"/>
      <c r="K103" s="93">
        <f>D103*'Economic Model'!C$30</f>
        <v>6.5653636363636343</v>
      </c>
      <c r="L103" s="93">
        <f>E103/2000*('Economic Model'!C$32+0.5)</f>
        <v>2.2067174999999999</v>
      </c>
      <c r="M103" s="319"/>
      <c r="N103" s="93">
        <f t="shared" si="18"/>
        <v>8.7720811363636351</v>
      </c>
      <c r="O103" s="93">
        <f t="shared" si="19"/>
        <v>7.1257900018181797</v>
      </c>
      <c r="P103" s="105"/>
      <c r="Q103" s="94"/>
      <c r="R103" s="93">
        <f>G103+(H103*'Economic Model'!C$30*'Economic Model'!C$34/1000)+('Economic Model'!K$63/100)</f>
        <v>8.5880837500000027</v>
      </c>
      <c r="S103" s="93">
        <f>R103+('Economic Model'!K$60/100)</f>
        <v>9.147384884545458</v>
      </c>
      <c r="T103" s="121"/>
      <c r="U103" s="94"/>
      <c r="V103" s="93">
        <f t="shared" si="20"/>
        <v>0.18399738636363239</v>
      </c>
      <c r="W103" s="93">
        <f t="shared" si="21"/>
        <v>-0.37530374818182288</v>
      </c>
      <c r="X103" s="105"/>
      <c r="Y103" s="120"/>
      <c r="Z103" s="147">
        <f>W103/('Economic Model'!H$14*(1-'Economic Model'!C$25/100))</f>
        <v>-0.11428491942734954</v>
      </c>
      <c r="AA103" s="127"/>
      <c r="AB103" s="120"/>
      <c r="AC103" s="53"/>
      <c r="AD103" s="262">
        <v>1.8394160583941606</v>
      </c>
      <c r="AE103" s="93">
        <f t="shared" si="22"/>
        <v>3.7164416058394156</v>
      </c>
      <c r="AF103" s="17">
        <v>5.5558576642335762</v>
      </c>
      <c r="AG103" s="120"/>
      <c r="AH103" s="93">
        <f>AF103+(H103*'Economic Model'!C$30*'Economic Model'!C$34/1000)+('Economic Model'!K$63/100)</f>
        <v>6.6428476642335763</v>
      </c>
      <c r="AI103" s="93">
        <f>AH103+('Economic Model'!K$60/100)</f>
        <v>7.2021487987790307</v>
      </c>
      <c r="AJ103" s="120"/>
      <c r="AK103" s="91">
        <f t="shared" si="23"/>
        <v>2.1292334721300588</v>
      </c>
      <c r="AL103" s="91">
        <f t="shared" si="24"/>
        <v>1.5699323375846044</v>
      </c>
      <c r="AM103" s="91">
        <f t="shared" si="25"/>
        <v>-0.37530374818182288</v>
      </c>
      <c r="AN103" s="91">
        <f t="shared" si="26"/>
        <v>1.9452360857664264</v>
      </c>
      <c r="AO103" s="52"/>
      <c r="AR103" s="186"/>
      <c r="AS103" s="15"/>
      <c r="AW103" s="273"/>
    </row>
    <row r="104" spans="1:49" hidden="1" x14ac:dyDescent="0.2">
      <c r="A104" s="68">
        <v>41244</v>
      </c>
      <c r="B104" s="29"/>
      <c r="C104" s="56"/>
      <c r="D104" s="128">
        <f>'Returns per Gal.'!C104</f>
        <v>2.2528571428571431</v>
      </c>
      <c r="E104" s="129">
        <f>'Returns per Gal.'!D104</f>
        <v>255.41447368421052</v>
      </c>
      <c r="F104" s="129"/>
      <c r="G104" s="128">
        <f>'Returns per Gal.'!F104</f>
        <v>7.3563486842105279</v>
      </c>
      <c r="H104" s="128">
        <f>'Returns per Gal.'!G104</f>
        <v>5.75</v>
      </c>
      <c r="I104" s="135"/>
      <c r="J104" s="29"/>
      <c r="K104" s="97">
        <f>D104*'Economic Model'!C$30</f>
        <v>6.420642857142858</v>
      </c>
      <c r="L104" s="97">
        <f>E104/2000*('Economic Model'!C$32+0.5)</f>
        <v>2.1582523026315785</v>
      </c>
      <c r="M104" s="320"/>
      <c r="N104" s="97">
        <f t="shared" si="18"/>
        <v>8.5788951597744365</v>
      </c>
      <c r="O104" s="97">
        <f t="shared" si="19"/>
        <v>6.9026790252289816</v>
      </c>
      <c r="P104" s="107"/>
      <c r="Q104" s="98"/>
      <c r="R104" s="97">
        <f>G104+(H104*'Economic Model'!C$30*'Economic Model'!C$34/1000)+('Economic Model'!K$63/100)</f>
        <v>8.4732636842105276</v>
      </c>
      <c r="S104" s="97">
        <f>R104+('Economic Model'!K$60/100)</f>
        <v>9.0325648187559828</v>
      </c>
      <c r="T104" s="131"/>
      <c r="U104" s="98"/>
      <c r="V104" s="97">
        <f t="shared" si="20"/>
        <v>0.10563147556390895</v>
      </c>
      <c r="W104" s="97">
        <f t="shared" si="21"/>
        <v>-0.45366965898154632</v>
      </c>
      <c r="X104" s="107"/>
      <c r="Y104" s="130"/>
      <c r="Z104" s="148">
        <f>W104/('Economic Model'!H$14*(1-'Economic Model'!C$25/100))</f>
        <v>-0.13814836828706711</v>
      </c>
      <c r="AA104" s="136"/>
      <c r="AB104" s="130"/>
      <c r="AC104" s="56"/>
      <c r="AD104" s="263">
        <v>1.8394160583941606</v>
      </c>
      <c r="AE104" s="97">
        <f t="shared" si="22"/>
        <v>3.7164416058394156</v>
      </c>
      <c r="AF104" s="65">
        <v>5.5558576642335762</v>
      </c>
      <c r="AG104" s="130"/>
      <c r="AH104" s="97">
        <f>AF104+(H104*'Economic Model'!C$30*'Economic Model'!C$34/1000)+('Economic Model'!K$63/100)</f>
        <v>6.6727726642335758</v>
      </c>
      <c r="AI104" s="97">
        <f>AH104+('Economic Model'!K$60/100)</f>
        <v>7.2320737987790302</v>
      </c>
      <c r="AJ104" s="130"/>
      <c r="AK104" s="92">
        <f t="shared" si="23"/>
        <v>1.9061224955408607</v>
      </c>
      <c r="AL104" s="92">
        <f t="shared" si="24"/>
        <v>1.3468213609954063</v>
      </c>
      <c r="AM104" s="92">
        <f t="shared" si="25"/>
        <v>-0.45366965898154632</v>
      </c>
      <c r="AN104" s="92">
        <f t="shared" si="26"/>
        <v>1.8004910199769517</v>
      </c>
      <c r="AO104" s="64"/>
      <c r="AR104" s="186"/>
      <c r="AS104" s="15"/>
      <c r="AW104" s="273"/>
    </row>
    <row r="105" spans="1:49" hidden="1" x14ac:dyDescent="0.2">
      <c r="A105" s="21">
        <v>41275</v>
      </c>
      <c r="C105" s="53"/>
      <c r="D105" s="118">
        <f>'Returns per Gal.'!C105</f>
        <v>2.1967391304347825</v>
      </c>
      <c r="E105" s="119">
        <f>'Returns per Gal.'!D105</f>
        <v>257.64285714285717</v>
      </c>
      <c r="F105" s="119"/>
      <c r="G105" s="118">
        <f>'Returns per Gal.'!F105</f>
        <v>7.2666666666666702</v>
      </c>
      <c r="H105" s="118">
        <f>'Returns per Gal.'!G105</f>
        <v>5.62</v>
      </c>
      <c r="I105" s="126"/>
      <c r="J105" s="27"/>
      <c r="K105" s="93">
        <f>D105*'Economic Model'!C$30</f>
        <v>6.26070652173913</v>
      </c>
      <c r="L105" s="93">
        <f>E105/2000*('Economic Model'!C$32+0.5)</f>
        <v>2.177082142857143</v>
      </c>
      <c r="M105" s="319"/>
      <c r="N105" s="93">
        <f t="shared" ref="N105:N140" si="27">K105+L105</f>
        <v>8.4377886645962725</v>
      </c>
      <c r="O105" s="93">
        <f t="shared" ref="O105:O136" si="28">N105-S105+G105</f>
        <v>6.7726875300508178</v>
      </c>
      <c r="P105" s="105"/>
      <c r="Q105" s="94"/>
      <c r="R105" s="93">
        <f>G105+(H105*'Economic Model'!C$30*'Economic Model'!C$34/1000)+('Economic Model'!K$63/100)</f>
        <v>8.3724666666666696</v>
      </c>
      <c r="S105" s="93">
        <f>R105+('Economic Model'!K$60/100)</f>
        <v>8.9317678012121249</v>
      </c>
      <c r="T105" s="121"/>
      <c r="U105" s="94"/>
      <c r="V105" s="93">
        <f t="shared" ref="V105:V136" si="29">N105-R105</f>
        <v>6.5321997929602915E-2</v>
      </c>
      <c r="W105" s="93">
        <f t="shared" ref="W105:W136" si="30">N105-S105</f>
        <v>-0.49397913661585235</v>
      </c>
      <c r="X105" s="105"/>
      <c r="Y105" s="120"/>
      <c r="Z105" s="149">
        <f>W105/('Economic Model'!H$14*(1-'Economic Model'!C$25/100))</f>
        <v>-0.15042313352965506</v>
      </c>
      <c r="AA105" s="253"/>
      <c r="AB105" s="145"/>
      <c r="AC105" s="53"/>
      <c r="AD105" s="262">
        <v>1.8394160583941606</v>
      </c>
      <c r="AE105" s="93">
        <f t="shared" ref="AE105:AE136" si="31">AF105-AD105</f>
        <v>3.7164416058394156</v>
      </c>
      <c r="AF105" s="17">
        <v>5.5558576642335762</v>
      </c>
      <c r="AG105" s="120"/>
      <c r="AH105" s="93">
        <f>AF105+(H105*'Economic Model'!C$30*'Economic Model'!C$34/1000)+('Economic Model'!K$63/100)</f>
        <v>6.6616576642335756</v>
      </c>
      <c r="AI105" s="93">
        <f>AH105+('Economic Model'!K$60/100)</f>
        <v>7.22095879877903</v>
      </c>
      <c r="AJ105" s="120"/>
      <c r="AK105" s="91">
        <f t="shared" ref="AK105:AK136" si="32">N105-AH105</f>
        <v>1.7761310003626969</v>
      </c>
      <c r="AL105" s="91">
        <f t="shared" ref="AL105:AL136" si="33">N105-AI105</f>
        <v>1.2168298658172425</v>
      </c>
      <c r="AM105" s="91">
        <f t="shared" ref="AM105:AM136" si="34">O105-G105</f>
        <v>-0.49397913661585235</v>
      </c>
      <c r="AN105" s="91">
        <f t="shared" ref="AN105:AN136" si="35">G105-AF105</f>
        <v>1.710809002433094</v>
      </c>
      <c r="AO105" s="52"/>
      <c r="AR105" s="186"/>
      <c r="AS105" s="15"/>
      <c r="AW105" s="273"/>
    </row>
    <row r="106" spans="1:49" hidden="1" x14ac:dyDescent="0.2">
      <c r="A106" s="8">
        <v>41306</v>
      </c>
      <c r="C106" s="53"/>
      <c r="D106" s="118">
        <f>'Returns per Gal.'!C106</f>
        <v>2.3287499999999985</v>
      </c>
      <c r="E106" s="119">
        <f>'Returns per Gal.'!D106</f>
        <v>265.57894736842104</v>
      </c>
      <c r="F106" s="119"/>
      <c r="G106" s="118">
        <f>'Returns per Gal.'!F106</f>
        <v>7.2592105263157913</v>
      </c>
      <c r="H106" s="118">
        <f>'Returns per Gal.'!G106</f>
        <v>5.56</v>
      </c>
      <c r="I106" s="126"/>
      <c r="J106" s="27"/>
      <c r="K106" s="93">
        <f>D106*'Economic Model'!C$30</f>
        <v>6.6369374999999957</v>
      </c>
      <c r="L106" s="93">
        <f>E106/2000*('Economic Model'!C$32+0.5)</f>
        <v>2.2441421052631574</v>
      </c>
      <c r="M106" s="319"/>
      <c r="N106" s="93">
        <f t="shared" si="27"/>
        <v>8.8810796052631531</v>
      </c>
      <c r="O106" s="93">
        <f t="shared" si="28"/>
        <v>7.2211084707176978</v>
      </c>
      <c r="P106" s="105"/>
      <c r="Q106" s="94"/>
      <c r="R106" s="93">
        <f>G106+(H106*'Economic Model'!C$30*'Economic Model'!C$34/1000)+('Economic Model'!K$63/100)</f>
        <v>8.3598805263157914</v>
      </c>
      <c r="S106" s="93">
        <f>R106+('Economic Model'!K$60/100)</f>
        <v>8.9191816608612466</v>
      </c>
      <c r="T106" s="121"/>
      <c r="U106" s="94"/>
      <c r="V106" s="93">
        <f t="shared" si="29"/>
        <v>0.52119907894736173</v>
      </c>
      <c r="W106" s="93">
        <f t="shared" si="30"/>
        <v>-3.8102055598093543E-2</v>
      </c>
      <c r="X106" s="105"/>
      <c r="Y106" s="120"/>
      <c r="Z106" s="147">
        <f>W106/('Economic Model'!H$14*(1-'Economic Model'!C$25/100))</f>
        <v>-1.1602576246946777E-2</v>
      </c>
      <c r="AA106" s="127"/>
      <c r="AB106" s="120"/>
      <c r="AC106" s="53"/>
      <c r="AD106" s="262">
        <v>1.8394160583941606</v>
      </c>
      <c r="AE106" s="93">
        <f t="shared" si="31"/>
        <v>3.7164416058394156</v>
      </c>
      <c r="AF106" s="17">
        <v>5.5558576642335762</v>
      </c>
      <c r="AG106" s="120"/>
      <c r="AH106" s="93">
        <f>AF106+(H106*'Economic Model'!C$30*'Economic Model'!C$34/1000)+('Economic Model'!K$63/100)</f>
        <v>6.6565276642335762</v>
      </c>
      <c r="AI106" s="93">
        <f>AH106+('Economic Model'!K$60/100)</f>
        <v>7.2158287987790306</v>
      </c>
      <c r="AJ106" s="120"/>
      <c r="AK106" s="91">
        <f t="shared" si="32"/>
        <v>2.2245519410295769</v>
      </c>
      <c r="AL106" s="91">
        <f t="shared" si="33"/>
        <v>1.6652508064841225</v>
      </c>
      <c r="AM106" s="91">
        <f t="shared" si="34"/>
        <v>-3.8102055598093543E-2</v>
      </c>
      <c r="AN106" s="91">
        <f t="shared" si="35"/>
        <v>1.7033528620822151</v>
      </c>
      <c r="AO106" s="52"/>
      <c r="AP106" s="27"/>
      <c r="AQ106" s="27"/>
      <c r="AR106" s="186"/>
      <c r="AS106" s="15"/>
      <c r="AW106" s="273"/>
    </row>
    <row r="107" spans="1:49" hidden="1" x14ac:dyDescent="0.2">
      <c r="A107" s="8">
        <v>41334</v>
      </c>
      <c r="C107" s="53"/>
      <c r="D107" s="118">
        <f>'Returns per Gal.'!C107</f>
        <v>2.5190624999999995</v>
      </c>
      <c r="E107" s="119">
        <f>'Returns per Gal.'!D107</f>
        <v>263.27976190476193</v>
      </c>
      <c r="F107" s="119"/>
      <c r="G107" s="118">
        <f>'Returns per Gal.'!F107</f>
        <v>7.4420089285714308</v>
      </c>
      <c r="H107" s="118">
        <f>'Returns per Gal.'!G107</f>
        <v>5.81</v>
      </c>
      <c r="I107" s="126"/>
      <c r="J107" s="27"/>
      <c r="K107" s="93">
        <f>D107*'Economic Model'!C$30</f>
        <v>7.1793281249999987</v>
      </c>
      <c r="L107" s="93">
        <f>E107/2000*('Economic Model'!C$32+0.5)</f>
        <v>2.224713988095238</v>
      </c>
      <c r="M107" s="319"/>
      <c r="N107" s="93">
        <f t="shared" si="27"/>
        <v>9.4040421130952367</v>
      </c>
      <c r="O107" s="93">
        <f t="shared" si="28"/>
        <v>7.7226959785497815</v>
      </c>
      <c r="P107" s="105"/>
      <c r="Q107" s="94"/>
      <c r="R107" s="93">
        <f>G107+(H107*'Economic Model'!C$30*'Economic Model'!C$34/1000)+('Economic Model'!K$63/100)</f>
        <v>8.5640539285714308</v>
      </c>
      <c r="S107" s="93">
        <f>R107+('Economic Model'!K$60/100)</f>
        <v>9.123355063116886</v>
      </c>
      <c r="T107" s="121"/>
      <c r="U107" s="94"/>
      <c r="V107" s="93">
        <f t="shared" si="29"/>
        <v>0.83998818452380597</v>
      </c>
      <c r="W107" s="93">
        <f t="shared" si="30"/>
        <v>0.2806870499783507</v>
      </c>
      <c r="X107" s="105"/>
      <c r="Y107" s="120"/>
      <c r="Z107" s="147">
        <f>W107/('Economic Model'!H$14*(1-'Economic Model'!C$25/100))</f>
        <v>8.5472892414427251E-2</v>
      </c>
      <c r="AA107" s="127"/>
      <c r="AB107" s="120"/>
      <c r="AC107" s="53"/>
      <c r="AD107" s="262">
        <v>1.8394160583941606</v>
      </c>
      <c r="AE107" s="93">
        <f t="shared" si="31"/>
        <v>3.7164416058394156</v>
      </c>
      <c r="AF107" s="17">
        <v>5.5558576642335762</v>
      </c>
      <c r="AG107" s="120"/>
      <c r="AH107" s="93">
        <f>AF107+(H107*'Economic Model'!C$30*'Economic Model'!C$34/1000)+('Economic Model'!K$63/100)</f>
        <v>6.6779026642335761</v>
      </c>
      <c r="AI107" s="93">
        <f>AH107+('Economic Model'!K$60/100)</f>
        <v>7.2372037987790305</v>
      </c>
      <c r="AJ107" s="120"/>
      <c r="AK107" s="91">
        <f t="shared" si="32"/>
        <v>2.7261394488616606</v>
      </c>
      <c r="AL107" s="91">
        <f t="shared" si="33"/>
        <v>2.1668383143162062</v>
      </c>
      <c r="AM107" s="91">
        <f t="shared" si="34"/>
        <v>0.2806870499783507</v>
      </c>
      <c r="AN107" s="91">
        <f t="shared" si="35"/>
        <v>1.8861512643378546</v>
      </c>
      <c r="AO107" s="52"/>
      <c r="AR107" s="186"/>
      <c r="AS107" s="15"/>
      <c r="AW107" s="273"/>
    </row>
    <row r="108" spans="1:49" hidden="1" x14ac:dyDescent="0.2">
      <c r="A108" s="8">
        <v>41365</v>
      </c>
      <c r="C108" s="53"/>
      <c r="D108" s="118">
        <f>'Returns per Gal.'!C108</f>
        <v>2.478409090909091</v>
      </c>
      <c r="E108" s="119">
        <f>'Returns per Gal.'!D108</f>
        <v>239.83333333333334</v>
      </c>
      <c r="F108" s="119"/>
      <c r="G108" s="118">
        <f>'Returns per Gal.'!F108</f>
        <v>6.7354761904761915</v>
      </c>
      <c r="H108" s="118">
        <f>'Returns per Gal.'!G108</f>
        <v>5.21</v>
      </c>
      <c r="I108" s="126"/>
      <c r="J108" s="27"/>
      <c r="K108" s="93">
        <f>D108*'Economic Model'!C$30</f>
        <v>7.06346590909091</v>
      </c>
      <c r="L108" s="93">
        <f>E108/2000*('Economic Model'!C$32+0.5)</f>
        <v>2.0265916666666666</v>
      </c>
      <c r="M108" s="319"/>
      <c r="N108" s="93">
        <f t="shared" si="27"/>
        <v>9.0900575757575766</v>
      </c>
      <c r="O108" s="93">
        <f t="shared" si="28"/>
        <v>7.4600114412121226</v>
      </c>
      <c r="P108" s="105"/>
      <c r="Q108" s="94"/>
      <c r="R108" s="93">
        <f>G108+(H108*'Economic Model'!C$30*'Economic Model'!C$34/1000)+('Economic Model'!K$63/100)</f>
        <v>7.8062211904761911</v>
      </c>
      <c r="S108" s="93">
        <f>R108+('Economic Model'!K$60/100)</f>
        <v>8.3655223250216455</v>
      </c>
      <c r="T108" s="121"/>
      <c r="U108" s="94"/>
      <c r="V108" s="93">
        <f t="shared" si="29"/>
        <v>1.2838363852813854</v>
      </c>
      <c r="W108" s="93">
        <f t="shared" si="30"/>
        <v>0.72453525073593106</v>
      </c>
      <c r="X108" s="105"/>
      <c r="Y108" s="120"/>
      <c r="Z108" s="147">
        <f>W108/('Economic Model'!H$14*(1-'Economic Model'!C$25/100))</f>
        <v>0.22063049770692594</v>
      </c>
      <c r="AA108" s="127"/>
      <c r="AB108" s="120"/>
      <c r="AC108" s="53"/>
      <c r="AD108" s="262">
        <v>1.8394160583941606</v>
      </c>
      <c r="AE108" s="93">
        <f t="shared" si="31"/>
        <v>3.7164416058394156</v>
      </c>
      <c r="AF108" s="17">
        <v>5.5558576642335762</v>
      </c>
      <c r="AG108" s="27"/>
      <c r="AH108" s="93">
        <f>AF108+(H108*'Economic Model'!C$30*'Economic Model'!C$34/1000)+('Economic Model'!K$63/100)</f>
        <v>6.6266026642335758</v>
      </c>
      <c r="AI108" s="93">
        <f>AH108+('Economic Model'!K$60/100)</f>
        <v>7.1859037987790302</v>
      </c>
      <c r="AJ108" s="120"/>
      <c r="AK108" s="91">
        <f t="shared" si="32"/>
        <v>2.4634549115240008</v>
      </c>
      <c r="AL108" s="91">
        <f t="shared" si="33"/>
        <v>1.9041537769785464</v>
      </c>
      <c r="AM108" s="91">
        <f t="shared" si="34"/>
        <v>0.72453525073593106</v>
      </c>
      <c r="AN108" s="91">
        <f t="shared" si="35"/>
        <v>1.1796185262426153</v>
      </c>
      <c r="AO108" s="52"/>
      <c r="AR108" s="186"/>
      <c r="AS108" s="15"/>
      <c r="AW108" s="273"/>
    </row>
    <row r="109" spans="1:49" hidden="1" x14ac:dyDescent="0.2">
      <c r="A109" s="8">
        <v>41395</v>
      </c>
      <c r="C109" s="53"/>
      <c r="D109" s="118">
        <f>'Returns per Gal.'!C109</f>
        <v>2.5499999999999998</v>
      </c>
      <c r="E109" s="119">
        <f>'Returns per Gal.'!D109</f>
        <v>223.10227272727272</v>
      </c>
      <c r="F109" s="119"/>
      <c r="G109" s="118">
        <f>'Returns per Gal.'!F109</f>
        <v>7.03</v>
      </c>
      <c r="H109" s="118">
        <f>'Returns per Gal.'!G109</f>
        <v>5.35</v>
      </c>
      <c r="I109" s="126"/>
      <c r="J109" s="27"/>
      <c r="K109" s="93">
        <f>D109*'Economic Model'!C$30</f>
        <v>7.2675000000000001</v>
      </c>
      <c r="L109" s="93">
        <f>E109/2000*('Economic Model'!C$32+0.5)</f>
        <v>1.8852142045454545</v>
      </c>
      <c r="M109" s="319"/>
      <c r="N109" s="93">
        <f t="shared" si="27"/>
        <v>9.1527142045454539</v>
      </c>
      <c r="O109" s="93">
        <f t="shared" si="28"/>
        <v>7.5106980699999992</v>
      </c>
      <c r="P109" s="105"/>
      <c r="Q109" s="94"/>
      <c r="R109" s="93">
        <f>G109+(H109*'Economic Model'!C$30*'Economic Model'!C$34/1000)+('Economic Model'!K$63/100)</f>
        <v>8.1127149999999997</v>
      </c>
      <c r="S109" s="93">
        <f>R109+('Economic Model'!K$60/100)</f>
        <v>8.6720161345454549</v>
      </c>
      <c r="T109" s="121"/>
      <c r="U109" s="94"/>
      <c r="V109" s="93">
        <f t="shared" si="29"/>
        <v>1.0399992045454542</v>
      </c>
      <c r="W109" s="93">
        <f t="shared" si="30"/>
        <v>0.48069806999999898</v>
      </c>
      <c r="X109" s="105"/>
      <c r="Y109" s="120"/>
      <c r="Z109" s="147">
        <f>W109/('Economic Model'!H$14*(1-'Economic Model'!C$25/100))</f>
        <v>0.14637887435170854</v>
      </c>
      <c r="AA109" s="127"/>
      <c r="AB109" s="120"/>
      <c r="AC109" s="53"/>
      <c r="AD109" s="262">
        <v>1.8394160583941606</v>
      </c>
      <c r="AE109" s="93">
        <f t="shared" si="31"/>
        <v>3.7164416058394156</v>
      </c>
      <c r="AF109" s="17">
        <v>5.5558576642335762</v>
      </c>
      <c r="AG109" s="27"/>
      <c r="AH109" s="93">
        <f>AF109+(H109*'Economic Model'!C$30*'Economic Model'!C$34/1000)+('Economic Model'!K$63/100)</f>
        <v>6.6385726642335756</v>
      </c>
      <c r="AI109" s="93">
        <f>AH109+('Economic Model'!K$60/100)</f>
        <v>7.19787379877903</v>
      </c>
      <c r="AJ109" s="120"/>
      <c r="AK109" s="91">
        <f t="shared" si="32"/>
        <v>2.5141415403118783</v>
      </c>
      <c r="AL109" s="91">
        <f t="shared" si="33"/>
        <v>1.9548404057664239</v>
      </c>
      <c r="AM109" s="91">
        <f t="shared" si="34"/>
        <v>0.48069806999999898</v>
      </c>
      <c r="AN109" s="91">
        <f t="shared" si="35"/>
        <v>1.4741423357664241</v>
      </c>
      <c r="AO109" s="52"/>
      <c r="AR109" s="186"/>
      <c r="AS109" s="15"/>
      <c r="AW109" s="273"/>
    </row>
    <row r="110" spans="1:49" hidden="1" x14ac:dyDescent="0.2">
      <c r="A110" s="8">
        <v>41426</v>
      </c>
      <c r="C110" s="53"/>
      <c r="D110" s="118">
        <f>'Returns per Gal.'!C110</f>
        <v>2.57</v>
      </c>
      <c r="E110" s="119">
        <f>'Returns per Gal.'!D110</f>
        <v>229.875</v>
      </c>
      <c r="F110" s="119"/>
      <c r="G110" s="118">
        <f>'Returns per Gal.'!F110</f>
        <v>7.17</v>
      </c>
      <c r="H110" s="118">
        <f>'Returns per Gal.'!G110</f>
        <v>5.39</v>
      </c>
      <c r="I110" s="126"/>
      <c r="J110" s="27"/>
      <c r="K110" s="93">
        <f>D110*'Economic Model'!C$30</f>
        <v>7.3244999999999996</v>
      </c>
      <c r="L110" s="93">
        <f>E110/2000*('Economic Model'!C$32+0.5)</f>
        <v>1.9424437499999998</v>
      </c>
      <c r="M110" s="319"/>
      <c r="N110" s="93">
        <f t="shared" si="27"/>
        <v>9.2669437499999994</v>
      </c>
      <c r="O110" s="93">
        <f t="shared" si="28"/>
        <v>7.6215076154545436</v>
      </c>
      <c r="P110" s="105"/>
      <c r="Q110" s="94"/>
      <c r="R110" s="93">
        <f>G110+(H110*'Economic Model'!C$30*'Economic Model'!C$34/1000)+('Economic Model'!K$63/100)</f>
        <v>8.2561350000000004</v>
      </c>
      <c r="S110" s="93">
        <f>R110+('Economic Model'!K$60/100)</f>
        <v>8.8154361345454557</v>
      </c>
      <c r="T110" s="121"/>
      <c r="U110" s="94"/>
      <c r="V110" s="93">
        <f t="shared" si="29"/>
        <v>1.0108087499999989</v>
      </c>
      <c r="W110" s="93">
        <f t="shared" si="30"/>
        <v>0.45150761545454365</v>
      </c>
      <c r="X110" s="105"/>
      <c r="Y110" s="120"/>
      <c r="Z110" s="147">
        <f>W110/('Economic Model'!H$14*(1-'Economic Model'!C$25/100))</f>
        <v>0.13748999764334466</v>
      </c>
      <c r="AA110" s="127"/>
      <c r="AB110" s="120"/>
      <c r="AC110" s="53"/>
      <c r="AD110" s="262">
        <v>1.8394160583941606</v>
      </c>
      <c r="AE110" s="93">
        <f t="shared" si="31"/>
        <v>3.7164416058394156</v>
      </c>
      <c r="AF110" s="17">
        <v>5.5558576642335762</v>
      </c>
      <c r="AG110" s="27"/>
      <c r="AH110" s="93">
        <f>AF110+(H110*'Economic Model'!C$30*'Economic Model'!C$34/1000)+('Economic Model'!K$63/100)</f>
        <v>6.6419926642335758</v>
      </c>
      <c r="AI110" s="93">
        <f>AH110+('Economic Model'!K$60/100)</f>
        <v>7.2012937987790302</v>
      </c>
      <c r="AJ110" s="120"/>
      <c r="AK110" s="91">
        <f t="shared" si="32"/>
        <v>2.6249510857664236</v>
      </c>
      <c r="AL110" s="91">
        <f t="shared" si="33"/>
        <v>2.0656499512209692</v>
      </c>
      <c r="AM110" s="91">
        <f t="shared" si="34"/>
        <v>0.45150761545454365</v>
      </c>
      <c r="AN110" s="91">
        <f t="shared" si="35"/>
        <v>1.6141423357664237</v>
      </c>
      <c r="AO110" s="52"/>
      <c r="AR110" s="186"/>
      <c r="AS110" s="15"/>
      <c r="AW110" s="273"/>
    </row>
    <row r="111" spans="1:49" hidden="1" x14ac:dyDescent="0.2">
      <c r="A111" s="8">
        <v>41456</v>
      </c>
      <c r="C111" s="53"/>
      <c r="D111" s="118">
        <f>'Returns per Gal.'!C111</f>
        <v>2.4321739130434779</v>
      </c>
      <c r="E111" s="119">
        <f>'Returns per Gal.'!D111</f>
        <v>233.36363636363637</v>
      </c>
      <c r="F111" s="119"/>
      <c r="G111" s="118">
        <f>'Returns per Gal.'!F111</f>
        <v>6.7066761363636367</v>
      </c>
      <c r="H111" s="118">
        <f>'Returns per Gal.'!G111</f>
        <v>4.8499999999999996</v>
      </c>
      <c r="I111" s="126"/>
      <c r="J111" s="27"/>
      <c r="K111" s="93">
        <f>D111*'Economic Model'!C$30</f>
        <v>6.9316956521739117</v>
      </c>
      <c r="L111" s="93">
        <f>E111/2000*('Economic Model'!C$32+0.5)</f>
        <v>1.9719227272727273</v>
      </c>
      <c r="M111" s="319"/>
      <c r="N111" s="93">
        <f t="shared" si="27"/>
        <v>8.9036183794466393</v>
      </c>
      <c r="O111" s="93">
        <f t="shared" si="28"/>
        <v>7.3043522449011853</v>
      </c>
      <c r="P111" s="105"/>
      <c r="Q111" s="94"/>
      <c r="R111" s="93">
        <f>G111+(H111*'Economic Model'!C$30*'Economic Model'!C$34/1000)+('Economic Model'!K$63/100)</f>
        <v>7.7466411363636363</v>
      </c>
      <c r="S111" s="93">
        <f>R111+('Economic Model'!K$60/100)</f>
        <v>8.3059422709090907</v>
      </c>
      <c r="T111" s="121"/>
      <c r="U111" s="94"/>
      <c r="V111" s="93">
        <f t="shared" si="29"/>
        <v>1.156977243083003</v>
      </c>
      <c r="W111" s="93">
        <f t="shared" si="30"/>
        <v>0.5976761085375486</v>
      </c>
      <c r="X111" s="105"/>
      <c r="Y111" s="120"/>
      <c r="Z111" s="147">
        <f>W111/('Economic Model'!H$14*(1-'Economic Model'!C$25/100))</f>
        <v>0.1820002231226685</v>
      </c>
      <c r="AA111" s="127"/>
      <c r="AB111" s="120"/>
      <c r="AC111" s="53"/>
      <c r="AD111" s="262">
        <v>1.8394160583941606</v>
      </c>
      <c r="AE111" s="93">
        <f t="shared" si="31"/>
        <v>3.7164416058394156</v>
      </c>
      <c r="AF111" s="17">
        <v>5.5558576642335762</v>
      </c>
      <c r="AG111" s="27"/>
      <c r="AH111" s="93">
        <f>AF111+(H111*'Economic Model'!C$30*'Economic Model'!C$34/1000)+('Economic Model'!K$63/100)</f>
        <v>6.5958226642335758</v>
      </c>
      <c r="AI111" s="93">
        <f>AH111+('Economic Model'!K$60/100)</f>
        <v>7.1551237987790302</v>
      </c>
      <c r="AJ111" s="120"/>
      <c r="AK111" s="91">
        <f t="shared" si="32"/>
        <v>2.3077957152130635</v>
      </c>
      <c r="AL111" s="91">
        <f t="shared" si="33"/>
        <v>1.7484945806676091</v>
      </c>
      <c r="AM111" s="91">
        <f t="shared" si="34"/>
        <v>0.5976761085375486</v>
      </c>
      <c r="AN111" s="91">
        <f t="shared" si="35"/>
        <v>1.1508184721300605</v>
      </c>
      <c r="AO111" s="52"/>
      <c r="AR111" s="186"/>
      <c r="AS111" s="15"/>
      <c r="AW111" s="273"/>
    </row>
    <row r="112" spans="1:49" hidden="1" x14ac:dyDescent="0.2">
      <c r="A112" s="8">
        <v>41487</v>
      </c>
      <c r="C112" s="53"/>
      <c r="D112" s="118">
        <f>'Returns per Gal.'!C112</f>
        <v>2.2865909090909091</v>
      </c>
      <c r="E112" s="119">
        <f>'Returns per Gal.'!D112</f>
        <v>224.73863636363637</v>
      </c>
      <c r="F112" s="119"/>
      <c r="G112" s="118">
        <f>'Returns per Gal.'!F112</f>
        <v>6.0741761363636382</v>
      </c>
      <c r="H112" s="118">
        <f>'Returns per Gal.'!G112</f>
        <v>4.84</v>
      </c>
      <c r="I112" s="126"/>
      <c r="J112" s="27"/>
      <c r="K112" s="93">
        <f>D112*'Economic Model'!C$30</f>
        <v>6.5167840909090913</v>
      </c>
      <c r="L112" s="93">
        <f>E112/2000*('Economic Model'!C$32+0.5)</f>
        <v>1.8990414772727271</v>
      </c>
      <c r="M112" s="319"/>
      <c r="N112" s="93">
        <f t="shared" si="27"/>
        <v>8.4158255681818179</v>
      </c>
      <c r="O112" s="93">
        <f t="shared" si="28"/>
        <v>6.8174144336363636</v>
      </c>
      <c r="P112" s="105"/>
      <c r="Q112" s="94"/>
      <c r="R112" s="93">
        <f>G112+(H112*'Economic Model'!C$30*'Economic Model'!C$34/1000)+('Economic Model'!K$63/100)</f>
        <v>7.1132861363636382</v>
      </c>
      <c r="S112" s="93">
        <f>R112+('Economic Model'!K$60/100)</f>
        <v>7.6725872709090925</v>
      </c>
      <c r="T112" s="121"/>
      <c r="U112" s="94"/>
      <c r="V112" s="93">
        <f t="shared" si="29"/>
        <v>1.3025394318181798</v>
      </c>
      <c r="W112" s="93">
        <f t="shared" si="30"/>
        <v>0.74323829727272539</v>
      </c>
      <c r="X112" s="105"/>
      <c r="Y112" s="120"/>
      <c r="Z112" s="147">
        <f>W112/('Economic Model'!H$14*(1-'Economic Model'!C$25/100))</f>
        <v>0.22632582096670847</v>
      </c>
      <c r="AA112" s="127"/>
      <c r="AB112" s="120"/>
      <c r="AC112" s="53"/>
      <c r="AD112" s="262">
        <v>1.8394160583941606</v>
      </c>
      <c r="AE112" s="93">
        <f t="shared" si="31"/>
        <v>3.7164416058394156</v>
      </c>
      <c r="AF112" s="17">
        <v>5.5558576642335762</v>
      </c>
      <c r="AG112" s="27"/>
      <c r="AH112" s="93">
        <f>AF112+(H112*'Economic Model'!C$30*'Economic Model'!C$34/1000)+('Economic Model'!K$63/100)</f>
        <v>6.5949676642335762</v>
      </c>
      <c r="AI112" s="93">
        <f>AH112+('Economic Model'!K$60/100)</f>
        <v>7.1542687987790305</v>
      </c>
      <c r="AJ112" s="120"/>
      <c r="AK112" s="91">
        <f t="shared" si="32"/>
        <v>1.8208579039482418</v>
      </c>
      <c r="AL112" s="91">
        <f t="shared" si="33"/>
        <v>1.2615567694027874</v>
      </c>
      <c r="AM112" s="91">
        <f t="shared" si="34"/>
        <v>0.74323829727272539</v>
      </c>
      <c r="AN112" s="91">
        <f t="shared" si="35"/>
        <v>0.51831847213006199</v>
      </c>
      <c r="AO112" s="52"/>
      <c r="AR112" s="186"/>
      <c r="AS112" s="15"/>
      <c r="AW112" s="273"/>
    </row>
    <row r="113" spans="1:49" hidden="1" x14ac:dyDescent="0.2">
      <c r="A113" s="8">
        <v>41518</v>
      </c>
      <c r="C113" s="53"/>
      <c r="D113" s="118">
        <f>'Returns per Gal.'!C113</f>
        <v>2.3583333333333334</v>
      </c>
      <c r="E113" s="119">
        <f>'Returns per Gal.'!D113</f>
        <v>218.7</v>
      </c>
      <c r="F113" s="119"/>
      <c r="G113" s="118">
        <f>'Returns per Gal.'!F113</f>
        <v>5.1482374999999996</v>
      </c>
      <c r="H113" s="118">
        <f>'Returns per Gal.'!G113</f>
        <v>4.99</v>
      </c>
      <c r="I113" s="126"/>
      <c r="J113" s="27"/>
      <c r="K113" s="93">
        <f>D113*'Economic Model'!C$30</f>
        <v>6.7212500000000004</v>
      </c>
      <c r="L113" s="93">
        <f>E113/2000*('Economic Model'!C$32+0.5)</f>
        <v>1.8480149999999997</v>
      </c>
      <c r="M113" s="319"/>
      <c r="N113" s="93">
        <f t="shared" si="27"/>
        <v>8.5692649999999997</v>
      </c>
      <c r="O113" s="93">
        <f t="shared" si="28"/>
        <v>6.9580288654545459</v>
      </c>
      <c r="P113" s="105"/>
      <c r="Q113" s="94"/>
      <c r="R113" s="93">
        <f>G113+(H113*'Economic Model'!C$30*'Economic Model'!C$34/1000)+('Economic Model'!K$63/100)</f>
        <v>6.200172499999999</v>
      </c>
      <c r="S113" s="93">
        <f>R113+('Economic Model'!K$60/100)</f>
        <v>6.7594736345454534</v>
      </c>
      <c r="T113" s="121"/>
      <c r="U113" s="94"/>
      <c r="V113" s="93">
        <f t="shared" si="29"/>
        <v>2.3690925000000007</v>
      </c>
      <c r="W113" s="93">
        <f t="shared" si="30"/>
        <v>1.8097913654545463</v>
      </c>
      <c r="X113" s="105"/>
      <c r="Y113" s="120"/>
      <c r="Z113" s="147">
        <f>W113/('Economic Model'!H$14*(1-'Economic Model'!C$25/100))</f>
        <v>0.55110523511500398</v>
      </c>
      <c r="AA113" s="127"/>
      <c r="AB113" s="120"/>
      <c r="AC113" s="53"/>
      <c r="AD113" s="262">
        <v>1.6463414634146341</v>
      </c>
      <c r="AE113" s="93">
        <f t="shared" si="31"/>
        <v>3.1845487804878045</v>
      </c>
      <c r="AF113" s="17">
        <v>4.8308902439024388</v>
      </c>
      <c r="AG113" s="27"/>
      <c r="AH113" s="93">
        <f>AF113+(H113*'Economic Model'!C$30*'Economic Model'!C$34/1000)+('Economic Model'!K$63/100)</f>
        <v>5.8828252439024382</v>
      </c>
      <c r="AI113" s="93">
        <f>AH113+('Economic Model'!K$60/100)</f>
        <v>6.4421263784478926</v>
      </c>
      <c r="AJ113" s="120"/>
      <c r="AK113" s="91">
        <f t="shared" si="32"/>
        <v>2.6864397560975615</v>
      </c>
      <c r="AL113" s="91">
        <f t="shared" si="33"/>
        <v>2.1271386215521071</v>
      </c>
      <c r="AM113" s="91">
        <f t="shared" si="34"/>
        <v>1.8097913654545463</v>
      </c>
      <c r="AN113" s="91">
        <f t="shared" si="35"/>
        <v>0.31734725609756076</v>
      </c>
      <c r="AO113" s="52"/>
      <c r="AR113" s="186"/>
      <c r="AS113" s="15"/>
      <c r="AW113" s="273"/>
    </row>
    <row r="114" spans="1:49" hidden="1" x14ac:dyDescent="0.2">
      <c r="A114" s="8">
        <v>41548</v>
      </c>
      <c r="C114" s="53"/>
      <c r="D114" s="118">
        <f>'Returns per Gal.'!C114</f>
        <v>2.0538461538461541</v>
      </c>
      <c r="E114" s="119">
        <f>'Returns per Gal.'!D114</f>
        <v>202</v>
      </c>
      <c r="F114" s="119"/>
      <c r="G114" s="118">
        <f>'Returns per Gal.'!F114</f>
        <v>4.4284999999999997</v>
      </c>
      <c r="H114" s="118">
        <f>'Returns per Gal.'!G114</f>
        <v>5.05</v>
      </c>
      <c r="I114" s="126"/>
      <c r="J114" s="27"/>
      <c r="K114" s="93">
        <f>D114*'Economic Model'!C$30</f>
        <v>5.8534615384615396</v>
      </c>
      <c r="L114" s="93">
        <f>E114/2000*('Economic Model'!C$32+0.5)</f>
        <v>1.7068999999999999</v>
      </c>
      <c r="M114" s="319"/>
      <c r="N114" s="93">
        <f t="shared" si="27"/>
        <v>7.5603615384615397</v>
      </c>
      <c r="O114" s="93">
        <f t="shared" si="28"/>
        <v>5.9439954039160856</v>
      </c>
      <c r="P114" s="105"/>
      <c r="Q114" s="94"/>
      <c r="R114" s="93">
        <f>G114+(H114*'Economic Model'!C$30*'Economic Model'!C$34/1000)+('Economic Model'!K$63/100)</f>
        <v>5.4855649999999994</v>
      </c>
      <c r="S114" s="93">
        <f>R114+('Economic Model'!K$60/100)</f>
        <v>6.0448661345454537</v>
      </c>
      <c r="T114" s="121"/>
      <c r="U114" s="94"/>
      <c r="V114" s="93">
        <f t="shared" si="29"/>
        <v>2.0747965384615403</v>
      </c>
      <c r="W114" s="93">
        <f t="shared" si="30"/>
        <v>1.5154954039160859</v>
      </c>
      <c r="X114" s="105"/>
      <c r="Y114" s="120"/>
      <c r="Z114" s="147">
        <f>W114/('Economic Model'!H$14*(1-'Economic Model'!C$25/100))</f>
        <v>0.46148825043217878</v>
      </c>
      <c r="AA114" s="127"/>
      <c r="AB114" s="120"/>
      <c r="AC114" s="53"/>
      <c r="AD114" s="262">
        <v>1.6463414634146341</v>
      </c>
      <c r="AE114" s="93">
        <f t="shared" si="31"/>
        <v>3.1845487804878045</v>
      </c>
      <c r="AF114" s="17">
        <v>4.8308902439024388</v>
      </c>
      <c r="AG114" s="27"/>
      <c r="AH114" s="93">
        <f>AF114+(H114*'Economic Model'!C$30*'Economic Model'!C$34/1000)+('Economic Model'!K$63/100)</f>
        <v>5.8879552439024385</v>
      </c>
      <c r="AI114" s="93">
        <f>AH114+('Economic Model'!K$60/100)</f>
        <v>6.4472563784478929</v>
      </c>
      <c r="AJ114" s="120"/>
      <c r="AK114" s="91">
        <f t="shared" si="32"/>
        <v>1.6724062945591012</v>
      </c>
      <c r="AL114" s="91">
        <f t="shared" si="33"/>
        <v>1.1131051600136468</v>
      </c>
      <c r="AM114" s="91">
        <f t="shared" si="34"/>
        <v>1.5154954039160859</v>
      </c>
      <c r="AN114" s="91">
        <f t="shared" si="35"/>
        <v>-0.40239024390243916</v>
      </c>
      <c r="AO114" s="52"/>
      <c r="AR114" s="186"/>
      <c r="AS114" s="15"/>
      <c r="AW114" s="273"/>
    </row>
    <row r="115" spans="1:49" hidden="1" x14ac:dyDescent="0.2">
      <c r="A115" s="8">
        <v>41579</v>
      </c>
      <c r="C115" s="53"/>
      <c r="D115" s="118">
        <f>'Returns per Gal.'!C115</f>
        <v>1.9611904761904764</v>
      </c>
      <c r="E115" s="119">
        <f>'Returns per Gal.'!D115</f>
        <v>206.44736842105263</v>
      </c>
      <c r="F115" s="119"/>
      <c r="G115" s="118">
        <f>'Returns per Gal.'!F115</f>
        <v>4.3354605263157904</v>
      </c>
      <c r="H115" s="118">
        <f>'Returns per Gal.'!G115</f>
        <v>5.58</v>
      </c>
      <c r="I115" s="126"/>
      <c r="J115" s="27"/>
      <c r="K115" s="93">
        <f>D115*'Economic Model'!C$30</f>
        <v>5.5893928571428582</v>
      </c>
      <c r="L115" s="93">
        <f>E115/2000*('Economic Model'!C$32+0.5)</f>
        <v>1.7444802631578946</v>
      </c>
      <c r="M115" s="319"/>
      <c r="N115" s="93">
        <f t="shared" si="27"/>
        <v>7.333873120300753</v>
      </c>
      <c r="O115" s="93">
        <f t="shared" si="28"/>
        <v>5.6721919857552985</v>
      </c>
      <c r="P115" s="105"/>
      <c r="Q115" s="94"/>
      <c r="R115" s="93">
        <f>G115+(H115*'Economic Model'!C$30*'Economic Model'!C$34/1000)+('Economic Model'!K$63/100)</f>
        <v>5.4378405263157905</v>
      </c>
      <c r="S115" s="93">
        <f>R115+('Economic Model'!K$60/100)</f>
        <v>5.9971416608612449</v>
      </c>
      <c r="T115" s="121"/>
      <c r="U115" s="94"/>
      <c r="V115" s="93">
        <f t="shared" si="29"/>
        <v>1.8960325939849625</v>
      </c>
      <c r="W115" s="93">
        <f t="shared" si="30"/>
        <v>1.3367314594395081</v>
      </c>
      <c r="X115" s="105"/>
      <c r="Y115" s="120"/>
      <c r="Z115" s="147">
        <f>W115/('Economic Model'!H$14*(1-'Economic Model'!C$25/100))</f>
        <v>0.40705228199329396</v>
      </c>
      <c r="AA115" s="127"/>
      <c r="AB115" s="120"/>
      <c r="AC115" s="53"/>
      <c r="AD115" s="262">
        <v>1.6463414634146341</v>
      </c>
      <c r="AE115" s="93">
        <f t="shared" si="31"/>
        <v>3.1845487804878045</v>
      </c>
      <c r="AF115" s="17">
        <v>4.8308902439024388</v>
      </c>
      <c r="AG115" s="27"/>
      <c r="AH115" s="93">
        <f>AF115+(H115*'Economic Model'!C$30*'Economic Model'!C$34/1000)+('Economic Model'!K$63/100)</f>
        <v>5.9332702439024381</v>
      </c>
      <c r="AI115" s="93">
        <f>AH115+('Economic Model'!K$60/100)</f>
        <v>6.4925713784478924</v>
      </c>
      <c r="AJ115" s="120"/>
      <c r="AK115" s="91">
        <f t="shared" si="32"/>
        <v>1.4006028763983149</v>
      </c>
      <c r="AL115" s="91">
        <f t="shared" si="33"/>
        <v>0.84130174185286055</v>
      </c>
      <c r="AM115" s="91">
        <f t="shared" si="34"/>
        <v>1.3367314594395081</v>
      </c>
      <c r="AN115" s="91">
        <f t="shared" si="35"/>
        <v>-0.49542971758664844</v>
      </c>
      <c r="AO115" s="52"/>
      <c r="AR115" s="186"/>
      <c r="AS115" s="15"/>
      <c r="AW115" s="273"/>
    </row>
    <row r="116" spans="1:49" hidden="1" x14ac:dyDescent="0.2">
      <c r="A116" s="68">
        <v>41609</v>
      </c>
      <c r="B116" s="29"/>
      <c r="C116" s="56"/>
      <c r="D116" s="128">
        <f>'Returns per Gal.'!C116</f>
        <v>2.3029545454545461</v>
      </c>
      <c r="E116" s="129">
        <f>'Returns per Gal.'!D116</f>
        <v>212.1904761904762</v>
      </c>
      <c r="F116" s="129"/>
      <c r="G116" s="128">
        <f>'Returns per Gal.'!F116</f>
        <v>4.34547619047619</v>
      </c>
      <c r="H116" s="128">
        <f>'Returns per Gal.'!G116</f>
        <v>5.98</v>
      </c>
      <c r="I116" s="135"/>
      <c r="J116" s="29"/>
      <c r="K116" s="97">
        <f>D116*'Economic Model'!C$30</f>
        <v>6.5634204545454571</v>
      </c>
      <c r="L116" s="97">
        <f>E116/2000*('Economic Model'!C$32+0.5)</f>
        <v>1.7930095238095238</v>
      </c>
      <c r="M116" s="320"/>
      <c r="N116" s="97">
        <f t="shared" si="27"/>
        <v>8.3564299783549814</v>
      </c>
      <c r="O116" s="97">
        <f t="shared" si="28"/>
        <v>6.6605488438095275</v>
      </c>
      <c r="P116" s="107"/>
      <c r="Q116" s="98"/>
      <c r="R116" s="97">
        <f>G116+(H116*'Economic Model'!C$30*'Economic Model'!C$34/1000)+('Economic Model'!K$63/100)</f>
        <v>5.4820561904761895</v>
      </c>
      <c r="S116" s="97">
        <f>R116+('Economic Model'!K$60/100)</f>
        <v>6.0413573250216439</v>
      </c>
      <c r="T116" s="131"/>
      <c r="U116" s="98"/>
      <c r="V116" s="97">
        <f t="shared" si="29"/>
        <v>2.8743737878787918</v>
      </c>
      <c r="W116" s="97">
        <f t="shared" si="30"/>
        <v>2.3150726533333374</v>
      </c>
      <c r="X116" s="107"/>
      <c r="Y116" s="130"/>
      <c r="Z116" s="148">
        <f>W116/('Economic Model'!H$14*(1-'Economic Model'!C$25/100))</f>
        <v>0.70497002211254522</v>
      </c>
      <c r="AA116" s="136"/>
      <c r="AB116" s="130"/>
      <c r="AC116" s="56"/>
      <c r="AD116" s="263">
        <v>1.6463414634146341</v>
      </c>
      <c r="AE116" s="97">
        <f t="shared" si="31"/>
        <v>3.1845487804878045</v>
      </c>
      <c r="AF116" s="65">
        <v>4.8308902439024388</v>
      </c>
      <c r="AG116" s="29"/>
      <c r="AH116" s="97">
        <f>AF116+(H116*'Economic Model'!C$30*'Economic Model'!C$34/1000)+('Economic Model'!K$63/100)</f>
        <v>5.9674702439024383</v>
      </c>
      <c r="AI116" s="97">
        <f>AH116+('Economic Model'!K$60/100)</f>
        <v>6.5267713784478927</v>
      </c>
      <c r="AJ116" s="130"/>
      <c r="AK116" s="92">
        <f t="shared" si="32"/>
        <v>2.3889597344525431</v>
      </c>
      <c r="AL116" s="92">
        <f t="shared" si="33"/>
        <v>1.8296585999070887</v>
      </c>
      <c r="AM116" s="92">
        <f t="shared" si="34"/>
        <v>2.3150726533333374</v>
      </c>
      <c r="AN116" s="92">
        <f t="shared" si="35"/>
        <v>-0.48541405342624877</v>
      </c>
      <c r="AO116" s="64"/>
      <c r="AR116" s="186"/>
      <c r="AS116" s="15"/>
      <c r="AW116" s="273"/>
    </row>
    <row r="117" spans="1:49" hidden="1" x14ac:dyDescent="0.2">
      <c r="A117" s="21">
        <v>41640</v>
      </c>
      <c r="C117" s="53"/>
      <c r="D117" s="118">
        <f>'Returns per Gal.'!C117</f>
        <v>2.0704545454545444</v>
      </c>
      <c r="E117" s="119">
        <f>'Returns per Gal.'!D117</f>
        <v>168.16666666666666</v>
      </c>
      <c r="F117" s="119"/>
      <c r="G117" s="118">
        <f>'Returns per Gal.'!F117</f>
        <v>4.2671422619047616</v>
      </c>
      <c r="H117" s="118">
        <f>'Returns per Gal.'!G117</f>
        <v>7.2</v>
      </c>
      <c r="I117" s="126"/>
      <c r="J117" s="27"/>
      <c r="K117" s="93">
        <f>D117*'Economic Model'!C$30</f>
        <v>5.9007954545454515</v>
      </c>
      <c r="L117" s="93">
        <f>E117/2000*('Economic Model'!C$32+0.5)</f>
        <v>1.4210083333333332</v>
      </c>
      <c r="M117" s="319"/>
      <c r="N117" s="93">
        <f t="shared" si="27"/>
        <v>7.3218037878787845</v>
      </c>
      <c r="O117" s="93">
        <f t="shared" si="28"/>
        <v>5.5216126533333307</v>
      </c>
      <c r="P117" s="105"/>
      <c r="Q117" s="94"/>
      <c r="R117" s="93">
        <f>G117+(H117*'Economic Model'!C$30*'Economic Model'!C$34/1000)+('Economic Model'!K$63/100)</f>
        <v>5.508032261904761</v>
      </c>
      <c r="S117" s="93">
        <f>R117+('Economic Model'!K$60/100)</f>
        <v>6.0673333964502154</v>
      </c>
      <c r="T117" s="121"/>
      <c r="U117" s="94"/>
      <c r="V117" s="93">
        <f t="shared" si="29"/>
        <v>1.8137715259740235</v>
      </c>
      <c r="W117" s="93">
        <f t="shared" si="30"/>
        <v>1.2544703914285691</v>
      </c>
      <c r="X117" s="105"/>
      <c r="Y117" s="120"/>
      <c r="Z117" s="147">
        <f>W117/('Economic Model'!H$14*(1-'Economic Model'!C$25/100))</f>
        <v>0.38200270661553004</v>
      </c>
      <c r="AA117" s="127"/>
      <c r="AB117" s="120"/>
      <c r="AC117" s="53"/>
      <c r="AD117" s="262">
        <v>1.6463414634146341</v>
      </c>
      <c r="AE117" s="93">
        <f t="shared" si="31"/>
        <v>3.1845487804878045</v>
      </c>
      <c r="AF117" s="17">
        <v>4.8308902439024388</v>
      </c>
      <c r="AG117" s="27"/>
      <c r="AH117" s="93">
        <f>AF117+(H117*'Economic Model'!C$30*'Economic Model'!C$34/1000)+('Economic Model'!K$63/100)</f>
        <v>6.0717802439024382</v>
      </c>
      <c r="AI117" s="93">
        <f>AH117+('Economic Model'!K$60/100)</f>
        <v>6.6310813784478926</v>
      </c>
      <c r="AJ117" s="120"/>
      <c r="AK117" s="91">
        <f t="shared" si="32"/>
        <v>1.2500235439763463</v>
      </c>
      <c r="AL117" s="91">
        <f t="shared" si="33"/>
        <v>0.69072240943089191</v>
      </c>
      <c r="AM117" s="91">
        <f t="shared" si="34"/>
        <v>1.2544703914285691</v>
      </c>
      <c r="AN117" s="91">
        <f t="shared" si="35"/>
        <v>-0.56374798199767717</v>
      </c>
      <c r="AO117" s="52"/>
      <c r="AR117" s="186"/>
      <c r="AS117" s="15"/>
      <c r="AW117" s="273"/>
    </row>
    <row r="118" spans="1:49" hidden="1" x14ac:dyDescent="0.2">
      <c r="A118" s="8">
        <v>41671</v>
      </c>
      <c r="C118" s="53"/>
      <c r="D118" s="118">
        <f>'Returns per Gal.'!C118</f>
        <v>1.9445000000000001</v>
      </c>
      <c r="E118" s="119">
        <f>'Returns per Gal.'!D118</f>
        <v>202.13157894736841</v>
      </c>
      <c r="F118" s="119"/>
      <c r="G118" s="118">
        <f>'Returns per Gal.'!F118</f>
        <v>4.4448355263157904</v>
      </c>
      <c r="H118" s="118">
        <f>'Returns per Gal.'!G118</f>
        <v>8.77</v>
      </c>
      <c r="I118" s="120"/>
      <c r="J118" s="14"/>
      <c r="K118" s="93">
        <f>D118*'Economic Model'!C$30</f>
        <v>5.5418250000000002</v>
      </c>
      <c r="L118" s="93">
        <f>E118/2000*('Economic Model'!C$32+0.5)</f>
        <v>1.708011842105263</v>
      </c>
      <c r="M118" s="319"/>
      <c r="N118" s="93">
        <f t="shared" si="27"/>
        <v>7.249836842105263</v>
      </c>
      <c r="O118" s="93">
        <f t="shared" si="28"/>
        <v>5.3154107075598089</v>
      </c>
      <c r="P118" s="93"/>
      <c r="Q118" s="137"/>
      <c r="R118" s="93">
        <f>G118+(H118*'Economic Model'!C$30*'Economic Model'!C$34/1000)+('Economic Model'!K$63/100)</f>
        <v>5.8199605263157901</v>
      </c>
      <c r="S118" s="93">
        <f>R118+('Economic Model'!K$60/100)</f>
        <v>6.3792616608612445</v>
      </c>
      <c r="T118" s="261"/>
      <c r="U118" s="137"/>
      <c r="V118" s="93">
        <f t="shared" si="29"/>
        <v>1.4298763157894729</v>
      </c>
      <c r="W118" s="93">
        <f t="shared" si="30"/>
        <v>0.87057518124401856</v>
      </c>
      <c r="X118" s="93"/>
      <c r="Y118" s="146"/>
      <c r="Z118" s="147">
        <f>W118/('Economic Model'!H$14*(1-'Economic Model'!C$25/100))</f>
        <v>0.26510157419403485</v>
      </c>
      <c r="AA118" s="127"/>
      <c r="AB118" s="120"/>
      <c r="AC118" s="53"/>
      <c r="AD118" s="262">
        <v>1.6463414634146341</v>
      </c>
      <c r="AE118" s="93">
        <f t="shared" si="31"/>
        <v>3.1845487804878045</v>
      </c>
      <c r="AF118" s="17">
        <v>4.8308902439024388</v>
      </c>
      <c r="AG118" s="27"/>
      <c r="AH118" s="93">
        <f>AF118+(H118*'Economic Model'!C$30*'Economic Model'!C$34/1000)+('Economic Model'!K$63/100)</f>
        <v>6.2060152439024385</v>
      </c>
      <c r="AI118" s="93">
        <f>AH118+('Economic Model'!K$60/100)</f>
        <v>6.7653163784478929</v>
      </c>
      <c r="AJ118" s="120"/>
      <c r="AK118" s="91">
        <f t="shared" si="32"/>
        <v>1.0438215982028245</v>
      </c>
      <c r="AL118" s="91">
        <f t="shared" si="33"/>
        <v>0.48452046365737012</v>
      </c>
      <c r="AM118" s="91">
        <f t="shared" si="34"/>
        <v>0.87057518124401856</v>
      </c>
      <c r="AN118" s="91">
        <f t="shared" si="35"/>
        <v>-0.38605471758664844</v>
      </c>
      <c r="AO118" s="52"/>
      <c r="AR118" s="186"/>
      <c r="AS118" s="15"/>
      <c r="AW118" s="273"/>
    </row>
    <row r="119" spans="1:49" hidden="1" x14ac:dyDescent="0.2">
      <c r="A119" s="8">
        <v>41699</v>
      </c>
      <c r="B119" s="27"/>
      <c r="C119" s="53"/>
      <c r="D119" s="118">
        <f>'Returns per Gal.'!C119</f>
        <v>2.4778571428571428</v>
      </c>
      <c r="E119" s="119">
        <f>'Returns per Gal.'!D119</f>
        <v>236.13095238095238</v>
      </c>
      <c r="F119" s="119"/>
      <c r="G119" s="118">
        <f>'Returns per Gal.'!F119</f>
        <v>4.6688095238095242</v>
      </c>
      <c r="H119" s="118">
        <f>'Returns per Gal.'!G119</f>
        <v>8.8699999999999992</v>
      </c>
      <c r="I119" s="120"/>
      <c r="J119" s="14"/>
      <c r="K119" s="93">
        <f>D119*'Economic Model'!C$30</f>
        <v>7.0618928571428574</v>
      </c>
      <c r="L119" s="93">
        <f>E119/2000*('Economic Model'!C$32+0.5)</f>
        <v>1.9953065476190475</v>
      </c>
      <c r="M119" s="319"/>
      <c r="N119" s="93">
        <f t="shared" si="27"/>
        <v>9.0571994047619047</v>
      </c>
      <c r="O119" s="93">
        <f t="shared" si="28"/>
        <v>7.114223270216451</v>
      </c>
      <c r="P119" s="93"/>
      <c r="Q119" s="137"/>
      <c r="R119" s="93">
        <f>G119+(H119*'Economic Model'!C$30*'Economic Model'!C$34/1000)+('Economic Model'!K$63/100)</f>
        <v>6.0524845238095235</v>
      </c>
      <c r="S119" s="93">
        <f>R119+('Economic Model'!K$60/100)</f>
        <v>6.6117856583549779</v>
      </c>
      <c r="T119" s="261"/>
      <c r="U119" s="137"/>
      <c r="V119" s="93">
        <f t="shared" si="29"/>
        <v>3.0047148809523812</v>
      </c>
      <c r="W119" s="93">
        <f t="shared" si="30"/>
        <v>2.4454137464069268</v>
      </c>
      <c r="X119" s="93"/>
      <c r="Y119" s="146"/>
      <c r="Z119" s="147">
        <f>W119/('Economic Model'!H$14*(1-'Economic Model'!C$25/100))</f>
        <v>0.74466059645973026</v>
      </c>
      <c r="AA119" s="52"/>
      <c r="AB119" s="27"/>
      <c r="AC119" s="53"/>
      <c r="AD119" s="262">
        <v>1.6463414634146341</v>
      </c>
      <c r="AE119" s="93">
        <f t="shared" si="31"/>
        <v>3.1845487804878045</v>
      </c>
      <c r="AF119" s="17">
        <v>4.8308902439024388</v>
      </c>
      <c r="AG119" s="27"/>
      <c r="AH119" s="93">
        <f>AF119+(H119*'Economic Model'!C$30*'Economic Model'!C$34/1000)+('Economic Model'!K$63/100)</f>
        <v>6.2145652439024381</v>
      </c>
      <c r="AI119" s="93">
        <f>AH119+('Economic Model'!K$60/100)</f>
        <v>6.7738663784478925</v>
      </c>
      <c r="AJ119" s="120"/>
      <c r="AK119" s="91">
        <f t="shared" si="32"/>
        <v>2.8426341608594665</v>
      </c>
      <c r="AL119" s="91">
        <f t="shared" si="33"/>
        <v>2.2833330263140121</v>
      </c>
      <c r="AM119" s="91">
        <f t="shared" si="34"/>
        <v>2.4454137464069268</v>
      </c>
      <c r="AN119" s="91">
        <f t="shared" si="35"/>
        <v>-0.16208072009291463</v>
      </c>
      <c r="AO119" s="264"/>
      <c r="AP119" s="27"/>
      <c r="AQ119" s="27"/>
      <c r="AS119" s="15"/>
      <c r="AW119" s="273"/>
    </row>
    <row r="120" spans="1:49" hidden="1" x14ac:dyDescent="0.2">
      <c r="A120" s="8">
        <v>41730</v>
      </c>
      <c r="C120" s="53"/>
      <c r="D120" s="118">
        <f>'Returns per Gal.'!C120</f>
        <v>2.7863636363636357</v>
      </c>
      <c r="E120" s="119">
        <f>'Returns per Gal.'!D120</f>
        <v>233.0952380952381</v>
      </c>
      <c r="F120" s="119"/>
      <c r="G120" s="118">
        <f>'Returns per Gal.'!F120</f>
        <v>4.8590119047619051</v>
      </c>
      <c r="H120" s="118">
        <f>'Returns per Gal.'!G120</f>
        <v>7.91</v>
      </c>
      <c r="I120" s="120"/>
      <c r="J120" s="14"/>
      <c r="K120" s="93">
        <f>D120*'Economic Model'!C$30</f>
        <v>7.9411363636363621</v>
      </c>
      <c r="L120" s="93">
        <f>E120/2000*('Economic Model'!C$32+0.5)</f>
        <v>1.9696547619047617</v>
      </c>
      <c r="M120" s="319"/>
      <c r="N120" s="93">
        <f t="shared" si="27"/>
        <v>9.9107911255411238</v>
      </c>
      <c r="O120" s="93">
        <f t="shared" si="28"/>
        <v>8.0498949909956696</v>
      </c>
      <c r="P120" s="93"/>
      <c r="Q120" s="137"/>
      <c r="R120" s="93">
        <f>G120+(H120*'Economic Model'!C$30*'Economic Model'!C$34/1000)+('Economic Model'!K$63/100)</f>
        <v>6.160606904761905</v>
      </c>
      <c r="S120" s="93">
        <f>R120+('Economic Model'!K$60/100)</f>
        <v>6.7199080393073594</v>
      </c>
      <c r="T120" s="261"/>
      <c r="U120" s="137"/>
      <c r="V120" s="93">
        <f t="shared" si="29"/>
        <v>3.7501842207792189</v>
      </c>
      <c r="W120" s="93">
        <f t="shared" si="30"/>
        <v>3.1908830862337645</v>
      </c>
      <c r="X120" s="93"/>
      <c r="Y120" s="146"/>
      <c r="Z120" s="147">
        <f>W120/('Economic Model'!H$14*(1-'Economic Model'!C$25/100))</f>
        <v>0.97166579917994089</v>
      </c>
      <c r="AA120" s="52"/>
      <c r="AC120" s="53"/>
      <c r="AD120" s="262">
        <v>1.6463414634146341</v>
      </c>
      <c r="AE120" s="93">
        <f t="shared" si="31"/>
        <v>3.1845487804878045</v>
      </c>
      <c r="AF120" s="17">
        <v>4.8308902439024388</v>
      </c>
      <c r="AG120" s="27"/>
      <c r="AH120" s="93">
        <f>AF120+(H120*'Economic Model'!C$30*'Economic Model'!C$34/1000)+('Economic Model'!K$63/100)</f>
        <v>6.1324852439024387</v>
      </c>
      <c r="AI120" s="93">
        <f>AH120+('Economic Model'!K$60/100)</f>
        <v>6.691786378447893</v>
      </c>
      <c r="AJ120" s="120"/>
      <c r="AK120" s="91">
        <f t="shared" si="32"/>
        <v>3.7783058816386852</v>
      </c>
      <c r="AL120" s="91">
        <f t="shared" si="33"/>
        <v>3.2190047470932308</v>
      </c>
      <c r="AM120" s="91">
        <f t="shared" si="34"/>
        <v>3.1908830862337645</v>
      </c>
      <c r="AN120" s="91">
        <f t="shared" si="35"/>
        <v>2.8121660859466324E-2</v>
      </c>
      <c r="AO120" s="267" t="s">
        <v>0</v>
      </c>
      <c r="AP120" s="27"/>
      <c r="AS120" s="15"/>
      <c r="AW120" s="273"/>
    </row>
    <row r="121" spans="1:49" hidden="1" x14ac:dyDescent="0.2">
      <c r="A121" s="8">
        <v>41760</v>
      </c>
      <c r="C121" s="53"/>
      <c r="D121" s="118">
        <f>'Returns per Gal.'!C121</f>
        <v>2.2397727272727264</v>
      </c>
      <c r="E121" s="119">
        <f>'Returns per Gal.'!D121</f>
        <v>213.92857142857142</v>
      </c>
      <c r="F121" s="119"/>
      <c r="G121" s="118">
        <f>'Returns per Gal.'!F121</f>
        <v>4.7784523809523813</v>
      </c>
      <c r="H121" s="118">
        <f>'Returns per Gal.'!G121</f>
        <v>7.78</v>
      </c>
      <c r="I121" s="120"/>
      <c r="J121" s="14"/>
      <c r="K121" s="93">
        <f>D121*'Economic Model'!C$30</f>
        <v>6.3833522727272705</v>
      </c>
      <c r="L121" s="93">
        <f>E121/2000*('Economic Model'!C$32+0.5)</f>
        <v>1.8076964285714283</v>
      </c>
      <c r="M121" s="319"/>
      <c r="N121" s="93">
        <f t="shared" si="27"/>
        <v>8.1910487012986994</v>
      </c>
      <c r="O121" s="93">
        <f t="shared" si="28"/>
        <v>6.3412675667532454</v>
      </c>
      <c r="P121" s="93"/>
      <c r="Q121" s="137"/>
      <c r="R121" s="93">
        <f>G121+(H121*'Economic Model'!C$30*'Economic Model'!C$34/1000)+('Economic Model'!K$63/100)</f>
        <v>6.068932380952381</v>
      </c>
      <c r="S121" s="93">
        <f>R121+('Economic Model'!K$60/100)</f>
        <v>6.6282335154978353</v>
      </c>
      <c r="T121" s="261"/>
      <c r="U121" s="137"/>
      <c r="V121" s="93">
        <f t="shared" si="29"/>
        <v>2.1221163203463185</v>
      </c>
      <c r="W121" s="93">
        <f t="shared" si="30"/>
        <v>1.5628151858008641</v>
      </c>
      <c r="X121" s="93"/>
      <c r="Y121" s="146"/>
      <c r="Z121" s="147">
        <f>W121/('Economic Model'!H$14*(1-'Economic Model'!C$25/100))</f>
        <v>0.47589774537119989</v>
      </c>
      <c r="AA121" s="52"/>
      <c r="AC121" s="53"/>
      <c r="AD121" s="262">
        <v>1.6463414634146341</v>
      </c>
      <c r="AE121" s="93">
        <f t="shared" si="31"/>
        <v>3.1845487804878045</v>
      </c>
      <c r="AF121" s="17">
        <v>4.8308902439024388</v>
      </c>
      <c r="AG121" s="27"/>
      <c r="AH121" s="93">
        <f>AF121+(H121*'Economic Model'!C$30*'Economic Model'!C$34/1000)+('Economic Model'!K$63/100)</f>
        <v>6.1213702439024384</v>
      </c>
      <c r="AI121" s="93">
        <f>AH121+('Economic Model'!K$60/100)</f>
        <v>6.6806713784478928</v>
      </c>
      <c r="AJ121" s="120"/>
      <c r="AK121" s="91">
        <f t="shared" si="32"/>
        <v>2.069678457396261</v>
      </c>
      <c r="AL121" s="91">
        <f t="shared" si="33"/>
        <v>1.5103773228508066</v>
      </c>
      <c r="AM121" s="91">
        <f t="shared" si="34"/>
        <v>1.5628151858008641</v>
      </c>
      <c r="AN121" s="91">
        <f t="shared" si="35"/>
        <v>-5.2437862950057479E-2</v>
      </c>
      <c r="AO121" s="264"/>
      <c r="AP121" s="27"/>
      <c r="AS121" s="15"/>
      <c r="AW121" s="273"/>
    </row>
    <row r="122" spans="1:49" hidden="1" x14ac:dyDescent="0.2">
      <c r="A122" s="8">
        <v>41791</v>
      </c>
      <c r="C122" s="53"/>
      <c r="D122" s="118">
        <f>'Returns per Gal.'!C122</f>
        <v>2.2238095238095239</v>
      </c>
      <c r="E122" s="119">
        <f>'Returns per Gal.'!D122</f>
        <v>167.21428571428572</v>
      </c>
      <c r="F122" s="119"/>
      <c r="G122" s="118">
        <f>'Returns per Gal.'!F122</f>
        <v>4.4533869047619055</v>
      </c>
      <c r="H122" s="118">
        <f>'Returns per Gal.'!G122</f>
        <v>8.66</v>
      </c>
      <c r="I122" s="120"/>
      <c r="J122" s="14"/>
      <c r="K122" s="93">
        <f>D122*'Economic Model'!C$30</f>
        <v>6.3378571428571435</v>
      </c>
      <c r="L122" s="93">
        <f>E122/2000*('Economic Model'!C$32+0.5)</f>
        <v>1.4129607142857143</v>
      </c>
      <c r="M122" s="319"/>
      <c r="N122" s="93">
        <f t="shared" si="27"/>
        <v>7.7508178571428576</v>
      </c>
      <c r="O122" s="93">
        <f t="shared" si="28"/>
        <v>5.8257967225974037</v>
      </c>
      <c r="P122" s="93"/>
      <c r="Q122" s="137"/>
      <c r="R122" s="93">
        <f>G122+(H122*'Economic Model'!C$30*'Economic Model'!C$34/1000)+('Economic Model'!K$63/100)</f>
        <v>5.8191069047619051</v>
      </c>
      <c r="S122" s="93">
        <f>R122+('Economic Model'!K$60/100)</f>
        <v>6.3784080393073594</v>
      </c>
      <c r="T122" s="261"/>
      <c r="U122" s="137"/>
      <c r="V122" s="93">
        <f t="shared" si="29"/>
        <v>1.9317109523809526</v>
      </c>
      <c r="W122" s="93">
        <f t="shared" si="30"/>
        <v>1.3724098178354982</v>
      </c>
      <c r="X122" s="93"/>
      <c r="Y122" s="146"/>
      <c r="Z122" s="147">
        <f>W122/('Economic Model'!H$14*(1-'Economic Model'!C$25/100))</f>
        <v>0.4179168106166809</v>
      </c>
      <c r="AA122" s="52"/>
      <c r="AC122" s="53"/>
      <c r="AD122" s="262">
        <v>1.6463414634146341</v>
      </c>
      <c r="AE122" s="93">
        <f t="shared" si="31"/>
        <v>3.1845487804878045</v>
      </c>
      <c r="AF122" s="17">
        <v>4.8308902439024388</v>
      </c>
      <c r="AG122" s="27"/>
      <c r="AH122" s="93">
        <f>AF122+(H122*'Economic Model'!C$30*'Economic Model'!C$34/1000)+('Economic Model'!K$63/100)</f>
        <v>6.1966102439024384</v>
      </c>
      <c r="AI122" s="93">
        <f>AH122+('Economic Model'!K$60/100)</f>
        <v>6.7559113784478928</v>
      </c>
      <c r="AJ122" s="120"/>
      <c r="AK122" s="91">
        <f t="shared" si="32"/>
        <v>1.5542076132404192</v>
      </c>
      <c r="AL122" s="91">
        <f t="shared" si="33"/>
        <v>0.99490647869496485</v>
      </c>
      <c r="AM122" s="91">
        <f t="shared" si="34"/>
        <v>1.3724098178354982</v>
      </c>
      <c r="AN122" s="91">
        <f t="shared" si="35"/>
        <v>-0.37750333914053336</v>
      </c>
      <c r="AO122" s="264"/>
      <c r="AP122" s="27"/>
      <c r="AS122" s="15"/>
      <c r="AW122" s="273"/>
    </row>
    <row r="123" spans="1:49" hidden="1" x14ac:dyDescent="0.2">
      <c r="A123" s="8">
        <v>41821</v>
      </c>
      <c r="C123" s="53"/>
      <c r="D123" s="118">
        <f>'Returns per Gal.'!C123</f>
        <v>2.0961363636363632</v>
      </c>
      <c r="E123" s="119">
        <f>'Returns per Gal.'!D123</f>
        <v>129.56818181818181</v>
      </c>
      <c r="F123" s="119"/>
      <c r="G123" s="118">
        <f>'Returns per Gal.'!F123</f>
        <v>3.7986363636363638</v>
      </c>
      <c r="H123" s="118">
        <f>'Returns per Gal.'!G123</f>
        <v>7.6</v>
      </c>
      <c r="I123" s="120"/>
      <c r="J123" s="14"/>
      <c r="K123" s="93">
        <f>D123*'Economic Model'!C$30</f>
        <v>5.9739886363636359</v>
      </c>
      <c r="L123" s="93">
        <f>E123/2000*('Economic Model'!C$32+0.5)</f>
        <v>1.0948511363636362</v>
      </c>
      <c r="M123" s="319"/>
      <c r="N123" s="93">
        <f t="shared" si="27"/>
        <v>7.068839772727272</v>
      </c>
      <c r="O123" s="93">
        <f t="shared" si="28"/>
        <v>5.234448638181818</v>
      </c>
      <c r="P123" s="93"/>
      <c r="Q123" s="137"/>
      <c r="R123" s="93">
        <f>G123+(H123*'Economic Model'!C$30*'Economic Model'!C$34/1000)+('Economic Model'!K$63/100)</f>
        <v>5.0737263636363634</v>
      </c>
      <c r="S123" s="93">
        <f>R123+('Economic Model'!K$60/100)</f>
        <v>5.6330274981818178</v>
      </c>
      <c r="T123" s="261"/>
      <c r="U123" s="137"/>
      <c r="V123" s="93">
        <f t="shared" si="29"/>
        <v>1.9951134090909086</v>
      </c>
      <c r="W123" s="93">
        <f t="shared" si="30"/>
        <v>1.4358122745454542</v>
      </c>
      <c r="X123" s="93"/>
      <c r="Y123" s="146"/>
      <c r="Z123" s="147">
        <f>W123/('Economic Model'!H$14*(1-'Economic Model'!C$25/100))</f>
        <v>0.43722369122124899</v>
      </c>
      <c r="AA123" s="52"/>
      <c r="AC123" s="53"/>
      <c r="AD123" s="262">
        <v>1.6463414634146341</v>
      </c>
      <c r="AE123" s="93">
        <f t="shared" si="31"/>
        <v>3.1845487804878045</v>
      </c>
      <c r="AF123" s="17">
        <v>4.8308902439024388</v>
      </c>
      <c r="AG123" s="27"/>
      <c r="AH123" s="93">
        <f>AF123+(H123*'Economic Model'!C$30*'Economic Model'!C$34/1000)+('Economic Model'!K$63/100)</f>
        <v>6.1059802439024384</v>
      </c>
      <c r="AI123" s="93">
        <f>AH123+('Economic Model'!K$60/100)</f>
        <v>6.6652813784478928</v>
      </c>
      <c r="AJ123" s="120"/>
      <c r="AK123" s="91">
        <f t="shared" si="32"/>
        <v>0.96285952882483361</v>
      </c>
      <c r="AL123" s="91">
        <f t="shared" si="33"/>
        <v>0.40355839427937923</v>
      </c>
      <c r="AM123" s="91">
        <f t="shared" si="34"/>
        <v>1.4358122745454542</v>
      </c>
      <c r="AN123" s="91">
        <f t="shared" si="35"/>
        <v>-1.032253880266075</v>
      </c>
      <c r="AO123" s="264"/>
      <c r="AP123" s="27"/>
      <c r="AS123" s="15"/>
      <c r="AW123" s="273"/>
    </row>
    <row r="124" spans="1:49" hidden="1" x14ac:dyDescent="0.2">
      <c r="A124" s="8">
        <v>41852</v>
      </c>
      <c r="C124" s="53"/>
      <c r="D124" s="118">
        <f>'Returns per Gal.'!C124</f>
        <v>2.0964285714285715</v>
      </c>
      <c r="E124" s="119">
        <f>'Returns per Gal.'!D124</f>
        <v>107.91666666666667</v>
      </c>
      <c r="F124" s="119"/>
      <c r="G124" s="118">
        <f>'Returns per Gal.'!F124</f>
        <v>3.5396428571428582</v>
      </c>
      <c r="H124" s="118">
        <f>'Returns per Gal.'!G124</f>
        <v>8</v>
      </c>
      <c r="I124" s="120"/>
      <c r="J124" s="14"/>
      <c r="K124" s="93">
        <f>D124*'Economic Model'!C$30</f>
        <v>5.9748214285714294</v>
      </c>
      <c r="L124" s="93">
        <f>E124/2000*('Economic Model'!C$32+0.5)</f>
        <v>0.91189583333333335</v>
      </c>
      <c r="M124" s="319"/>
      <c r="N124" s="93">
        <f t="shared" si="27"/>
        <v>6.8867172619047627</v>
      </c>
      <c r="O124" s="93">
        <f t="shared" si="28"/>
        <v>5.0181261273593094</v>
      </c>
      <c r="P124" s="93"/>
      <c r="Q124" s="137"/>
      <c r="R124" s="93">
        <f>G124+(H124*'Economic Model'!C$30*'Economic Model'!C$34/1000)+('Economic Model'!K$63/100)</f>
        <v>4.8489328571428576</v>
      </c>
      <c r="S124" s="93">
        <f>R124+('Economic Model'!K$60/100)</f>
        <v>5.408233991688312</v>
      </c>
      <c r="T124" s="261"/>
      <c r="U124" s="137"/>
      <c r="V124" s="93">
        <f t="shared" si="29"/>
        <v>2.0377844047619051</v>
      </c>
      <c r="W124" s="93">
        <f t="shared" si="30"/>
        <v>1.4784832702164508</v>
      </c>
      <c r="X124" s="93"/>
      <c r="Y124" s="146"/>
      <c r="Z124" s="147">
        <f>W124/('Economic Model'!H$14*(1-'Economic Model'!C$25/100))</f>
        <v>0.45021756971505511</v>
      </c>
      <c r="AA124" s="52"/>
      <c r="AC124" s="53"/>
      <c r="AD124" s="262">
        <v>1.6463414634146341</v>
      </c>
      <c r="AE124" s="93">
        <f t="shared" si="31"/>
        <v>3.1845487804878045</v>
      </c>
      <c r="AF124" s="17">
        <v>4.8308902439024388</v>
      </c>
      <c r="AG124" s="27"/>
      <c r="AH124" s="93">
        <f>AF124+(H124*'Economic Model'!C$30*'Economic Model'!C$34/1000)+('Economic Model'!K$63/100)</f>
        <v>6.1401802439024387</v>
      </c>
      <c r="AI124" s="93">
        <f>AH124+('Economic Model'!K$60/100)</f>
        <v>6.699481378447893</v>
      </c>
      <c r="AJ124" s="120"/>
      <c r="AK124" s="91">
        <f t="shared" si="32"/>
        <v>0.74653701800232408</v>
      </c>
      <c r="AL124" s="91">
        <f t="shared" si="33"/>
        <v>0.1872358834568697</v>
      </c>
      <c r="AM124" s="91">
        <f t="shared" si="34"/>
        <v>1.4784832702164512</v>
      </c>
      <c r="AN124" s="91">
        <f t="shared" si="35"/>
        <v>-1.2912473867595806</v>
      </c>
      <c r="AO124" s="264"/>
      <c r="AP124" s="27"/>
      <c r="AS124" s="15"/>
      <c r="AW124" s="273"/>
    </row>
    <row r="125" spans="1:49" hidden="1" x14ac:dyDescent="0.2">
      <c r="A125" s="8">
        <v>41883</v>
      </c>
      <c r="C125" s="53"/>
      <c r="D125" s="118">
        <f>'Returns per Gal.'!C125</f>
        <v>1.8397727272727267</v>
      </c>
      <c r="E125" s="119">
        <f>'Returns per Gal.'!D125</f>
        <v>121.72619047619048</v>
      </c>
      <c r="F125" s="119"/>
      <c r="G125" s="118">
        <f>'Returns per Gal.'!F125</f>
        <v>3.3420357142857129</v>
      </c>
      <c r="H125" s="118">
        <f>'Returns per Gal.'!G125</f>
        <v>7.8</v>
      </c>
      <c r="I125" s="120"/>
      <c r="J125" s="14"/>
      <c r="K125" s="93">
        <f>D125*'Economic Model'!C$30</f>
        <v>5.2433522727272708</v>
      </c>
      <c r="L125" s="93">
        <f>E125/2000*('Economic Model'!C$32+0.5)</f>
        <v>1.0285863095238095</v>
      </c>
      <c r="M125" s="319"/>
      <c r="N125" s="93">
        <f t="shared" si="27"/>
        <v>6.2719385822510798</v>
      </c>
      <c r="O125" s="93">
        <f t="shared" si="28"/>
        <v>4.4204474477056266</v>
      </c>
      <c r="P125" s="93"/>
      <c r="Q125" s="137"/>
      <c r="R125" s="93">
        <f>G125+(H125*'Economic Model'!C$30*'Economic Model'!C$34/1000)+('Economic Model'!K$63/100)</f>
        <v>4.6342257142857122</v>
      </c>
      <c r="S125" s="93">
        <f>R125+('Economic Model'!K$60/100)</f>
        <v>5.1935268488311666</v>
      </c>
      <c r="T125" s="261"/>
      <c r="U125" s="137"/>
      <c r="V125" s="93">
        <f t="shared" si="29"/>
        <v>1.6377128679653676</v>
      </c>
      <c r="W125" s="93">
        <f t="shared" si="30"/>
        <v>1.0784117334199133</v>
      </c>
      <c r="X125" s="93"/>
      <c r="Y125" s="146"/>
      <c r="Z125" s="147">
        <f>W125/('Economic Model'!H$14*(1-'Economic Model'!C$25/100))</f>
        <v>0.32839053342918983</v>
      </c>
      <c r="AA125" s="52"/>
      <c r="AC125" s="53"/>
      <c r="AD125" s="17">
        <v>1.4606741573033708</v>
      </c>
      <c r="AE125" s="17">
        <f t="shared" si="31"/>
        <v>2.8327106741573034</v>
      </c>
      <c r="AF125" s="17">
        <v>4.2933848314606742</v>
      </c>
      <c r="AG125" s="27"/>
      <c r="AH125" s="93">
        <f>AF125+(H125*'Economic Model'!C$30*'Economic Model'!C$34/1000)+('Economic Model'!K$63/100)</f>
        <v>5.5855748314606739</v>
      </c>
      <c r="AI125" s="93">
        <f>AH125+('Economic Model'!K$60/100)</f>
        <v>6.1448759660061283</v>
      </c>
      <c r="AJ125" s="120"/>
      <c r="AK125" s="91">
        <f t="shared" si="32"/>
        <v>0.6863637507904059</v>
      </c>
      <c r="AL125" s="91">
        <f t="shared" si="33"/>
        <v>0.12706261624495152</v>
      </c>
      <c r="AM125" s="91">
        <f t="shared" si="34"/>
        <v>1.0784117334199137</v>
      </c>
      <c r="AN125" s="91">
        <f t="shared" si="35"/>
        <v>-0.95134911717496129</v>
      </c>
      <c r="AO125" s="264"/>
      <c r="AP125" s="27"/>
      <c r="AS125" s="15"/>
      <c r="AW125" s="273"/>
    </row>
    <row r="126" spans="1:49" hidden="1" x14ac:dyDescent="0.2">
      <c r="A126" s="8">
        <v>41913</v>
      </c>
      <c r="C126" s="53"/>
      <c r="D126" s="118">
        <f>'Returns per Gal.'!C126</f>
        <v>1.5606521739130437</v>
      </c>
      <c r="E126" s="119">
        <f>'Returns per Gal.'!D126</f>
        <v>102.86363636363636</v>
      </c>
      <c r="F126" s="119"/>
      <c r="G126" s="118">
        <f>'Returns per Gal.'!F126</f>
        <v>3.2640909090909087</v>
      </c>
      <c r="H126" s="118">
        <f>'Returns per Gal.'!G126</f>
        <v>6.67</v>
      </c>
      <c r="I126" s="120"/>
      <c r="J126" s="14"/>
      <c r="K126" s="93">
        <f>D126*'Economic Model'!C$30</f>
        <v>4.4478586956521742</v>
      </c>
      <c r="L126" s="93">
        <f>E126/2000*('Economic Model'!C$32+0.5)</f>
        <v>0.86919772727272726</v>
      </c>
      <c r="M126" s="319"/>
      <c r="N126" s="93">
        <f t="shared" si="27"/>
        <v>5.3170564229249013</v>
      </c>
      <c r="O126" s="93">
        <f t="shared" si="28"/>
        <v>3.5621802883794471</v>
      </c>
      <c r="P126" s="93"/>
      <c r="Q126" s="137"/>
      <c r="R126" s="93">
        <f>G126+(H126*'Economic Model'!C$30*'Economic Model'!C$34/1000)+('Economic Model'!K$63/100)</f>
        <v>4.4596659090909085</v>
      </c>
      <c r="S126" s="93">
        <f>R126+('Economic Model'!K$60/100)</f>
        <v>5.0189670436363629</v>
      </c>
      <c r="T126" s="261"/>
      <c r="U126" s="137"/>
      <c r="V126" s="93">
        <f t="shared" si="29"/>
        <v>0.85739051383399278</v>
      </c>
      <c r="W126" s="93">
        <f t="shared" si="30"/>
        <v>0.2980893792885384</v>
      </c>
      <c r="X126" s="93"/>
      <c r="Y126" s="146"/>
      <c r="Z126" s="147">
        <f>W126/('Economic Model'!H$14*(1-'Economic Model'!C$25/100))</f>
        <v>9.0772130199016282E-2</v>
      </c>
      <c r="AA126" s="52"/>
      <c r="AC126" s="53"/>
      <c r="AD126" s="17">
        <v>1.4606741573033708</v>
      </c>
      <c r="AE126" s="17">
        <f t="shared" si="31"/>
        <v>2.8327106741573034</v>
      </c>
      <c r="AF126" s="17">
        <v>4.2933848314606742</v>
      </c>
      <c r="AG126" s="27"/>
      <c r="AH126" s="93">
        <f>AF126+(H126*'Economic Model'!C$30*'Economic Model'!C$34/1000)+('Economic Model'!K$63/100)</f>
        <v>5.488959831460674</v>
      </c>
      <c r="AI126" s="93">
        <f>AH126+('Economic Model'!K$60/100)</f>
        <v>6.0482609660061284</v>
      </c>
      <c r="AJ126" s="120"/>
      <c r="AK126" s="91">
        <f t="shared" si="32"/>
        <v>-0.17190340853577268</v>
      </c>
      <c r="AL126" s="91">
        <f t="shared" si="33"/>
        <v>-0.73120454308122707</v>
      </c>
      <c r="AM126" s="91">
        <f t="shared" si="34"/>
        <v>0.2980893792885384</v>
      </c>
      <c r="AN126" s="91">
        <f t="shared" si="35"/>
        <v>-1.0292939223697655</v>
      </c>
      <c r="AO126" s="264"/>
      <c r="AP126" s="27"/>
      <c r="AS126" s="15"/>
      <c r="AW126" s="273"/>
    </row>
    <row r="127" spans="1:49" hidden="1" x14ac:dyDescent="0.2">
      <c r="A127" s="8">
        <v>41944</v>
      </c>
      <c r="C127" s="53"/>
      <c r="D127" s="118">
        <f>'Returns per Gal.'!C127</f>
        <v>2.0038888888888886</v>
      </c>
      <c r="E127" s="119">
        <f>'Returns per Gal.'!D127</f>
        <v>108.33823529411765</v>
      </c>
      <c r="F127" s="119"/>
      <c r="G127" s="118">
        <f>'Returns per Gal.'!F127</f>
        <v>3.5112500000000004</v>
      </c>
      <c r="H127" s="118">
        <f>'Returns per Gal.'!G127</f>
        <v>6.49</v>
      </c>
      <c r="I127" s="120"/>
      <c r="J127" s="14"/>
      <c r="K127" s="93">
        <f>D127*'Economic Model'!C$30</f>
        <v>5.7110833333333328</v>
      </c>
      <c r="L127" s="93">
        <f>E127/2000*('Economic Model'!C$32+0.5)</f>
        <v>0.91545808823529407</v>
      </c>
      <c r="M127" s="319"/>
      <c r="N127" s="93">
        <f t="shared" si="27"/>
        <v>6.6265414215686267</v>
      </c>
      <c r="O127" s="93">
        <f t="shared" si="28"/>
        <v>4.8870552870231725</v>
      </c>
      <c r="P127" s="93"/>
      <c r="Q127" s="137"/>
      <c r="R127" s="93">
        <f>G127+(H127*'Economic Model'!C$30*'Economic Model'!C$34/1000)+('Economic Model'!K$63/100)</f>
        <v>4.6914350000000002</v>
      </c>
      <c r="S127" s="93">
        <f>R127+('Economic Model'!K$60/100)</f>
        <v>5.2507361345454546</v>
      </c>
      <c r="T127" s="261"/>
      <c r="U127" s="137"/>
      <c r="V127" s="93">
        <f t="shared" si="29"/>
        <v>1.9351064215686264</v>
      </c>
      <c r="W127" s="93">
        <f t="shared" si="30"/>
        <v>1.3758052870231721</v>
      </c>
      <c r="X127" s="93"/>
      <c r="Y127" s="146"/>
      <c r="Z127" s="147">
        <f>W127/('Economic Model'!H$14*(1-'Economic Model'!C$25/100))</f>
        <v>0.41895077557016536</v>
      </c>
      <c r="AA127" s="52"/>
      <c r="AC127" s="53"/>
      <c r="AD127" s="17">
        <v>1.4606741573033708</v>
      </c>
      <c r="AE127" s="17">
        <f t="shared" si="31"/>
        <v>2.8327106741573034</v>
      </c>
      <c r="AF127" s="17">
        <v>4.2933848314606742</v>
      </c>
      <c r="AG127" s="27"/>
      <c r="AH127" s="93">
        <f>AF127+(H127*'Economic Model'!C$30*'Economic Model'!C$34/1000)+('Economic Model'!K$63/100)</f>
        <v>5.473569831460674</v>
      </c>
      <c r="AI127" s="93">
        <f>AH127+('Economic Model'!K$60/100)</f>
        <v>6.0328709660061284</v>
      </c>
      <c r="AJ127" s="120"/>
      <c r="AK127" s="91">
        <f t="shared" si="32"/>
        <v>1.1529715901079527</v>
      </c>
      <c r="AL127" s="91">
        <f t="shared" si="33"/>
        <v>0.59367045556249831</v>
      </c>
      <c r="AM127" s="91">
        <f t="shared" si="34"/>
        <v>1.3758052870231721</v>
      </c>
      <c r="AN127" s="91">
        <f t="shared" si="35"/>
        <v>-0.78213483146067375</v>
      </c>
      <c r="AO127" s="264"/>
      <c r="AP127" s="27"/>
      <c r="AS127" s="15"/>
      <c r="AW127" s="273"/>
    </row>
    <row r="128" spans="1:49" hidden="1" x14ac:dyDescent="0.2">
      <c r="A128" s="68">
        <v>41974</v>
      </c>
      <c r="B128" s="29"/>
      <c r="C128" s="56"/>
      <c r="D128" s="128">
        <f>'Returns per Gal.'!C128</f>
        <v>2.0152380952380944</v>
      </c>
      <c r="E128" s="129">
        <f>'Returns per Gal.'!D128</f>
        <v>138.26190476190476</v>
      </c>
      <c r="F128" s="129"/>
      <c r="G128" s="128">
        <f>'Returns per Gal.'!F128</f>
        <v>3.774791666666665</v>
      </c>
      <c r="H128" s="128">
        <f>'Returns per Gal.'!G128</f>
        <v>6.91</v>
      </c>
      <c r="I128" s="130"/>
      <c r="J128" s="57"/>
      <c r="K128" s="97">
        <f>D128*'Economic Model'!C$30</f>
        <v>5.7434285714285691</v>
      </c>
      <c r="L128" s="97">
        <f>E128/2000*('Economic Model'!C$32+0.5)</f>
        <v>1.1683130952380951</v>
      </c>
      <c r="M128" s="320"/>
      <c r="N128" s="97">
        <f t="shared" si="27"/>
        <v>6.9117416666666642</v>
      </c>
      <c r="O128" s="97">
        <f t="shared" si="28"/>
        <v>5.1363455321212097</v>
      </c>
      <c r="P128" s="97"/>
      <c r="Q128" s="139"/>
      <c r="R128" s="97">
        <f>G128+(H128*'Economic Model'!C$30*'Economic Model'!C$34/1000)+('Economic Model'!K$63/100)</f>
        <v>4.9908866666666647</v>
      </c>
      <c r="S128" s="97">
        <f>R128+('Economic Model'!K$60/100)</f>
        <v>5.5501878012121191</v>
      </c>
      <c r="T128" s="270"/>
      <c r="U128" s="139"/>
      <c r="V128" s="97">
        <f t="shared" si="29"/>
        <v>1.9208549999999995</v>
      </c>
      <c r="W128" s="97">
        <f t="shared" si="30"/>
        <v>1.3615538654545452</v>
      </c>
      <c r="X128" s="97"/>
      <c r="Y128" s="271"/>
      <c r="Z128" s="148">
        <f>W128/('Economic Model'!H$14*(1-'Economic Model'!C$25/100))</f>
        <v>0.41461103056738791</v>
      </c>
      <c r="AA128" s="64"/>
      <c r="AB128" s="29"/>
      <c r="AC128" s="56"/>
      <c r="AD128" s="65">
        <v>1.4606741573033708</v>
      </c>
      <c r="AE128" s="65">
        <f t="shared" si="31"/>
        <v>2.8327106741573034</v>
      </c>
      <c r="AF128" s="65">
        <v>4.2933848314606742</v>
      </c>
      <c r="AG128" s="29"/>
      <c r="AH128" s="97">
        <f>AF128+(H128*'Economic Model'!C$30*'Economic Model'!C$34/1000)+('Economic Model'!K$63/100)</f>
        <v>5.5094798314606734</v>
      </c>
      <c r="AI128" s="97">
        <f>AH128+('Economic Model'!K$60/100)</f>
        <v>6.0687809660061278</v>
      </c>
      <c r="AJ128" s="130"/>
      <c r="AK128" s="92">
        <f t="shared" si="32"/>
        <v>1.4022618352059908</v>
      </c>
      <c r="AL128" s="92">
        <f t="shared" si="33"/>
        <v>0.84296070066053641</v>
      </c>
      <c r="AM128" s="92">
        <f t="shared" si="34"/>
        <v>1.3615538654545447</v>
      </c>
      <c r="AN128" s="92">
        <f t="shared" si="35"/>
        <v>-0.51859316479400919</v>
      </c>
      <c r="AO128" s="268"/>
      <c r="AP128" s="27"/>
      <c r="AS128" s="15"/>
      <c r="AW128" s="273"/>
    </row>
    <row r="129" spans="1:49" hidden="1" x14ac:dyDescent="0.2">
      <c r="A129" s="21">
        <v>42005</v>
      </c>
      <c r="C129" s="53"/>
      <c r="D129" s="118">
        <f>'Returns per Gal.'!C129</f>
        <v>1.3817500000000009</v>
      </c>
      <c r="E129" s="119">
        <f>'Returns per Gal.'!D129</f>
        <v>172.5625</v>
      </c>
      <c r="F129" s="119"/>
      <c r="G129" s="118">
        <f>'Returns per Gal.'!F129</f>
        <v>3.7328750000000013</v>
      </c>
      <c r="H129" s="118">
        <f>'Returns per Gal.'!G129</f>
        <v>6.42</v>
      </c>
      <c r="I129" s="120"/>
      <c r="J129" s="14"/>
      <c r="K129" s="93">
        <f>D129*'Economic Model'!C$30</f>
        <v>3.9379875000000029</v>
      </c>
      <c r="L129" s="93">
        <f>E129/2000*('Economic Model'!C$32+0.5)</f>
        <v>1.4581531249999999</v>
      </c>
      <c r="M129" s="319"/>
      <c r="N129" s="93">
        <f t="shared" si="27"/>
        <v>5.3961406250000028</v>
      </c>
      <c r="O129" s="93">
        <f t="shared" si="28"/>
        <v>3.662639490454549</v>
      </c>
      <c r="P129" s="93"/>
      <c r="Q129" s="137"/>
      <c r="R129" s="93">
        <f>G129+(H129*'Economic Model'!C$30*'Economic Model'!C$34/1000)+('Economic Model'!K$63/100)</f>
        <v>4.9070750000000007</v>
      </c>
      <c r="S129" s="93">
        <f>R129+('Economic Model'!K$60/100)</f>
        <v>5.4663761345454551</v>
      </c>
      <c r="T129" s="261"/>
      <c r="U129" s="137"/>
      <c r="V129" s="93">
        <f t="shared" si="29"/>
        <v>0.48906562500000206</v>
      </c>
      <c r="W129" s="93">
        <f t="shared" si="30"/>
        <v>-7.0235509545452324E-2</v>
      </c>
      <c r="X129" s="93"/>
      <c r="Y129" s="146"/>
      <c r="Z129" s="147">
        <f>W129/('Economic Model'!H$14*(1-'Economic Model'!C$25/100))</f>
        <v>-2.1387634917656342E-2</v>
      </c>
      <c r="AA129" s="52"/>
      <c r="AC129" s="53"/>
      <c r="AD129" s="17">
        <v>1.4606741573033708</v>
      </c>
      <c r="AE129" s="17">
        <f t="shared" si="31"/>
        <v>2.8327106741573034</v>
      </c>
      <c r="AF129" s="17">
        <v>4.2933848314606742</v>
      </c>
      <c r="AG129" s="27"/>
      <c r="AH129" s="93">
        <f>AF129+(H129*'Economic Model'!C$30*'Economic Model'!C$34/1000)+('Economic Model'!K$63/100)</f>
        <v>5.4675848314606741</v>
      </c>
      <c r="AI129" s="93">
        <f>AH129+('Economic Model'!K$60/100)</f>
        <v>6.0268859660061285</v>
      </c>
      <c r="AJ129" s="120"/>
      <c r="AK129" s="91">
        <f t="shared" si="32"/>
        <v>-7.1444206460671289E-2</v>
      </c>
      <c r="AL129" s="91">
        <f t="shared" si="33"/>
        <v>-0.63074534100612567</v>
      </c>
      <c r="AM129" s="91">
        <f t="shared" si="34"/>
        <v>-7.0235509545452324E-2</v>
      </c>
      <c r="AN129" s="91">
        <f t="shared" si="35"/>
        <v>-0.5605098314606729</v>
      </c>
      <c r="AO129" s="264"/>
      <c r="AS129" s="15"/>
      <c r="AW129" s="273"/>
    </row>
    <row r="130" spans="1:49" hidden="1" x14ac:dyDescent="0.2">
      <c r="A130" s="8">
        <v>42036</v>
      </c>
      <c r="C130" s="53"/>
      <c r="D130" s="118">
        <f>'Returns per Gal.'!C130</f>
        <v>1.3131578947368425</v>
      </c>
      <c r="E130" s="119">
        <f>'Returns per Gal.'!D130</f>
        <v>170.98684210526315</v>
      </c>
      <c r="F130" s="119"/>
      <c r="G130" s="118">
        <f>'Returns per Gal.'!F130</f>
        <v>3.7432894736842113</v>
      </c>
      <c r="H130" s="118">
        <f>'Returns per Gal.'!G130</f>
        <v>5.65</v>
      </c>
      <c r="I130" s="27"/>
      <c r="J130" s="14"/>
      <c r="K130" s="93">
        <f>D130*'Economic Model'!C$30</f>
        <v>3.7425000000000015</v>
      </c>
      <c r="L130" s="93">
        <f>E130/2000*('Economic Model'!C$32+0.5)</f>
        <v>1.4448388157894736</v>
      </c>
      <c r="M130" s="319"/>
      <c r="N130" s="93">
        <f t="shared" si="27"/>
        <v>5.1873388157894755</v>
      </c>
      <c r="O130" s="93">
        <f t="shared" si="28"/>
        <v>3.5196726812440216</v>
      </c>
      <c r="P130" s="93"/>
      <c r="Q130" s="137"/>
      <c r="R130" s="93">
        <f>G130+(H130*'Economic Model'!C$30*'Economic Model'!C$34/1000)+('Economic Model'!K$63/100)</f>
        <v>4.8516544736842109</v>
      </c>
      <c r="S130" s="93">
        <f>R130+('Economic Model'!K$60/100)</f>
        <v>5.4109556082296653</v>
      </c>
      <c r="T130" s="261"/>
      <c r="U130" s="137"/>
      <c r="V130" s="93">
        <f t="shared" si="29"/>
        <v>0.33568434210526465</v>
      </c>
      <c r="W130" s="93">
        <f t="shared" si="30"/>
        <v>-0.22361679244018973</v>
      </c>
      <c r="X130" s="93"/>
      <c r="Y130" s="146"/>
      <c r="Z130" s="147">
        <f>W130/('Economic Model'!H$14*(1-'Economic Model'!C$25/100))</f>
        <v>-6.8094249605650983E-2</v>
      </c>
      <c r="AA130" s="52"/>
      <c r="AC130" s="53"/>
      <c r="AD130" s="17">
        <v>1.4606741573033708</v>
      </c>
      <c r="AE130" s="17">
        <f t="shared" si="31"/>
        <v>2.8327106741573034</v>
      </c>
      <c r="AF130" s="17">
        <v>4.2933848314606742</v>
      </c>
      <c r="AG130" s="27"/>
      <c r="AH130" s="93">
        <f>AF130+(H130*'Economic Model'!C$30*'Economic Model'!C$34/1000)+('Economic Model'!K$63/100)</f>
        <v>5.4017498314606742</v>
      </c>
      <c r="AI130" s="93">
        <f>AH130+('Economic Model'!K$60/100)</f>
        <v>5.9610509660061286</v>
      </c>
      <c r="AJ130" s="120"/>
      <c r="AK130" s="91">
        <f t="shared" si="32"/>
        <v>-0.21441101567119869</v>
      </c>
      <c r="AL130" s="91">
        <f t="shared" si="33"/>
        <v>-0.77371215021665307</v>
      </c>
      <c r="AM130" s="91">
        <f t="shared" si="34"/>
        <v>-0.22361679244018973</v>
      </c>
      <c r="AN130" s="91">
        <f t="shared" si="35"/>
        <v>-0.5500953577764629</v>
      </c>
      <c r="AO130" s="264">
        <v>5.44</v>
      </c>
      <c r="AS130" s="15"/>
      <c r="AW130" s="273"/>
    </row>
    <row r="131" spans="1:49" hidden="1" x14ac:dyDescent="0.2">
      <c r="A131" s="8">
        <v>42064</v>
      </c>
      <c r="C131" s="53"/>
      <c r="D131" s="118">
        <f>'Returns per Gal.'!C131</f>
        <v>1.3863636363636365</v>
      </c>
      <c r="E131" s="119">
        <f>'Returns per Gal.'!D131</f>
        <v>174.5</v>
      </c>
      <c r="F131" s="119"/>
      <c r="G131" s="118">
        <f>'Returns per Gal.'!F131</f>
        <v>3.7748011363636351</v>
      </c>
      <c r="H131" s="118">
        <f>'Returns per Gal.'!G131</f>
        <v>5.69</v>
      </c>
      <c r="I131" s="27"/>
      <c r="J131" s="14"/>
      <c r="K131" s="93">
        <f>D131*'Economic Model'!C$30</f>
        <v>3.9511363636363641</v>
      </c>
      <c r="L131" s="93">
        <f>E131/2000*('Economic Model'!C$32+0.5)</f>
        <v>1.4745249999999999</v>
      </c>
      <c r="M131" s="319"/>
      <c r="N131" s="93">
        <f t="shared" si="27"/>
        <v>5.4256613636363635</v>
      </c>
      <c r="O131" s="93">
        <f t="shared" si="28"/>
        <v>3.7545752290909098</v>
      </c>
      <c r="P131" s="93"/>
      <c r="Q131" s="137"/>
      <c r="R131" s="93">
        <f>G131+(H131*'Economic Model'!C$30*'Economic Model'!C$34/1000)+('Economic Model'!K$63/100)</f>
        <v>4.8865861363636345</v>
      </c>
      <c r="S131" s="93">
        <f>R131+('Economic Model'!K$60/100)</f>
        <v>5.4458872709090889</v>
      </c>
      <c r="T131" s="261"/>
      <c r="U131" s="137"/>
      <c r="V131" s="93">
        <f t="shared" si="29"/>
        <v>0.53907522727272905</v>
      </c>
      <c r="W131" s="93">
        <f t="shared" si="30"/>
        <v>-2.022590727272533E-2</v>
      </c>
      <c r="X131" s="93"/>
      <c r="Y131" s="146"/>
      <c r="Z131" s="147">
        <f>W131/('Economic Model'!H$14*(1-'Economic Model'!C$25/100))</f>
        <v>-6.159054350527297E-3</v>
      </c>
      <c r="AA131" s="52"/>
      <c r="AC131" s="53"/>
      <c r="AD131" s="17">
        <v>1.4606741573033708</v>
      </c>
      <c r="AE131" s="17">
        <f t="shared" si="31"/>
        <v>2.8327106741573034</v>
      </c>
      <c r="AF131" s="17">
        <v>4.2933848314606742</v>
      </c>
      <c r="AG131" s="27"/>
      <c r="AH131" s="93">
        <f>AF131+(H131*'Economic Model'!C$30*'Economic Model'!C$34/1000)+('Economic Model'!K$63/100)</f>
        <v>5.4051698314606735</v>
      </c>
      <c r="AI131" s="93">
        <f>AH131+('Economic Model'!K$60/100)</f>
        <v>5.9644709660061279</v>
      </c>
      <c r="AJ131" s="120"/>
      <c r="AK131" s="91">
        <f t="shared" si="32"/>
        <v>2.0491532175689997E-2</v>
      </c>
      <c r="AL131" s="91">
        <f t="shared" si="33"/>
        <v>-0.53880960236976438</v>
      </c>
      <c r="AM131" s="91">
        <f t="shared" si="34"/>
        <v>-2.022590727272533E-2</v>
      </c>
      <c r="AN131" s="91">
        <f t="shared" si="35"/>
        <v>-0.51858369509703905</v>
      </c>
      <c r="AO131" s="264">
        <v>5.46</v>
      </c>
      <c r="AS131" s="15"/>
      <c r="AW131" s="273"/>
    </row>
    <row r="132" spans="1:49" hidden="1" x14ac:dyDescent="0.2">
      <c r="A132" s="8">
        <v>42095</v>
      </c>
      <c r="C132" s="53"/>
      <c r="D132" s="118">
        <f>'Returns per Gal.'!C132</f>
        <v>1.4792857142857136</v>
      </c>
      <c r="E132" s="119">
        <f>'Returns per Gal.'!D132</f>
        <v>180.5</v>
      </c>
      <c r="F132" s="119"/>
      <c r="G132" s="118">
        <f>'Returns per Gal.'!F132</f>
        <v>3.68485119047619</v>
      </c>
      <c r="H132" s="118">
        <f>'Returns per Gal.'!G132</f>
        <v>4.4800000000000004</v>
      </c>
      <c r="I132" s="27"/>
      <c r="J132" s="14"/>
      <c r="K132" s="93">
        <f>D132*'Economic Model'!C$30</f>
        <v>4.2159642857142838</v>
      </c>
      <c r="L132" s="93">
        <f>E132/2000*('Economic Model'!C$32+0.5)</f>
        <v>1.5252249999999998</v>
      </c>
      <c r="M132" s="319"/>
      <c r="N132" s="93">
        <f t="shared" si="27"/>
        <v>5.7411892857142837</v>
      </c>
      <c r="O132" s="93">
        <f t="shared" si="28"/>
        <v>4.1735581511688302</v>
      </c>
      <c r="P132" s="93"/>
      <c r="Q132" s="137"/>
      <c r="R132" s="93">
        <f>G132+(H132*'Economic Model'!C$30*'Economic Model'!C$34/1000)+('Economic Model'!K$63/100)</f>
        <v>4.6931811904761895</v>
      </c>
      <c r="S132" s="93">
        <f>R132+('Economic Model'!K$60/100)</f>
        <v>5.2524823250216439</v>
      </c>
      <c r="T132" s="261"/>
      <c r="U132" s="137"/>
      <c r="V132" s="93">
        <f t="shared" si="29"/>
        <v>1.0480080952380941</v>
      </c>
      <c r="W132" s="93">
        <f t="shared" si="30"/>
        <v>0.48870696069263975</v>
      </c>
      <c r="X132" s="93"/>
      <c r="Y132" s="146"/>
      <c r="Z132" s="147">
        <f>W132/('Economic Model'!H$14*(1-'Economic Model'!C$25/100))</f>
        <v>0.14881768673220058</v>
      </c>
      <c r="AA132" s="52"/>
      <c r="AC132" s="53"/>
      <c r="AD132" s="17">
        <v>1.4606741573033708</v>
      </c>
      <c r="AE132" s="17">
        <f t="shared" si="31"/>
        <v>2.8327106741573034</v>
      </c>
      <c r="AF132" s="17">
        <v>4.2933848314606742</v>
      </c>
      <c r="AG132" s="27"/>
      <c r="AH132" s="93">
        <f>AF132+(H132*'Economic Model'!C$30*'Economic Model'!C$34/1000)+('Economic Model'!K$63/100)</f>
        <v>5.3017148314606741</v>
      </c>
      <c r="AI132" s="93">
        <f>AH132+('Economic Model'!K$60/100)</f>
        <v>5.8610159660061285</v>
      </c>
      <c r="AJ132" s="120"/>
      <c r="AK132" s="91">
        <f t="shared" si="32"/>
        <v>0.43947445425360954</v>
      </c>
      <c r="AL132" s="91">
        <f t="shared" si="33"/>
        <v>-0.11982668029184484</v>
      </c>
      <c r="AM132" s="91">
        <f t="shared" si="34"/>
        <v>0.48870696069264019</v>
      </c>
      <c r="AN132" s="91">
        <f t="shared" si="35"/>
        <v>-0.60853364098448415</v>
      </c>
      <c r="AO132" s="264">
        <v>5.49</v>
      </c>
      <c r="AS132" s="15"/>
      <c r="AW132" s="273"/>
    </row>
    <row r="133" spans="1:49" hidden="1" x14ac:dyDescent="0.2">
      <c r="A133" s="8">
        <v>42125</v>
      </c>
      <c r="C133" s="53"/>
      <c r="D133" s="118">
        <f>'Returns per Gal.'!C133</f>
        <v>1.5679999999999994</v>
      </c>
      <c r="E133" s="119">
        <f>'Returns per Gal.'!D133</f>
        <v>169.0625</v>
      </c>
      <c r="F133" s="119"/>
      <c r="G133" s="118">
        <f>'Returns per Gal.'!F133</f>
        <v>3.5542500000000006</v>
      </c>
      <c r="H133" s="118">
        <f>'Returns per Gal.'!G133</f>
        <v>4.7699999999999996</v>
      </c>
      <c r="I133" s="27"/>
      <c r="J133" s="14"/>
      <c r="K133" s="93">
        <f>D133*'Economic Model'!C$30</f>
        <v>4.4687999999999981</v>
      </c>
      <c r="L133" s="93">
        <f>E133/2000*('Economic Model'!C$32+0.5)</f>
        <v>1.4285781249999998</v>
      </c>
      <c r="M133" s="319"/>
      <c r="N133" s="93">
        <f t="shared" si="27"/>
        <v>5.8973781249999977</v>
      </c>
      <c r="O133" s="93">
        <f t="shared" si="28"/>
        <v>4.3049519904545432</v>
      </c>
      <c r="P133" s="93"/>
      <c r="Q133" s="137"/>
      <c r="R133" s="93">
        <f>G133+(H133*'Economic Model'!C$30*'Economic Model'!C$34/1000)+('Economic Model'!K$63/100)</f>
        <v>4.5873750000000006</v>
      </c>
      <c r="S133" s="93">
        <f>R133+('Economic Model'!K$60/100)</f>
        <v>5.146676134545455</v>
      </c>
      <c r="T133" s="261"/>
      <c r="U133" s="137"/>
      <c r="V133" s="93">
        <f t="shared" si="29"/>
        <v>1.310003124999997</v>
      </c>
      <c r="W133" s="93">
        <f t="shared" si="30"/>
        <v>0.75070199045454267</v>
      </c>
      <c r="X133" s="93"/>
      <c r="Y133" s="146"/>
      <c r="Z133" s="147">
        <f>W133/('Economic Model'!H$14*(1-'Economic Model'!C$25/100))</f>
        <v>0.22859861354617719</v>
      </c>
      <c r="AA133" s="52"/>
      <c r="AC133" s="53"/>
      <c r="AD133" s="17">
        <v>1.4606741573033708</v>
      </c>
      <c r="AE133" s="17">
        <f t="shared" si="31"/>
        <v>2.8327106741573034</v>
      </c>
      <c r="AF133" s="17">
        <v>4.2933848314606742</v>
      </c>
      <c r="AG133" s="27"/>
      <c r="AH133" s="93">
        <f>AF133+(H133*'Economic Model'!C$30*'Economic Model'!C$34/1000)+('Economic Model'!K$63/100)</f>
        <v>5.3265098314606742</v>
      </c>
      <c r="AI133" s="93">
        <f>AH133+('Economic Model'!K$60/100)</f>
        <v>5.8858109660061286</v>
      </c>
      <c r="AJ133" s="120"/>
      <c r="AK133" s="91">
        <f t="shared" si="32"/>
        <v>0.57086829353932345</v>
      </c>
      <c r="AL133" s="91">
        <f t="shared" si="33"/>
        <v>1.1567158993869064E-2</v>
      </c>
      <c r="AM133" s="91">
        <f t="shared" si="34"/>
        <v>0.75070199045454267</v>
      </c>
      <c r="AN133" s="91">
        <f t="shared" si="35"/>
        <v>-0.7391348314606736</v>
      </c>
      <c r="AO133" s="264">
        <v>5.52</v>
      </c>
      <c r="AS133" s="15"/>
      <c r="AW133" s="273"/>
    </row>
    <row r="134" spans="1:49" hidden="1" x14ac:dyDescent="0.2">
      <c r="A134" s="8">
        <v>42156</v>
      </c>
      <c r="C134" s="53"/>
      <c r="D134" s="118">
        <f>'Returns per Gal.'!C134</f>
        <v>1.4402272727272736</v>
      </c>
      <c r="E134" s="119">
        <f>'Returns per Gal.'!D134</f>
        <v>148.25</v>
      </c>
      <c r="F134" s="119"/>
      <c r="G134" s="118">
        <f>'Returns per Gal.'!F134</f>
        <v>3.5038715909090898</v>
      </c>
      <c r="H134" s="118">
        <f>'Returns per Gal.'!G134</f>
        <v>4.78</v>
      </c>
      <c r="I134" s="27"/>
      <c r="J134" s="14"/>
      <c r="K134" s="93">
        <f>D134*'Economic Model'!C$30</f>
        <v>4.10464772727273</v>
      </c>
      <c r="L134" s="93">
        <f>E134/2000*('Economic Model'!C$32+0.5)</f>
        <v>1.2527124999999999</v>
      </c>
      <c r="M134" s="319"/>
      <c r="N134" s="93">
        <f t="shared" si="27"/>
        <v>5.3573602272727303</v>
      </c>
      <c r="O134" s="93">
        <f t="shared" si="28"/>
        <v>3.7640790927272763</v>
      </c>
      <c r="P134" s="93"/>
      <c r="Q134" s="137"/>
      <c r="R134" s="93">
        <f>G134+(H134*'Economic Model'!C$30*'Economic Model'!C$34/1000)+('Economic Model'!K$63/100)</f>
        <v>4.5378515909090895</v>
      </c>
      <c r="S134" s="93">
        <f>R134+('Economic Model'!K$60/100)</f>
        <v>5.0971527254545439</v>
      </c>
      <c r="T134" s="261"/>
      <c r="U134" s="137"/>
      <c r="V134" s="93">
        <f t="shared" si="29"/>
        <v>0.8195086363636408</v>
      </c>
      <c r="W134" s="93">
        <f t="shared" si="30"/>
        <v>0.26020750181818642</v>
      </c>
      <c r="X134" s="93"/>
      <c r="Y134" s="146"/>
      <c r="Z134" s="147">
        <f>W134/('Economic Model'!H$14*(1-'Economic Model'!C$25/100))</f>
        <v>7.9236601083121389E-2</v>
      </c>
      <c r="AA134" s="52"/>
      <c r="AC134" s="53"/>
      <c r="AD134" s="17">
        <v>1.4606741573033708</v>
      </c>
      <c r="AE134" s="17">
        <f t="shared" si="31"/>
        <v>2.8327106741573034</v>
      </c>
      <c r="AF134" s="17">
        <v>4.2933848314606742</v>
      </c>
      <c r="AG134" s="27"/>
      <c r="AH134" s="93">
        <f>AF134+(H134*'Economic Model'!C$30*'Economic Model'!C$34/1000)+('Economic Model'!K$63/100)</f>
        <v>5.3273648314606739</v>
      </c>
      <c r="AI134" s="93">
        <f>AH134+('Economic Model'!K$60/100)</f>
        <v>5.8866659660061282</v>
      </c>
      <c r="AJ134" s="120"/>
      <c r="AK134" s="91">
        <f t="shared" si="32"/>
        <v>2.9995395812056458E-2</v>
      </c>
      <c r="AL134" s="91">
        <f t="shared" si="33"/>
        <v>-0.52930573873339792</v>
      </c>
      <c r="AM134" s="91">
        <f t="shared" si="34"/>
        <v>0.26020750181818642</v>
      </c>
      <c r="AN134" s="91">
        <f t="shared" si="35"/>
        <v>-0.78951324055158434</v>
      </c>
      <c r="AO134" s="264">
        <v>5.55</v>
      </c>
      <c r="AS134" s="15"/>
      <c r="AW134" s="273"/>
    </row>
    <row r="135" spans="1:49" hidden="1" x14ac:dyDescent="0.2">
      <c r="A135" s="8">
        <v>42186</v>
      </c>
      <c r="C135" s="53"/>
      <c r="D135" s="118">
        <f>'Returns per Gal.'!C135</f>
        <v>1.4927272727272729</v>
      </c>
      <c r="E135" s="119">
        <f>'Returns per Gal.'!D135</f>
        <v>141.97727272727272</v>
      </c>
      <c r="F135" s="119"/>
      <c r="G135" s="118">
        <f>'Returns per Gal.'!F135</f>
        <v>3.812727272727273</v>
      </c>
      <c r="H135" s="118">
        <f>'Returns per Gal.'!G135</f>
        <v>5.46</v>
      </c>
      <c r="I135" s="27"/>
      <c r="J135" s="14"/>
      <c r="K135" s="93">
        <f>D135*'Economic Model'!C$30</f>
        <v>4.2542727272727276</v>
      </c>
      <c r="L135" s="93">
        <f>E135/2000*('Economic Model'!C$32+0.5)</f>
        <v>1.1997079545454545</v>
      </c>
      <c r="M135" s="319"/>
      <c r="N135" s="93">
        <f t="shared" si="27"/>
        <v>5.453980681818182</v>
      </c>
      <c r="O135" s="93">
        <f t="shared" si="28"/>
        <v>3.8025595472727276</v>
      </c>
      <c r="P135" s="93"/>
      <c r="Q135" s="137"/>
      <c r="R135" s="93">
        <f>G135+(H135*'Economic Model'!C$30*'Economic Model'!C$34/1000)+('Economic Model'!K$63/100)</f>
        <v>4.9048472727272729</v>
      </c>
      <c r="S135" s="93">
        <f>R135+('Economic Model'!K$60/100)</f>
        <v>5.4641484072727273</v>
      </c>
      <c r="T135" s="261"/>
      <c r="U135" s="137"/>
      <c r="V135" s="93">
        <f t="shared" si="29"/>
        <v>0.54913340909090902</v>
      </c>
      <c r="W135" s="93">
        <f t="shared" si="30"/>
        <v>-1.0167725454545362E-2</v>
      </c>
      <c r="X135" s="93"/>
      <c r="Y135" s="146"/>
      <c r="Z135" s="147">
        <f>W135/('Economic Model'!H$14*(1-'Economic Model'!C$25/100))</f>
        <v>-3.0962059131079251E-3</v>
      </c>
      <c r="AA135" s="52"/>
      <c r="AC135" s="53"/>
      <c r="AD135" s="17">
        <v>1.4606741573033708</v>
      </c>
      <c r="AE135" s="17">
        <f t="shared" si="31"/>
        <v>2.8327106741573034</v>
      </c>
      <c r="AF135" s="17">
        <v>4.2933848314606742</v>
      </c>
      <c r="AG135" s="27"/>
      <c r="AH135" s="93">
        <f>AF135+(H135*'Economic Model'!C$30*'Economic Model'!C$34/1000)+('Economic Model'!K$63/100)</f>
        <v>5.3855048314606737</v>
      </c>
      <c r="AI135" s="93">
        <f>AH135+('Economic Model'!K$60/100)</f>
        <v>5.9448059660061281</v>
      </c>
      <c r="AJ135" s="120"/>
      <c r="AK135" s="91">
        <f t="shared" si="32"/>
        <v>6.847585035750825E-2</v>
      </c>
      <c r="AL135" s="91">
        <f t="shared" si="33"/>
        <v>-0.49082528418794613</v>
      </c>
      <c r="AM135" s="91">
        <f t="shared" si="34"/>
        <v>-1.0167725454545362E-2</v>
      </c>
      <c r="AN135" s="91">
        <f t="shared" si="35"/>
        <v>-0.48065755873340121</v>
      </c>
      <c r="AO135" s="265"/>
      <c r="AS135" s="15"/>
      <c r="AW135" s="273"/>
    </row>
    <row r="136" spans="1:49" hidden="1" x14ac:dyDescent="0.2">
      <c r="A136" s="8">
        <v>42217</v>
      </c>
      <c r="C136" s="53"/>
      <c r="D136" s="118">
        <f>'Returns per Gal.'!C136</f>
        <v>1.4154761904761906</v>
      </c>
      <c r="E136" s="119">
        <f>'Returns per Gal.'!D136</f>
        <v>144.75</v>
      </c>
      <c r="F136" s="119"/>
      <c r="G136" s="118">
        <f>'Returns per Gal.'!F136</f>
        <v>3.5095833333333326</v>
      </c>
      <c r="H136" s="118">
        <f>'Returns per Gal.'!G136</f>
        <v>5.13</v>
      </c>
      <c r="I136" s="27"/>
      <c r="J136" s="14"/>
      <c r="K136" s="93">
        <f>D136*'Economic Model'!C$30</f>
        <v>4.0341071428571436</v>
      </c>
      <c r="L136" s="93">
        <f>E136/2000*('Economic Model'!C$32+0.5)</f>
        <v>1.2231374999999998</v>
      </c>
      <c r="M136" s="319"/>
      <c r="N136" s="93">
        <f t="shared" si="27"/>
        <v>5.2572446428571435</v>
      </c>
      <c r="O136" s="93">
        <f t="shared" si="28"/>
        <v>3.6340385083116891</v>
      </c>
      <c r="P136" s="93"/>
      <c r="Q136" s="137"/>
      <c r="R136" s="93">
        <f>G136+(H136*'Economic Model'!C$30*'Economic Model'!C$34/1000)+('Economic Model'!K$63/100)</f>
        <v>4.5734883333333327</v>
      </c>
      <c r="S136" s="93">
        <f>R136+('Economic Model'!K$60/100)</f>
        <v>5.1327894678787871</v>
      </c>
      <c r="T136" s="261"/>
      <c r="U136" s="137"/>
      <c r="V136" s="93">
        <f t="shared" si="29"/>
        <v>0.68375630952381083</v>
      </c>
      <c r="W136" s="93">
        <f t="shared" si="30"/>
        <v>0.12445517497835645</v>
      </c>
      <c r="X136" s="93"/>
      <c r="Y136" s="146"/>
      <c r="Z136" s="147">
        <f>W136/('Economic Model'!H$14*(1-'Economic Model'!C$25/100))</f>
        <v>3.7898234999314183E-2</v>
      </c>
      <c r="AA136" s="52"/>
      <c r="AC136" s="53"/>
      <c r="AD136" s="17">
        <v>1.4606741573033708</v>
      </c>
      <c r="AE136" s="17">
        <f t="shared" si="31"/>
        <v>2.8327106741573034</v>
      </c>
      <c r="AF136" s="17">
        <v>4.2933848314606742</v>
      </c>
      <c r="AG136" s="27"/>
      <c r="AH136" s="93">
        <f>AF136+(H136*'Economic Model'!C$30*'Economic Model'!C$34/1000)+('Economic Model'!K$63/100)</f>
        <v>5.3572898314606743</v>
      </c>
      <c r="AI136" s="93">
        <f>AH136+('Economic Model'!K$60/100)</f>
        <v>5.9165909660061287</v>
      </c>
      <c r="AJ136" s="120"/>
      <c r="AK136" s="91">
        <f t="shared" si="32"/>
        <v>-0.10004518860353073</v>
      </c>
      <c r="AL136" s="91">
        <f t="shared" si="33"/>
        <v>-0.65934632314898511</v>
      </c>
      <c r="AM136" s="91">
        <f t="shared" si="34"/>
        <v>0.12445517497835645</v>
      </c>
      <c r="AN136" s="91">
        <f t="shared" si="35"/>
        <v>-0.78380149812734157</v>
      </c>
      <c r="AO136" s="265"/>
      <c r="AS136" s="15"/>
      <c r="AW136" s="273"/>
    </row>
    <row r="137" spans="1:49" hidden="1" x14ac:dyDescent="0.2">
      <c r="A137" s="8">
        <v>42248</v>
      </c>
      <c r="C137" s="53"/>
      <c r="D137" s="118">
        <f>'Returns per Gal.'!C137</f>
        <v>1.4080952380952378</v>
      </c>
      <c r="E137" s="119">
        <f>'Returns per Gal.'!D137</f>
        <v>130.26190476190476</v>
      </c>
      <c r="F137" s="119"/>
      <c r="G137" s="118">
        <f>'Returns per Gal.'!F137</f>
        <v>3.5240476190476202</v>
      </c>
      <c r="H137" s="118">
        <f>'Returns per Gal.'!G137</f>
        <v>6.19</v>
      </c>
      <c r="I137" s="27"/>
      <c r="J137" s="14"/>
      <c r="K137" s="93">
        <f>D137*'Economic Model'!C$30</f>
        <v>4.0130714285714282</v>
      </c>
      <c r="L137" s="93">
        <f>E137/2000*('Economic Model'!C$32+0.5)</f>
        <v>1.100713095238095</v>
      </c>
      <c r="M137" s="319"/>
      <c r="N137" s="93">
        <f t="shared" si="27"/>
        <v>5.1137845238095228</v>
      </c>
      <c r="O137" s="93">
        <f t="shared" ref="O137:O168" si="36">N137-S137+G137</f>
        <v>3.3999483892640687</v>
      </c>
      <c r="P137" s="93"/>
      <c r="Q137" s="137"/>
      <c r="R137" s="93">
        <f>G137+(H137*'Economic Model'!C$30*'Economic Model'!C$34/1000)+('Economic Model'!K$63/100)</f>
        <v>4.6785826190476199</v>
      </c>
      <c r="S137" s="93">
        <f>R137+('Economic Model'!K$60/100)</f>
        <v>5.2378837535930742</v>
      </c>
      <c r="T137" s="261"/>
      <c r="U137" s="137"/>
      <c r="V137" s="93">
        <f t="shared" ref="V137:V168" si="37">N137-R137</f>
        <v>0.4352019047619029</v>
      </c>
      <c r="W137" s="93">
        <f t="shared" ref="W137:W168" si="38">N137-S137</f>
        <v>-0.12409922978355148</v>
      </c>
      <c r="X137" s="93"/>
      <c r="Y137" s="146"/>
      <c r="Z137" s="147">
        <f>W137/('Economic Model'!H$14*(1-'Economic Model'!C$25/100))</f>
        <v>-3.7789845013586856E-2</v>
      </c>
      <c r="AA137" s="52"/>
      <c r="AB137" s="27"/>
      <c r="AC137" s="53"/>
      <c r="AD137" s="272">
        <v>1.28125</v>
      </c>
      <c r="AE137" s="272">
        <f t="shared" ref="AE137:AE168" si="39">AF137-AD137</f>
        <v>2.6753125</v>
      </c>
      <c r="AF137" s="272">
        <v>3.9565625</v>
      </c>
      <c r="AG137" s="27"/>
      <c r="AH137" s="93">
        <f>AF137+(H137*'Economic Model'!C$30*'Economic Model'!C$34/1000)+('Economic Model'!K$63/100)</f>
        <v>5.1110974999999996</v>
      </c>
      <c r="AI137" s="93">
        <f>AH137+('Economic Model'!K$60/100)</f>
        <v>5.670398634545454</v>
      </c>
      <c r="AJ137" s="120"/>
      <c r="AK137" s="91">
        <f t="shared" ref="AK137:AK168" si="40">N137-AH137</f>
        <v>2.6870238095231258E-3</v>
      </c>
      <c r="AL137" s="91">
        <f t="shared" ref="AL137:AL168" si="41">N137-AI137</f>
        <v>-0.55661411073593126</v>
      </c>
      <c r="AM137" s="91">
        <f t="shared" ref="AM137:AM168" si="42">O137-G137</f>
        <v>-0.12409922978355148</v>
      </c>
      <c r="AN137" s="91">
        <f t="shared" ref="AN137:AN168" si="43">G137-AF137</f>
        <v>-0.43251488095237978</v>
      </c>
      <c r="AO137" s="52"/>
      <c r="AS137" s="15"/>
      <c r="AW137" s="273"/>
    </row>
    <row r="138" spans="1:49" hidden="1" x14ac:dyDescent="0.2">
      <c r="A138" s="8">
        <v>42278</v>
      </c>
      <c r="C138" s="53"/>
      <c r="D138" s="118">
        <f>'Returns per Gal.'!C138</f>
        <v>1.4723809523809526</v>
      </c>
      <c r="E138" s="119">
        <f>'Returns per Gal.'!D138</f>
        <v>110.61904761904762</v>
      </c>
      <c r="F138" s="119"/>
      <c r="G138" s="118">
        <f>'Returns per Gal.'!F138</f>
        <v>3.5657142857142854</v>
      </c>
      <c r="H138" s="118">
        <f>'Returns per Gal.'!G138</f>
        <v>4.57</v>
      </c>
      <c r="I138" s="27"/>
      <c r="J138" s="14"/>
      <c r="K138" s="93">
        <f>D138*'Economic Model'!C$30</f>
        <v>4.1962857142857146</v>
      </c>
      <c r="L138" s="93">
        <f>E138/2000*('Economic Model'!C$32+0.5)</f>
        <v>0.93473095238095227</v>
      </c>
      <c r="M138" s="319"/>
      <c r="N138" s="93">
        <f t="shared" si="27"/>
        <v>5.1310166666666666</v>
      </c>
      <c r="O138" s="93">
        <f t="shared" si="36"/>
        <v>3.5556905321212127</v>
      </c>
      <c r="P138" s="93"/>
      <c r="Q138" s="137"/>
      <c r="R138" s="93">
        <f>G138+(H138*'Economic Model'!C$30*'Economic Model'!C$34/1000)+('Economic Model'!K$63/100)</f>
        <v>4.5817392857142849</v>
      </c>
      <c r="S138" s="93">
        <f>R138+('Economic Model'!K$60/100)</f>
        <v>5.1410404202597393</v>
      </c>
      <c r="T138" s="261"/>
      <c r="U138" s="137"/>
      <c r="V138" s="93">
        <f t="shared" si="37"/>
        <v>0.54927738095238166</v>
      </c>
      <c r="W138" s="93">
        <f t="shared" si="38"/>
        <v>-1.0023753593072726E-2</v>
      </c>
      <c r="X138" s="93"/>
      <c r="Y138" s="146"/>
      <c r="Z138" s="147">
        <f>W138/('Economic Model'!H$14*(1-'Economic Model'!C$25/100))</f>
        <v>-3.0523645907978843E-3</v>
      </c>
      <c r="AA138" s="52"/>
      <c r="AC138" s="53"/>
      <c r="AD138" s="272">
        <v>1.28125</v>
      </c>
      <c r="AE138" s="272">
        <f t="shared" si="39"/>
        <v>2.6753125</v>
      </c>
      <c r="AF138" s="272">
        <v>3.9565625</v>
      </c>
      <c r="AG138" s="27"/>
      <c r="AH138" s="93">
        <f>AF138+(H138*'Economic Model'!C$30*'Economic Model'!C$34/1000)+('Economic Model'!K$63/100)</f>
        <v>4.9725874999999995</v>
      </c>
      <c r="AI138" s="93">
        <f>AH138+('Economic Model'!K$60/100)</f>
        <v>5.5318886345454539</v>
      </c>
      <c r="AJ138" s="120"/>
      <c r="AK138" s="91">
        <f t="shared" si="40"/>
        <v>0.15842916666666707</v>
      </c>
      <c r="AL138" s="91">
        <f t="shared" si="41"/>
        <v>-0.40087196787878732</v>
      </c>
      <c r="AM138" s="91">
        <f t="shared" si="42"/>
        <v>-1.0023753593072726E-2</v>
      </c>
      <c r="AN138" s="91">
        <f t="shared" si="43"/>
        <v>-0.39084821428571459</v>
      </c>
      <c r="AO138" s="52"/>
      <c r="AS138" s="15"/>
      <c r="AW138" s="273"/>
    </row>
    <row r="139" spans="1:49" hidden="1" x14ac:dyDescent="0.2">
      <c r="A139" s="8">
        <v>42309</v>
      </c>
      <c r="C139" s="53"/>
      <c r="D139" s="118">
        <f>'Returns per Gal.'!C139</f>
        <v>1.4250000000000007</v>
      </c>
      <c r="E139" s="119">
        <f>'Returns per Gal.'!D139</f>
        <v>116.05</v>
      </c>
      <c r="F139" s="119"/>
      <c r="G139" s="118">
        <f>'Returns per Gal.'!F139</f>
        <v>3.4855312500000002</v>
      </c>
      <c r="H139" s="118">
        <f>'Returns per Gal.'!G139</f>
        <v>5.28</v>
      </c>
      <c r="I139" s="27"/>
      <c r="J139" s="14"/>
      <c r="K139" s="93">
        <f>D139*'Economic Model'!C$30</f>
        <v>4.061250000000002</v>
      </c>
      <c r="L139" s="93">
        <f>E139/2000*('Economic Model'!C$32+0.5)</f>
        <v>0.98062249999999995</v>
      </c>
      <c r="M139" s="319"/>
      <c r="N139" s="93">
        <f t="shared" si="27"/>
        <v>5.041872500000002</v>
      </c>
      <c r="O139" s="93">
        <f t="shared" si="36"/>
        <v>3.4058413654545481</v>
      </c>
      <c r="P139" s="93"/>
      <c r="Q139" s="137"/>
      <c r="R139" s="93">
        <f>G139+(H139*'Economic Model'!C$30*'Economic Model'!C$34/1000)+('Economic Model'!K$63/100)</f>
        <v>4.5622612499999997</v>
      </c>
      <c r="S139" s="93">
        <f>R139+('Economic Model'!K$60/100)</f>
        <v>5.1215623845454541</v>
      </c>
      <c r="T139" s="261"/>
      <c r="U139" s="137"/>
      <c r="V139" s="93">
        <f t="shared" si="37"/>
        <v>0.47961125000000226</v>
      </c>
      <c r="W139" s="93">
        <f t="shared" si="38"/>
        <v>-7.9689884545452117E-2</v>
      </c>
      <c r="X139" s="93"/>
      <c r="Y139" s="146"/>
      <c r="Z139" s="147">
        <f>W139/('Economic Model'!H$14*(1-'Economic Model'!C$25/100))</f>
        <v>-2.4266616250364643E-2</v>
      </c>
      <c r="AA139" s="52"/>
      <c r="AC139" s="53"/>
      <c r="AD139" s="272">
        <v>1.28125</v>
      </c>
      <c r="AE139" s="272">
        <f t="shared" si="39"/>
        <v>2.6753125</v>
      </c>
      <c r="AF139" s="272">
        <v>3.9565625</v>
      </c>
      <c r="AG139" s="27"/>
      <c r="AH139" s="93">
        <f>AF139+(H139*'Economic Model'!C$30*'Economic Model'!C$34/1000)+('Economic Model'!K$63/100)</f>
        <v>5.0332924999999999</v>
      </c>
      <c r="AI139" s="93">
        <f>AH139+('Economic Model'!K$60/100)</f>
        <v>5.5925936345454543</v>
      </c>
      <c r="AJ139" s="120"/>
      <c r="AK139" s="91">
        <f t="shared" si="40"/>
        <v>8.5800000000020304E-3</v>
      </c>
      <c r="AL139" s="91">
        <f t="shared" si="41"/>
        <v>-0.55072113454545235</v>
      </c>
      <c r="AM139" s="91">
        <f t="shared" si="42"/>
        <v>-7.9689884545452117E-2</v>
      </c>
      <c r="AN139" s="91">
        <f t="shared" si="43"/>
        <v>-0.47103124999999979</v>
      </c>
      <c r="AO139" s="52"/>
      <c r="AS139" s="15"/>
      <c r="AW139" s="273"/>
    </row>
    <row r="140" spans="1:49" hidden="1" x14ac:dyDescent="0.2">
      <c r="A140" s="68">
        <v>42339</v>
      </c>
      <c r="B140" s="29"/>
      <c r="C140" s="56"/>
      <c r="D140" s="128">
        <f>'Returns per Gal.'!C140</f>
        <v>1.3475000000000001</v>
      </c>
      <c r="E140" s="129">
        <f>'Returns per Gal.'!D140</f>
        <v>120.23863636363636</v>
      </c>
      <c r="F140" s="129"/>
      <c r="G140" s="128">
        <f>'Returns per Gal.'!F140</f>
        <v>3.5268181818181814</v>
      </c>
      <c r="H140" s="128">
        <f>'Returns per Gal.'!G140</f>
        <v>4.62</v>
      </c>
      <c r="I140" s="130"/>
      <c r="J140" s="57"/>
      <c r="K140" s="97">
        <f>D140*'Economic Model'!C$30</f>
        <v>3.8403750000000003</v>
      </c>
      <c r="L140" s="97">
        <f>E140/2000*('Economic Model'!C$32+0.5)</f>
        <v>1.0160164772727271</v>
      </c>
      <c r="M140" s="320"/>
      <c r="N140" s="97">
        <f t="shared" si="27"/>
        <v>4.8563914772727275</v>
      </c>
      <c r="O140" s="97">
        <f t="shared" si="36"/>
        <v>3.2767903427272733</v>
      </c>
      <c r="P140" s="97"/>
      <c r="Q140" s="139"/>
      <c r="R140" s="97">
        <f>G140+(H140*'Economic Model'!C$30*'Economic Model'!C$34/1000)+('Economic Model'!K$63/100)</f>
        <v>4.5471181818181812</v>
      </c>
      <c r="S140" s="97">
        <f>R140+('Economic Model'!K$60/100)</f>
        <v>5.1064193163636356</v>
      </c>
      <c r="T140" s="270"/>
      <c r="U140" s="139"/>
      <c r="V140" s="97">
        <f t="shared" si="37"/>
        <v>0.30927329545454629</v>
      </c>
      <c r="W140" s="97">
        <f t="shared" si="38"/>
        <v>-0.25002783909090809</v>
      </c>
      <c r="X140" s="97"/>
      <c r="Y140" s="271"/>
      <c r="Z140" s="148">
        <f>W140/('Economic Model'!H$14*(1-'Economic Model'!C$25/100))</f>
        <v>-7.6136760113718185E-2</v>
      </c>
      <c r="AA140" s="64"/>
      <c r="AB140" s="29"/>
      <c r="AC140" s="56"/>
      <c r="AD140" s="65">
        <v>1.28125</v>
      </c>
      <c r="AE140" s="65">
        <f t="shared" si="39"/>
        <v>2.6753125</v>
      </c>
      <c r="AF140" s="65">
        <v>3.9565625</v>
      </c>
      <c r="AG140" s="29"/>
      <c r="AH140" s="97">
        <f>AF140+(H140*'Economic Model'!C$30*'Economic Model'!C$34/1000)+('Economic Model'!K$63/100)</f>
        <v>4.9768624999999993</v>
      </c>
      <c r="AI140" s="97">
        <f>AH140+('Economic Model'!K$60/100)</f>
        <v>5.5361636345454537</v>
      </c>
      <c r="AJ140" s="130"/>
      <c r="AK140" s="92">
        <f t="shared" si="40"/>
        <v>-0.12047102272727184</v>
      </c>
      <c r="AL140" s="92">
        <f t="shared" si="41"/>
        <v>-0.67977215727272622</v>
      </c>
      <c r="AM140" s="92">
        <f t="shared" si="42"/>
        <v>-0.25002783909090809</v>
      </c>
      <c r="AN140" s="92">
        <f t="shared" si="43"/>
        <v>-0.42974431818181857</v>
      </c>
      <c r="AO140" s="268"/>
      <c r="AP140" s="27"/>
      <c r="AS140" s="15"/>
      <c r="AW140" s="273"/>
    </row>
    <row r="141" spans="1:49" x14ac:dyDescent="0.2">
      <c r="A141" s="21">
        <v>42370</v>
      </c>
      <c r="C141" s="53"/>
      <c r="D141" s="118">
        <f>'Returns per Gal.'!C141</f>
        <v>1.2348157845798291</v>
      </c>
      <c r="E141" s="119">
        <f>'Returns per Gal.'!D141</f>
        <v>121.73684210526316</v>
      </c>
      <c r="F141" s="316">
        <f>'Returns per Gal.'!E141</f>
        <v>0.2429</v>
      </c>
      <c r="G141" s="118">
        <f>'Returns per Gal.'!F141</f>
        <v>3.4529276250538077</v>
      </c>
      <c r="H141" s="118">
        <f>'Returns per Gal.'!G141</f>
        <v>5.01</v>
      </c>
      <c r="I141" s="120"/>
      <c r="J141" s="14"/>
      <c r="K141" s="93">
        <f>D141*'Economic Model'!C$30</f>
        <v>3.5192249860525129</v>
      </c>
      <c r="L141" s="101">
        <f>E141/2000*'Economic Model'!C$32</f>
        <v>0.99824210526315793</v>
      </c>
      <c r="M141" s="321">
        <f>F141*'Economic Model'!C$33</f>
        <v>0.157885</v>
      </c>
      <c r="N141" s="101">
        <f>K141+L141+M141</f>
        <v>4.6753520913156708</v>
      </c>
      <c r="O141" s="93">
        <f t="shared" si="36"/>
        <v>3.0624059567702169</v>
      </c>
      <c r="P141" s="93"/>
      <c r="Q141" s="137"/>
      <c r="R141" s="93">
        <f>G141+(H141*'Economic Model'!C$30*'Economic Model'!C$34/1000)+('Economic Model'!K$63/100)</f>
        <v>4.5065726250538072</v>
      </c>
      <c r="S141" s="93">
        <f>R141+('Economic Model'!K$60/100)</f>
        <v>5.0658737595992616</v>
      </c>
      <c r="T141" s="261"/>
      <c r="U141" s="137"/>
      <c r="V141" s="93">
        <f t="shared" si="37"/>
        <v>0.16877946626186358</v>
      </c>
      <c r="W141" s="93">
        <f t="shared" si="38"/>
        <v>-0.39052166828359081</v>
      </c>
      <c r="X141" s="93"/>
      <c r="Y141" s="146"/>
      <c r="Z141" s="147">
        <f>W141/('Economic Model'!H$14*(1-'Economic Model'!C$25/100))</f>
        <v>-0.11891897592454129</v>
      </c>
      <c r="AA141" s="52"/>
      <c r="AC141" s="53"/>
      <c r="AD141" s="17">
        <v>1.28125</v>
      </c>
      <c r="AE141" s="17">
        <f t="shared" si="39"/>
        <v>2.6753125</v>
      </c>
      <c r="AF141" s="17">
        <v>3.9565625</v>
      </c>
      <c r="AG141" s="27"/>
      <c r="AH141" s="93">
        <f>AF141+(H141*'Economic Model'!C$30*'Economic Model'!C$34/1000)+('Economic Model'!K$63/100)</f>
        <v>5.0102074999999999</v>
      </c>
      <c r="AI141" s="93">
        <f>AH141+('Economic Model'!K$60/100)</f>
        <v>5.5695086345454543</v>
      </c>
      <c r="AJ141" s="120"/>
      <c r="AK141" s="91">
        <f t="shared" si="40"/>
        <v>-0.33485540868432917</v>
      </c>
      <c r="AL141" s="91">
        <f t="shared" si="41"/>
        <v>-0.89415654322978355</v>
      </c>
      <c r="AM141" s="91">
        <f t="shared" si="42"/>
        <v>-0.39052166828359081</v>
      </c>
      <c r="AN141" s="91">
        <f t="shared" si="43"/>
        <v>-0.5036348749461923</v>
      </c>
      <c r="AO141" s="264"/>
      <c r="AS141" s="15"/>
      <c r="AW141" s="273"/>
    </row>
    <row r="142" spans="1:49" x14ac:dyDescent="0.2">
      <c r="A142" s="8">
        <v>42401</v>
      </c>
      <c r="C142" s="53"/>
      <c r="D142" s="118">
        <f>'Returns per Gal.'!C142</f>
        <v>1.3037500083446503</v>
      </c>
      <c r="E142" s="119">
        <f>'Returns per Gal.'!D142</f>
        <v>122.6</v>
      </c>
      <c r="F142" s="316">
        <f>'Returns per Gal.'!E142</f>
        <v>0.255</v>
      </c>
      <c r="G142" s="118">
        <f>'Returns per Gal.'!F142</f>
        <v>3.4756249994039536</v>
      </c>
      <c r="H142" s="118">
        <f>'Returns per Gal.'!G142</f>
        <v>4.3600000000000003</v>
      </c>
      <c r="I142" s="27"/>
      <c r="J142" s="14"/>
      <c r="K142" s="93">
        <f>D142*'Economic Model'!C$30</f>
        <v>3.7156875237822535</v>
      </c>
      <c r="L142" s="93">
        <f>E142/2000*'Economic Model'!C$32</f>
        <v>1.00532</v>
      </c>
      <c r="M142" s="319">
        <f>F142*'Economic Model'!C$33</f>
        <v>0.16575000000000001</v>
      </c>
      <c r="N142" s="93">
        <f t="shared" ref="N142:N176" si="44">K142+L142+M142</f>
        <v>4.8867575237822534</v>
      </c>
      <c r="O142" s="93">
        <f t="shared" si="36"/>
        <v>3.3293863892367992</v>
      </c>
      <c r="P142" s="93"/>
      <c r="Q142" s="137"/>
      <c r="R142" s="93">
        <f>G142+(H142*'Economic Model'!C$30*'Economic Model'!C$34/1000)+('Economic Model'!K$63/100)</f>
        <v>4.4736949994039534</v>
      </c>
      <c r="S142" s="93">
        <f>R142+('Economic Model'!K$60/100)</f>
        <v>5.0329961339494078</v>
      </c>
      <c r="T142" s="261"/>
      <c r="U142" s="137"/>
      <c r="V142" s="93">
        <f t="shared" si="37"/>
        <v>0.41306252437829993</v>
      </c>
      <c r="W142" s="93">
        <f t="shared" si="38"/>
        <v>-0.14623861016715445</v>
      </c>
      <c r="X142" s="93"/>
      <c r="Y142" s="146"/>
      <c r="Z142" s="147">
        <f>W142/('Economic Model'!H$14*(1-'Economic Model'!C$25/100))</f>
        <v>-4.4531577052153409E-2</v>
      </c>
      <c r="AA142" s="52"/>
      <c r="AC142" s="53"/>
      <c r="AD142" s="17">
        <v>1.28125</v>
      </c>
      <c r="AE142" s="17">
        <f t="shared" si="39"/>
        <v>2.6753125</v>
      </c>
      <c r="AF142" s="17">
        <v>3.9565625</v>
      </c>
      <c r="AG142" s="27"/>
      <c r="AH142" s="93">
        <f>AF142+(H142*'Economic Model'!C$30*'Economic Model'!C$34/1000)+('Economic Model'!K$63/100)</f>
        <v>4.9546324999999998</v>
      </c>
      <c r="AI142" s="93">
        <f>AH142+('Economic Model'!K$60/100)</f>
        <v>5.5139336345454542</v>
      </c>
      <c r="AJ142" s="120"/>
      <c r="AK142" s="91">
        <f t="shared" si="40"/>
        <v>-6.7874976217746408E-2</v>
      </c>
      <c r="AL142" s="91">
        <f t="shared" si="41"/>
        <v>-0.62717611076320079</v>
      </c>
      <c r="AM142" s="91">
        <f t="shared" si="42"/>
        <v>-0.14623861016715445</v>
      </c>
      <c r="AN142" s="91">
        <f t="shared" si="43"/>
        <v>-0.48093750059604634</v>
      </c>
      <c r="AO142" s="264"/>
      <c r="AS142" s="15"/>
      <c r="AW142" s="273"/>
    </row>
    <row r="143" spans="1:49" x14ac:dyDescent="0.2">
      <c r="A143" s="8">
        <v>42430</v>
      </c>
      <c r="C143" s="53"/>
      <c r="D143" s="118">
        <f>'Returns per Gal.'!C143</f>
        <v>1.272826085401618</v>
      </c>
      <c r="E143" s="119">
        <f>'Returns per Gal.'!D143</f>
        <v>123.98913043478261</v>
      </c>
      <c r="F143" s="316">
        <f>'Returns per Gal.'!E143</f>
        <v>0.27989999999999998</v>
      </c>
      <c r="G143" s="118">
        <f>'Returns per Gal.'!F143</f>
        <v>3.4381521688336911</v>
      </c>
      <c r="H143" s="118">
        <f>'Returns per Gal.'!G143</f>
        <v>4.8600000000000003</v>
      </c>
      <c r="I143" s="27"/>
      <c r="J143" s="14"/>
      <c r="K143" s="93">
        <f>D143*'Economic Model'!C$30</f>
        <v>3.6275543433946114</v>
      </c>
      <c r="L143" s="93">
        <f>E143/2000*'Economic Model'!C$32</f>
        <v>1.0167108695652174</v>
      </c>
      <c r="M143" s="319">
        <f>F143*'Economic Model'!C$33</f>
        <v>0.18193499999999999</v>
      </c>
      <c r="N143" s="93">
        <f t="shared" si="44"/>
        <v>4.8262002129598285</v>
      </c>
      <c r="O143" s="93">
        <f t="shared" si="36"/>
        <v>3.2260790784143745</v>
      </c>
      <c r="P143" s="93"/>
      <c r="Q143" s="137"/>
      <c r="R143" s="93">
        <f>G143+(H143*'Economic Model'!C$30*'Economic Model'!C$34/1000)+('Economic Model'!K$63/100)</f>
        <v>4.4789721688336908</v>
      </c>
      <c r="S143" s="93">
        <f>R143+('Economic Model'!K$60/100)</f>
        <v>5.0382733033791451</v>
      </c>
      <c r="T143" s="261"/>
      <c r="U143" s="137"/>
      <c r="V143" s="93">
        <f t="shared" si="37"/>
        <v>0.34722804412613772</v>
      </c>
      <c r="W143" s="93">
        <f t="shared" si="38"/>
        <v>-0.21207309041931666</v>
      </c>
      <c r="X143" s="93"/>
      <c r="Y143" s="146"/>
      <c r="Z143" s="147">
        <f>W143/('Economic Model'!H$14*(1-'Economic Model'!C$25/100))</f>
        <v>-6.4579040760175593E-2</v>
      </c>
      <c r="AA143" s="52"/>
      <c r="AC143" s="53"/>
      <c r="AD143" s="17">
        <v>1.28125</v>
      </c>
      <c r="AE143" s="17">
        <f t="shared" si="39"/>
        <v>2.6753125</v>
      </c>
      <c r="AF143" s="17">
        <v>3.9565625</v>
      </c>
      <c r="AG143" s="27"/>
      <c r="AH143" s="93">
        <f>AF143+(H143*'Economic Model'!C$30*'Economic Model'!C$34/1000)+('Economic Model'!K$63/100)</f>
        <v>4.9973824999999996</v>
      </c>
      <c r="AI143" s="93">
        <f>AH143+('Economic Model'!K$60/100)</f>
        <v>5.556683634545454</v>
      </c>
      <c r="AJ143" s="120"/>
      <c r="AK143" s="91">
        <f t="shared" si="40"/>
        <v>-0.17118228704017113</v>
      </c>
      <c r="AL143" s="91">
        <f t="shared" si="41"/>
        <v>-0.73048342158562551</v>
      </c>
      <c r="AM143" s="91">
        <f t="shared" si="42"/>
        <v>-0.21207309041931666</v>
      </c>
      <c r="AN143" s="91">
        <f t="shared" si="43"/>
        <v>-0.51841033116630886</v>
      </c>
      <c r="AO143" s="264"/>
      <c r="AS143" s="15"/>
      <c r="AW143" s="273"/>
    </row>
    <row r="144" spans="1:49" x14ac:dyDescent="0.2">
      <c r="A144" s="8">
        <v>42461</v>
      </c>
      <c r="C144" s="53"/>
      <c r="D144" s="118">
        <f>'Returns per Gal.'!C144</f>
        <v>1.4169047531627474</v>
      </c>
      <c r="E144" s="119">
        <f>'Returns per Gal.'!D144</f>
        <v>115.80952380952381</v>
      </c>
      <c r="F144" s="316">
        <f>'Returns per Gal.'!E144</f>
        <v>0.30049999999999999</v>
      </c>
      <c r="G144" s="118">
        <f>'Returns per Gal.'!F144</f>
        <v>3.4765476158687045</v>
      </c>
      <c r="H144" s="118">
        <f>'Returns per Gal.'!G144</f>
        <v>4.4400000000000004</v>
      </c>
      <c r="I144" s="27"/>
      <c r="J144" s="14"/>
      <c r="K144" s="93">
        <f>D144*'Economic Model'!C$30</f>
        <v>4.03817854651383</v>
      </c>
      <c r="L144" s="93">
        <f>E144/2000*'Economic Model'!C$32</f>
        <v>0.94963809523809517</v>
      </c>
      <c r="M144" s="319">
        <f>F144*'Economic Model'!C$33</f>
        <v>0.195325</v>
      </c>
      <c r="N144" s="93">
        <f t="shared" si="44"/>
        <v>5.1831416417519254</v>
      </c>
      <c r="O144" s="93">
        <f t="shared" si="36"/>
        <v>3.6189305072064712</v>
      </c>
      <c r="P144" s="93"/>
      <c r="Q144" s="137"/>
      <c r="R144" s="93">
        <f>G144+(H144*'Economic Model'!C$30*'Economic Model'!C$34/1000)+('Economic Model'!K$63/100)</f>
        <v>4.4814576158687043</v>
      </c>
      <c r="S144" s="93">
        <f>R144+('Economic Model'!K$60/100)</f>
        <v>5.0407587504141587</v>
      </c>
      <c r="T144" s="261"/>
      <c r="U144" s="137"/>
      <c r="V144" s="93">
        <f t="shared" si="37"/>
        <v>0.7016840258832211</v>
      </c>
      <c r="W144" s="93">
        <f t="shared" si="38"/>
        <v>0.14238289133776671</v>
      </c>
      <c r="X144" s="93"/>
      <c r="Y144" s="146"/>
      <c r="Z144" s="147">
        <f>W144/('Economic Model'!H$14*(1-'Economic Model'!C$25/100))</f>
        <v>4.3357460039238287E-2</v>
      </c>
      <c r="AA144" s="52"/>
      <c r="AC144" s="53"/>
      <c r="AD144" s="17">
        <v>1.28125</v>
      </c>
      <c r="AE144" s="17">
        <f t="shared" si="39"/>
        <v>2.6753125</v>
      </c>
      <c r="AF144" s="17">
        <v>3.9565625</v>
      </c>
      <c r="AG144" s="27"/>
      <c r="AH144" s="93">
        <f>AF144+(H144*'Economic Model'!C$30*'Economic Model'!C$34/1000)+('Economic Model'!K$63/100)</f>
        <v>4.9614724999999993</v>
      </c>
      <c r="AI144" s="93">
        <f>AH144+('Economic Model'!K$60/100)</f>
        <v>5.5207736345454537</v>
      </c>
      <c r="AJ144" s="120"/>
      <c r="AK144" s="91">
        <f t="shared" si="40"/>
        <v>0.22166914175192609</v>
      </c>
      <c r="AL144" s="91">
        <f t="shared" si="41"/>
        <v>-0.33763199279352829</v>
      </c>
      <c r="AM144" s="91">
        <f t="shared" si="42"/>
        <v>0.14238289133776671</v>
      </c>
      <c r="AN144" s="91">
        <f t="shared" si="43"/>
        <v>-0.48001488413129545</v>
      </c>
      <c r="AO144" s="264"/>
      <c r="AS144" s="15"/>
      <c r="AW144" s="273"/>
    </row>
    <row r="145" spans="1:49" x14ac:dyDescent="0.2">
      <c r="A145" s="8">
        <v>42491</v>
      </c>
      <c r="C145" s="53"/>
      <c r="D145" s="118">
        <f>'Returns per Gal.'!C145</f>
        <v>1.4661904602959042</v>
      </c>
      <c r="E145" s="119">
        <f>'Returns per Gal.'!D145</f>
        <v>132.0952380952381</v>
      </c>
      <c r="F145" s="316">
        <f>'Returns per Gal.'!E145</f>
        <v>0.30760000000000004</v>
      </c>
      <c r="G145" s="118">
        <f>'Returns per Gal.'!F145</f>
        <v>3.607440488792601</v>
      </c>
      <c r="H145" s="118">
        <f>'Returns per Gal.'!G145</f>
        <v>4.07</v>
      </c>
      <c r="I145" s="27"/>
      <c r="J145" s="14"/>
      <c r="K145" s="93">
        <f>D145*'Economic Model'!C$30</f>
        <v>4.1786428118433268</v>
      </c>
      <c r="L145" s="93">
        <f>E145/2000*'Economic Model'!C$32</f>
        <v>1.0831809523809524</v>
      </c>
      <c r="M145" s="319">
        <f>F145*'Economic Model'!C$33</f>
        <v>0.19994000000000003</v>
      </c>
      <c r="N145" s="93">
        <f t="shared" si="44"/>
        <v>5.4617637642242789</v>
      </c>
      <c r="O145" s="93">
        <f t="shared" si="36"/>
        <v>3.9291876296788248</v>
      </c>
      <c r="P145" s="93"/>
      <c r="Q145" s="137"/>
      <c r="R145" s="93">
        <f>G145+(H145*'Economic Model'!C$30*'Economic Model'!C$34/1000)+('Economic Model'!K$63/100)</f>
        <v>4.5807154887926007</v>
      </c>
      <c r="S145" s="93">
        <f>R145+('Economic Model'!K$60/100)</f>
        <v>5.1400166233380551</v>
      </c>
      <c r="T145" s="261"/>
      <c r="U145" s="137"/>
      <c r="V145" s="93">
        <f t="shared" si="37"/>
        <v>0.88104827543167819</v>
      </c>
      <c r="W145" s="93">
        <f t="shared" si="38"/>
        <v>0.3217471408862238</v>
      </c>
      <c r="X145" s="93"/>
      <c r="Y145" s="146"/>
      <c r="Z145" s="147">
        <f>W145/('Economic Model'!H$14*(1-'Economic Model'!C$25/100))</f>
        <v>9.7976229255104186E-2</v>
      </c>
      <c r="AA145" s="52"/>
      <c r="AC145" s="53"/>
      <c r="AD145" s="17">
        <v>1.28125</v>
      </c>
      <c r="AE145" s="17">
        <f t="shared" si="39"/>
        <v>2.6753125</v>
      </c>
      <c r="AF145" s="17">
        <v>3.9565625</v>
      </c>
      <c r="AG145" s="27"/>
      <c r="AH145" s="93">
        <f>AF145+(H145*'Economic Model'!C$30*'Economic Model'!C$34/1000)+('Economic Model'!K$63/100)</f>
        <v>4.9298374999999997</v>
      </c>
      <c r="AI145" s="93">
        <f>AH145+('Economic Model'!K$60/100)</f>
        <v>5.489138634545454</v>
      </c>
      <c r="AJ145" s="120"/>
      <c r="AK145" s="91">
        <f t="shared" si="40"/>
        <v>0.53192626422427924</v>
      </c>
      <c r="AL145" s="91">
        <f t="shared" si="41"/>
        <v>-2.7374870321175138E-2</v>
      </c>
      <c r="AM145" s="91">
        <f t="shared" si="42"/>
        <v>0.3217471408862238</v>
      </c>
      <c r="AN145" s="91">
        <f t="shared" si="43"/>
        <v>-0.34912201120739894</v>
      </c>
      <c r="AO145" s="264"/>
      <c r="AS145" s="15"/>
      <c r="AW145" s="273"/>
    </row>
    <row r="146" spans="1:49" x14ac:dyDescent="0.2">
      <c r="A146" s="8">
        <v>42522</v>
      </c>
      <c r="C146" s="53"/>
      <c r="D146" s="118">
        <f>'Returns per Gal.'!C146</f>
        <v>1.5622727274894714</v>
      </c>
      <c r="E146" s="119">
        <f>'Returns per Gal.'!D146</f>
        <v>160.67045454545453</v>
      </c>
      <c r="F146" s="316">
        <f>'Returns per Gal.'!E146</f>
        <v>0.28339999999999999</v>
      </c>
      <c r="G146" s="118">
        <f>'Returns per Gal.'!F146</f>
        <v>3.7821590792049062</v>
      </c>
      <c r="H146" s="118">
        <f>'Returns per Gal.'!G146</f>
        <v>4.4400000000000004</v>
      </c>
      <c r="I146" s="27"/>
      <c r="J146" s="14"/>
      <c r="K146" s="93">
        <f>D146*'Economic Model'!C$30</f>
        <v>4.4524772733449938</v>
      </c>
      <c r="L146" s="93">
        <f>E146/2000*'Economic Model'!C$32</f>
        <v>1.3174977272727271</v>
      </c>
      <c r="M146" s="319">
        <f>F146*'Economic Model'!C$33</f>
        <v>0.18420999999999998</v>
      </c>
      <c r="N146" s="93">
        <f t="shared" si="44"/>
        <v>5.9541850006177208</v>
      </c>
      <c r="O146" s="93">
        <f t="shared" si="36"/>
        <v>4.3899738660722658</v>
      </c>
      <c r="P146" s="93"/>
      <c r="Q146" s="137"/>
      <c r="R146" s="93">
        <f>G146+(H146*'Economic Model'!C$30*'Economic Model'!C$34/1000)+('Economic Model'!K$63/100)</f>
        <v>4.7870690792049064</v>
      </c>
      <c r="S146" s="93">
        <f>R146+('Economic Model'!K$60/100)</f>
        <v>5.3463702137503608</v>
      </c>
      <c r="T146" s="261"/>
      <c r="U146" s="137"/>
      <c r="V146" s="93">
        <f t="shared" si="37"/>
        <v>1.1671159214128144</v>
      </c>
      <c r="W146" s="93">
        <f t="shared" si="38"/>
        <v>0.60781478686736001</v>
      </c>
      <c r="X146" s="93"/>
      <c r="Y146" s="146"/>
      <c r="Z146" s="147">
        <f>W146/('Economic Model'!H$14*(1-'Economic Model'!C$25/100))</f>
        <v>0.18508758380487775</v>
      </c>
      <c r="AA146" s="52"/>
      <c r="AC146" s="53"/>
      <c r="AD146" s="17">
        <v>1.28125</v>
      </c>
      <c r="AE146" s="17">
        <f t="shared" si="39"/>
        <v>2.6753125</v>
      </c>
      <c r="AF146" s="17">
        <v>3.9565625</v>
      </c>
      <c r="AG146" s="27"/>
      <c r="AH146" s="93">
        <f>AF146+(H146*'Economic Model'!C$30*'Economic Model'!C$34/1000)+('Economic Model'!K$63/100)</f>
        <v>4.9614724999999993</v>
      </c>
      <c r="AI146" s="93">
        <f>AH146+('Economic Model'!K$60/100)</f>
        <v>5.5207736345454537</v>
      </c>
      <c r="AJ146" s="120"/>
      <c r="AK146" s="91">
        <f t="shared" si="40"/>
        <v>0.99271250061772154</v>
      </c>
      <c r="AL146" s="91">
        <f t="shared" si="41"/>
        <v>0.43341136607226716</v>
      </c>
      <c r="AM146" s="91">
        <f t="shared" si="42"/>
        <v>0.60781478686735957</v>
      </c>
      <c r="AN146" s="91">
        <f t="shared" si="43"/>
        <v>-0.17440342079509374</v>
      </c>
      <c r="AO146" s="264"/>
      <c r="AS146" s="15"/>
      <c r="AW146" s="273"/>
    </row>
    <row r="147" spans="1:49" x14ac:dyDescent="0.2">
      <c r="A147" s="8">
        <v>42552</v>
      </c>
      <c r="C147" s="53"/>
      <c r="D147" s="118">
        <f>'Returns per Gal.'!C147</f>
        <v>1.4805000245571136</v>
      </c>
      <c r="E147" s="119">
        <f>'Returns per Gal.'!D147</f>
        <v>140.27500000000001</v>
      </c>
      <c r="F147" s="316">
        <f>'Returns per Gal.'!E147</f>
        <v>0.26179999999999998</v>
      </c>
      <c r="G147" s="118">
        <f>'Returns per Gal.'!F147</f>
        <v>3.1680624932050705</v>
      </c>
      <c r="H147" s="118">
        <f>'Returns per Gal.'!G147</f>
        <v>4.66</v>
      </c>
      <c r="I147" s="27"/>
      <c r="J147" s="14"/>
      <c r="K147" s="93">
        <f>D147*'Economic Model'!C$30</f>
        <v>4.219425069987774</v>
      </c>
      <c r="L147" s="93">
        <f>E147/2000*'Economic Model'!C$32</f>
        <v>1.150255</v>
      </c>
      <c r="M147" s="319">
        <f>F147*'Economic Model'!C$33</f>
        <v>0.17016999999999999</v>
      </c>
      <c r="N147" s="93">
        <f t="shared" si="44"/>
        <v>5.5398500699877742</v>
      </c>
      <c r="O147" s="93">
        <f t="shared" si="36"/>
        <v>3.9568289354423198</v>
      </c>
      <c r="P147" s="93"/>
      <c r="Q147" s="137"/>
      <c r="R147" s="93">
        <f>G147+(H147*'Economic Model'!C$30*'Economic Model'!C$34/1000)+('Economic Model'!K$63/100)</f>
        <v>4.1917824932050705</v>
      </c>
      <c r="S147" s="93">
        <f>R147+('Economic Model'!K$60/100)</f>
        <v>4.7510836277505248</v>
      </c>
      <c r="T147" s="261"/>
      <c r="U147" s="137"/>
      <c r="V147" s="93">
        <f t="shared" si="37"/>
        <v>1.3480675767827037</v>
      </c>
      <c r="W147" s="93">
        <f t="shared" si="38"/>
        <v>0.78876644223724934</v>
      </c>
      <c r="X147" s="93"/>
      <c r="Y147" s="146"/>
      <c r="Z147" s="147">
        <f>W147/('Economic Model'!H$14*(1-'Economic Model'!C$25/100))</f>
        <v>0.24018973893756373</v>
      </c>
      <c r="AA147" s="52"/>
      <c r="AC147" s="53"/>
      <c r="AD147" s="17">
        <v>1.28125</v>
      </c>
      <c r="AE147" s="17">
        <f t="shared" si="39"/>
        <v>2.6753125</v>
      </c>
      <c r="AF147" s="17">
        <v>3.9565625</v>
      </c>
      <c r="AG147" s="27"/>
      <c r="AH147" s="93">
        <f>AF147+(H147*'Economic Model'!C$30*'Economic Model'!C$34/1000)+('Economic Model'!K$63/100)</f>
        <v>4.9802824999999995</v>
      </c>
      <c r="AI147" s="93">
        <f>AH147+('Economic Model'!K$60/100)</f>
        <v>5.5395836345454539</v>
      </c>
      <c r="AJ147" s="120"/>
      <c r="AK147" s="91">
        <f t="shared" si="40"/>
        <v>0.55956756998777468</v>
      </c>
      <c r="AL147" s="91">
        <f t="shared" si="41"/>
        <v>2.6643544232030081E-4</v>
      </c>
      <c r="AM147" s="91">
        <f t="shared" si="42"/>
        <v>0.78876644223724934</v>
      </c>
      <c r="AN147" s="91">
        <f t="shared" si="43"/>
        <v>-0.78850000679492949</v>
      </c>
      <c r="AO147" s="265"/>
      <c r="AS147" s="15"/>
      <c r="AW147" s="273"/>
    </row>
    <row r="148" spans="1:49" x14ac:dyDescent="0.2">
      <c r="A148" s="8">
        <v>42583</v>
      </c>
      <c r="C148" s="53"/>
      <c r="D148" s="118">
        <f>'Returns per Gal.'!C148</f>
        <v>1.3334782486376555</v>
      </c>
      <c r="E148" s="119">
        <f>'Returns per Gal.'!D148</f>
        <v>118.08695652173913</v>
      </c>
      <c r="F148" s="316">
        <f>'Returns per Gal.'!E148</f>
        <v>0.26280000000000003</v>
      </c>
      <c r="G148" s="118">
        <f>'Returns per Gal.'!F148</f>
        <v>3.0150543373564016</v>
      </c>
      <c r="H148" s="118">
        <f>'Returns per Gal.'!G148</f>
        <v>4.33</v>
      </c>
      <c r="I148" s="27"/>
      <c r="J148" s="14"/>
      <c r="K148" s="93">
        <f>D148*'Economic Model'!C$30</f>
        <v>3.8004130086173182</v>
      </c>
      <c r="L148" s="93">
        <f>E148/2000*'Economic Model'!C$32</f>
        <v>0.96831304347826075</v>
      </c>
      <c r="M148" s="319">
        <f>F148*'Economic Model'!C$33</f>
        <v>0.17082000000000003</v>
      </c>
      <c r="N148" s="93">
        <f t="shared" si="44"/>
        <v>4.9395460520955785</v>
      </c>
      <c r="O148" s="93">
        <f t="shared" si="36"/>
        <v>3.3847399175501245</v>
      </c>
      <c r="P148" s="93"/>
      <c r="Q148" s="137"/>
      <c r="R148" s="93">
        <f>G148+(H148*'Economic Model'!C$30*'Economic Model'!C$34/1000)+('Economic Model'!K$63/100)</f>
        <v>4.0105593373564012</v>
      </c>
      <c r="S148" s="93">
        <f>R148+('Economic Model'!K$60/100)</f>
        <v>4.5698604719018556</v>
      </c>
      <c r="T148" s="261"/>
      <c r="U148" s="137"/>
      <c r="V148" s="93">
        <f t="shared" si="37"/>
        <v>0.92898671473917727</v>
      </c>
      <c r="W148" s="93">
        <f t="shared" si="38"/>
        <v>0.36968558019372288</v>
      </c>
      <c r="X148" s="93"/>
      <c r="Y148" s="146"/>
      <c r="Z148" s="147">
        <f>W148/('Economic Model'!H$14*(1-'Economic Model'!C$25/100))</f>
        <v>0.11257411350292201</v>
      </c>
      <c r="AA148" s="52"/>
      <c r="AC148" s="53"/>
      <c r="AD148" s="17">
        <v>1.28125</v>
      </c>
      <c r="AE148" s="17">
        <f t="shared" si="39"/>
        <v>2.6753125</v>
      </c>
      <c r="AF148" s="17">
        <v>3.9565625</v>
      </c>
      <c r="AG148" s="27"/>
      <c r="AH148" s="93">
        <f>AF148+(H148*'Economic Model'!C$30*'Economic Model'!C$34/1000)+('Economic Model'!K$63/100)</f>
        <v>4.9520675000000001</v>
      </c>
      <c r="AI148" s="93">
        <f>AH148+('Economic Model'!K$60/100)</f>
        <v>5.5113686345454544</v>
      </c>
      <c r="AJ148" s="120"/>
      <c r="AK148" s="91">
        <f t="shared" si="40"/>
        <v>-1.2521447904421557E-2</v>
      </c>
      <c r="AL148" s="91">
        <f t="shared" si="41"/>
        <v>-0.57182258244987594</v>
      </c>
      <c r="AM148" s="91">
        <f t="shared" si="42"/>
        <v>0.36968558019372288</v>
      </c>
      <c r="AN148" s="91">
        <f t="shared" si="43"/>
        <v>-0.94150816264359838</v>
      </c>
      <c r="AO148" s="265"/>
      <c r="AS148" s="15"/>
      <c r="AW148" s="273"/>
    </row>
    <row r="149" spans="1:49" x14ac:dyDescent="0.2">
      <c r="A149" s="8">
        <v>42614</v>
      </c>
      <c r="C149" s="53"/>
      <c r="D149" s="118">
        <f>'Returns per Gal.'!C149</f>
        <v>1.4297618909109207</v>
      </c>
      <c r="E149" s="119">
        <f>'Returns per Gal.'!D149</f>
        <v>111.95238095238095</v>
      </c>
      <c r="F149" s="316">
        <f>'Returns per Gal.'!E149</f>
        <v>0.27940000000000004</v>
      </c>
      <c r="G149" s="118">
        <f>'Returns per Gal.'!F149</f>
        <v>3.0030059619176956</v>
      </c>
      <c r="H149" s="118">
        <f>'Returns per Gal.'!G149</f>
        <v>4.96</v>
      </c>
      <c r="I149" s="27"/>
      <c r="J149" s="14"/>
      <c r="K149" s="93">
        <f>D149*'Economic Model'!C$30</f>
        <v>4.0748213890961242</v>
      </c>
      <c r="L149" s="93">
        <f>E149/2000*'Economic Model'!C$32</f>
        <v>0.91800952380952361</v>
      </c>
      <c r="M149" s="319">
        <f>F149*'Economic Model'!C$33</f>
        <v>0.18161000000000002</v>
      </c>
      <c r="N149" s="93">
        <f t="shared" si="44"/>
        <v>5.1744409129056477</v>
      </c>
      <c r="O149" s="93">
        <f t="shared" si="36"/>
        <v>3.5657697783601936</v>
      </c>
      <c r="P149" s="93"/>
      <c r="Q149" s="137"/>
      <c r="R149" s="93">
        <f>G149+(H149*'Economic Model'!C$30*'Economic Model'!C$34/1000)+('Economic Model'!K$63/100)</f>
        <v>4.0523759619176953</v>
      </c>
      <c r="S149" s="93">
        <f>R149+('Economic Model'!K$60/100)</f>
        <v>4.6116770964631497</v>
      </c>
      <c r="T149" s="261"/>
      <c r="U149" s="137"/>
      <c r="V149" s="93">
        <f t="shared" si="37"/>
        <v>1.1220649509879523</v>
      </c>
      <c r="W149" s="93">
        <f t="shared" si="38"/>
        <v>0.56276381644249795</v>
      </c>
      <c r="X149" s="93"/>
      <c r="Y149" s="146"/>
      <c r="Z149" s="147">
        <f>W149/('Economic Model'!H$14*(1-'Economic Model'!C$25/100))</f>
        <v>0.17136897174711885</v>
      </c>
      <c r="AA149" s="52"/>
      <c r="AB149" s="27"/>
      <c r="AC149" s="53"/>
      <c r="AD149" s="272">
        <v>1.1330049261083743</v>
      </c>
      <c r="AE149" s="17">
        <f t="shared" si="39"/>
        <v>2.4303349753694583</v>
      </c>
      <c r="AF149" s="272">
        <v>3.5633399014778329</v>
      </c>
      <c r="AG149" s="27"/>
      <c r="AH149" s="93">
        <f>AF149+(H149*'Economic Model'!C$30*'Economic Model'!C$34/1000)+('Economic Model'!K$63/100)</f>
        <v>4.6127099014778326</v>
      </c>
      <c r="AI149" s="93">
        <f>AH149+('Economic Model'!K$60/100)</f>
        <v>5.1720110360232869</v>
      </c>
      <c r="AJ149" s="120"/>
      <c r="AK149" s="91">
        <f t="shared" si="40"/>
        <v>0.56173101142781512</v>
      </c>
      <c r="AL149" s="91">
        <f t="shared" si="41"/>
        <v>2.4298768823607375E-3</v>
      </c>
      <c r="AM149" s="91">
        <f t="shared" si="42"/>
        <v>0.56276381644249795</v>
      </c>
      <c r="AN149" s="91">
        <f t="shared" si="43"/>
        <v>-0.56033393956013722</v>
      </c>
      <c r="AO149" s="52"/>
      <c r="AS149" s="15"/>
      <c r="AW149" s="273"/>
    </row>
    <row r="150" spans="1:49" x14ac:dyDescent="0.2">
      <c r="A150" s="8">
        <v>42644</v>
      </c>
      <c r="C150" s="53"/>
      <c r="D150" s="118">
        <f>'Returns per Gal.'!C150</f>
        <v>1.51714286066237</v>
      </c>
      <c r="E150" s="119">
        <f>'Returns per Gal.'!D150</f>
        <v>102.96428571428601</v>
      </c>
      <c r="F150" s="316">
        <f>'Returns per Gal.'!E150</f>
        <v>0.28309999999999996</v>
      </c>
      <c r="G150" s="118">
        <f>'Returns per Gal.'!F150</f>
        <v>3.1482142891202698</v>
      </c>
      <c r="H150" s="118">
        <f>'Returns per Gal.'!G150</f>
        <v>4.9400000000000004</v>
      </c>
      <c r="I150" s="27"/>
      <c r="J150" s="14"/>
      <c r="K150" s="93">
        <f>D150*'Economic Model'!C$30</f>
        <v>4.3238571528877543</v>
      </c>
      <c r="L150" s="93">
        <f>E150/2000*'Economic Model'!C$32</f>
        <v>0.84430714285714514</v>
      </c>
      <c r="M150" s="319">
        <f>F150*'Economic Model'!C$33</f>
        <v>0.18401499999999998</v>
      </c>
      <c r="N150" s="93">
        <f t="shared" si="44"/>
        <v>5.3521792957448993</v>
      </c>
      <c r="O150" s="93">
        <f t="shared" si="36"/>
        <v>3.7452181611994448</v>
      </c>
      <c r="P150" s="93"/>
      <c r="Q150" s="137"/>
      <c r="R150" s="93">
        <f>G150+(H150*'Economic Model'!C$30*'Economic Model'!C$34/1000)+('Economic Model'!K$63/100)</f>
        <v>4.1958742891202698</v>
      </c>
      <c r="S150" s="93">
        <f>R150+('Economic Model'!K$60/100)</f>
        <v>4.7551754236657242</v>
      </c>
      <c r="T150" s="261"/>
      <c r="U150" s="137"/>
      <c r="V150" s="93">
        <f t="shared" si="37"/>
        <v>1.1563050066246294</v>
      </c>
      <c r="W150" s="93">
        <f t="shared" si="38"/>
        <v>0.59700387207917505</v>
      </c>
      <c r="X150" s="93"/>
      <c r="Y150" s="146"/>
      <c r="Z150" s="147">
        <f>W150/('Economic Model'!H$14*(1-'Economic Model'!C$25/100))</f>
        <v>0.18179551829397034</v>
      </c>
      <c r="AA150" s="52"/>
      <c r="AC150" s="53"/>
      <c r="AD150" s="272">
        <v>1.1330049261083743</v>
      </c>
      <c r="AE150" s="17">
        <f t="shared" si="39"/>
        <v>2.4303349753694583</v>
      </c>
      <c r="AF150" s="272">
        <v>3.5633399014778329</v>
      </c>
      <c r="AG150" s="27"/>
      <c r="AH150" s="93">
        <f>AF150+(H150*'Economic Model'!C$30*'Economic Model'!C$34/1000)+('Economic Model'!K$63/100)</f>
        <v>4.6109999014778325</v>
      </c>
      <c r="AI150" s="93">
        <f>AH150+('Economic Model'!K$60/100)</f>
        <v>5.1703010360232868</v>
      </c>
      <c r="AJ150" s="120"/>
      <c r="AK150" s="91">
        <f t="shared" si="40"/>
        <v>0.7411793942670668</v>
      </c>
      <c r="AL150" s="91">
        <f t="shared" si="41"/>
        <v>0.18187825972161242</v>
      </c>
      <c r="AM150" s="91">
        <f t="shared" si="42"/>
        <v>0.59700387207917505</v>
      </c>
      <c r="AN150" s="91">
        <f t="shared" si="43"/>
        <v>-0.41512561235756307</v>
      </c>
      <c r="AO150" s="52"/>
      <c r="AS150" s="15"/>
      <c r="AW150" s="273"/>
    </row>
    <row r="151" spans="1:49" x14ac:dyDescent="0.2">
      <c r="A151" s="8">
        <v>42675</v>
      </c>
      <c r="C151" s="53"/>
      <c r="D151" s="118">
        <f>'Returns per Gal.'!C151</f>
        <v>1.5450000167</v>
      </c>
      <c r="E151" s="119">
        <f>'Returns per Gal.'!D151</f>
        <v>102</v>
      </c>
      <c r="F151" s="316">
        <f>'Returns per Gal.'!E151</f>
        <v>0.28050000000000003</v>
      </c>
      <c r="G151" s="118">
        <f>'Returns per Gal.'!F151</f>
        <v>3.1478749930999999</v>
      </c>
      <c r="H151" s="118">
        <f>'Returns per Gal.'!G151</f>
        <v>4.68</v>
      </c>
      <c r="I151" s="27"/>
      <c r="J151" s="14"/>
      <c r="K151" s="93">
        <f>D151*'Economic Model'!C$30</f>
        <v>4.4032500475949998</v>
      </c>
      <c r="L151" s="93">
        <f>E151/2000*'Economic Model'!C$32</f>
        <v>0.83639999999999992</v>
      </c>
      <c r="M151" s="319">
        <f>F151*'Economic Model'!C$33</f>
        <v>0.18232500000000001</v>
      </c>
      <c r="N151" s="93">
        <f t="shared" si="44"/>
        <v>5.4219750475949997</v>
      </c>
      <c r="O151" s="93">
        <f t="shared" si="36"/>
        <v>3.8372439130495457</v>
      </c>
      <c r="P151" s="93"/>
      <c r="Q151" s="137"/>
      <c r="R151" s="93">
        <f>G151+(H151*'Economic Model'!C$30*'Economic Model'!C$34/1000)+('Economic Model'!K$63/100)</f>
        <v>4.1733049930999995</v>
      </c>
      <c r="S151" s="93">
        <f>R151+('Economic Model'!K$60/100)</f>
        <v>4.7326061276454539</v>
      </c>
      <c r="T151" s="261"/>
      <c r="U151" s="137"/>
      <c r="V151" s="93">
        <f t="shared" si="37"/>
        <v>1.2486700544950002</v>
      </c>
      <c r="W151" s="93">
        <f t="shared" si="38"/>
        <v>0.68936891994954586</v>
      </c>
      <c r="X151" s="93"/>
      <c r="Y151" s="146"/>
      <c r="Z151" s="147">
        <f>W151/('Economic Model'!H$14*(1-'Economic Model'!C$25/100))</f>
        <v>0.20992188821408791</v>
      </c>
      <c r="AA151" s="52"/>
      <c r="AC151" s="53"/>
      <c r="AD151" s="272">
        <v>1.1330049261083743</v>
      </c>
      <c r="AE151" s="17">
        <f t="shared" si="39"/>
        <v>2.4303349753694583</v>
      </c>
      <c r="AF151" s="272">
        <v>3.5633399014778329</v>
      </c>
      <c r="AG151" s="27"/>
      <c r="AH151" s="93">
        <f>AF151+(H151*'Economic Model'!C$30*'Economic Model'!C$34/1000)+('Economic Model'!K$63/100)</f>
        <v>4.5887699014778329</v>
      </c>
      <c r="AI151" s="93">
        <f>AH151+('Economic Model'!K$60/100)</f>
        <v>5.1480710360232873</v>
      </c>
      <c r="AJ151" s="120"/>
      <c r="AK151" s="91">
        <f t="shared" si="40"/>
        <v>0.83320514611716678</v>
      </c>
      <c r="AL151" s="91">
        <f t="shared" si="41"/>
        <v>0.2739040115717124</v>
      </c>
      <c r="AM151" s="91">
        <f t="shared" si="42"/>
        <v>0.68936891994954586</v>
      </c>
      <c r="AN151" s="91">
        <f t="shared" si="43"/>
        <v>-0.41546490837783301</v>
      </c>
      <c r="AO151" s="52"/>
      <c r="AS151" s="15"/>
      <c r="AW151" s="273"/>
    </row>
    <row r="152" spans="1:49" x14ac:dyDescent="0.2">
      <c r="A152" s="68">
        <v>42705</v>
      </c>
      <c r="B152" s="29"/>
      <c r="C152" s="56"/>
      <c r="D152" s="128">
        <f>'Returns per Gal.'!C152</f>
        <v>1.649285714626</v>
      </c>
      <c r="E152" s="129">
        <f>'Returns per Gal.'!D152</f>
        <v>99.488095238100001</v>
      </c>
      <c r="F152" s="317">
        <f>'Returns per Gal.'!E152</f>
        <v>0.26989999999999997</v>
      </c>
      <c r="G152" s="128">
        <f>'Returns per Gal.'!F152</f>
        <v>3.2467857101985</v>
      </c>
      <c r="H152" s="128">
        <f>'Returns per Gal.'!G152</f>
        <v>5.15</v>
      </c>
      <c r="I152" s="29"/>
      <c r="J152" s="57"/>
      <c r="K152" s="97">
        <f>D152*'Economic Model'!C$30</f>
        <v>4.7004642866841007</v>
      </c>
      <c r="L152" s="97">
        <f>E152/2000*'Economic Model'!C$32</f>
        <v>0.81580238095241986</v>
      </c>
      <c r="M152" s="320">
        <f>F152*'Economic Model'!C$33</f>
        <v>0.17543499999999998</v>
      </c>
      <c r="N152" s="97">
        <f t="shared" si="44"/>
        <v>5.6917016676365204</v>
      </c>
      <c r="O152" s="97">
        <f t="shared" si="36"/>
        <v>4.0667855330910658</v>
      </c>
      <c r="P152" s="97"/>
      <c r="Q152" s="139"/>
      <c r="R152" s="97">
        <f>G152+(H152*'Economic Model'!C$30*'Economic Model'!C$34/1000)+('Economic Model'!K$63/100)</f>
        <v>4.3124007101985002</v>
      </c>
      <c r="S152" s="97">
        <f>R152+('Economic Model'!K$60/100)</f>
        <v>4.8717018447439546</v>
      </c>
      <c r="T152" s="270"/>
      <c r="U152" s="139"/>
      <c r="V152" s="97">
        <f t="shared" si="37"/>
        <v>1.3793009574380202</v>
      </c>
      <c r="W152" s="97">
        <f t="shared" si="38"/>
        <v>0.81999982289256579</v>
      </c>
      <c r="X152" s="97"/>
      <c r="Y152" s="271"/>
      <c r="Z152" s="148">
        <f>W152/('Economic Model'!H$14*(1-'Economic Model'!C$25/100))</f>
        <v>0.24970071347200207</v>
      </c>
      <c r="AA152" s="64"/>
      <c r="AB152" s="29"/>
      <c r="AC152" s="56"/>
      <c r="AD152" s="65">
        <v>1.1330049261083743</v>
      </c>
      <c r="AE152" s="65">
        <f t="shared" si="39"/>
        <v>2.4303349753694583</v>
      </c>
      <c r="AF152" s="65">
        <v>3.5633399014778329</v>
      </c>
      <c r="AG152" s="29"/>
      <c r="AH152" s="97">
        <f>AF152+(H152*'Economic Model'!C$30*'Economic Model'!C$34/1000)+('Economic Model'!K$63/100)</f>
        <v>4.6289549014778322</v>
      </c>
      <c r="AI152" s="97">
        <f>AH152+('Economic Model'!K$60/100)</f>
        <v>5.1882560360232866</v>
      </c>
      <c r="AJ152" s="130"/>
      <c r="AK152" s="92">
        <f t="shared" si="40"/>
        <v>1.0627467661586882</v>
      </c>
      <c r="AL152" s="92">
        <f t="shared" si="41"/>
        <v>0.50344563161323386</v>
      </c>
      <c r="AM152" s="92">
        <f t="shared" si="42"/>
        <v>0.81999982289256579</v>
      </c>
      <c r="AN152" s="92">
        <f t="shared" si="43"/>
        <v>-0.31655419127933282</v>
      </c>
      <c r="AO152" s="268"/>
      <c r="AP152" s="27"/>
      <c r="AS152" s="15"/>
      <c r="AW152" s="273"/>
    </row>
    <row r="153" spans="1:49" x14ac:dyDescent="0.2">
      <c r="A153" s="21">
        <v>42736</v>
      </c>
      <c r="C153" s="287"/>
      <c r="D153" s="141">
        <f>'Returns per Gal.'!C153</f>
        <v>1.4004999846220001</v>
      </c>
      <c r="E153" s="119">
        <f>'Returns per Gal.'!D153</f>
        <v>96.95</v>
      </c>
      <c r="F153" s="316">
        <f>'Returns per Gal.'!E153</f>
        <v>0.2671</v>
      </c>
      <c r="G153" s="118">
        <f>'Returns per Gal.'!F153</f>
        <v>3.3792499899864001</v>
      </c>
      <c r="H153" s="118">
        <f>'Returns per Gal.'!G153</f>
        <v>5.22</v>
      </c>
      <c r="I153" s="27"/>
      <c r="J153" s="61"/>
      <c r="K153" s="101">
        <f>D153*'Economic Model'!C$30</f>
        <v>3.9914249561727004</v>
      </c>
      <c r="L153" s="101">
        <f>E153/2000*'Economic Model'!C$32</f>
        <v>0.79498999999999997</v>
      </c>
      <c r="M153" s="321">
        <f>F153*'Economic Model'!C$33</f>
        <v>0.17361500000000002</v>
      </c>
      <c r="N153" s="101">
        <f t="shared" si="44"/>
        <v>4.9600299561727006</v>
      </c>
      <c r="O153" s="101">
        <f t="shared" si="36"/>
        <v>3.3291288216272461</v>
      </c>
      <c r="P153" s="116"/>
      <c r="Q153" s="94"/>
      <c r="R153" s="93">
        <f>G153+(H153*'Economic Model'!C$30*'Economic Model'!C$34/1000)+('Economic Model'!K$63/100)</f>
        <v>4.4508499899864002</v>
      </c>
      <c r="S153" s="93">
        <f>R153+('Economic Model'!K$60/100)</f>
        <v>5.0101511245318546</v>
      </c>
      <c r="T153" s="261"/>
      <c r="U153" s="283"/>
      <c r="V153" s="101">
        <f t="shared" si="37"/>
        <v>0.50917996618630035</v>
      </c>
      <c r="W153" s="101">
        <f t="shared" si="38"/>
        <v>-5.0121168359154034E-2</v>
      </c>
      <c r="X153" s="116"/>
      <c r="Y153" s="120"/>
      <c r="Z153" s="147">
        <f>W153/('Economic Model'!H$14*(1-'Economic Model'!C$25/100))</f>
        <v>-1.5262553905418122E-2</v>
      </c>
      <c r="AA153" s="52"/>
      <c r="AC153" s="53"/>
      <c r="AD153" s="288">
        <v>1.1330049261083743</v>
      </c>
      <c r="AE153" s="288">
        <f t="shared" si="39"/>
        <v>2.4303349753694583</v>
      </c>
      <c r="AF153" s="288">
        <v>3.5633399014778329</v>
      </c>
      <c r="AG153" s="183"/>
      <c r="AH153" s="101">
        <f>AF153+(H153*'Economic Model'!C$30*'Economic Model'!C$34/1000)+('Economic Model'!K$63/100)</f>
        <v>4.6349399014778321</v>
      </c>
      <c r="AI153" s="101">
        <f>AH153+('Economic Model'!K$60/100)</f>
        <v>5.1942410360232865</v>
      </c>
      <c r="AJ153" s="145"/>
      <c r="AK153" s="289">
        <f t="shared" si="40"/>
        <v>0.32509005469486851</v>
      </c>
      <c r="AL153" s="289">
        <f t="shared" si="41"/>
        <v>-0.23421107985058587</v>
      </c>
      <c r="AM153" s="289">
        <f t="shared" si="42"/>
        <v>-5.0121168359154034E-2</v>
      </c>
      <c r="AN153" s="289">
        <f t="shared" si="43"/>
        <v>-0.18408991149143272</v>
      </c>
      <c r="AO153" s="290"/>
      <c r="AS153" s="15"/>
      <c r="AW153" s="273"/>
    </row>
    <row r="154" spans="1:49" x14ac:dyDescent="0.2">
      <c r="A154" s="8">
        <v>42767</v>
      </c>
      <c r="C154" s="53"/>
      <c r="D154" s="118">
        <f>'Returns per Gal.'!C154</f>
        <v>1.3807894556</v>
      </c>
      <c r="E154" s="119">
        <f>'Returns per Gal.'!D154</f>
        <v>97.144736842100002</v>
      </c>
      <c r="F154" s="316">
        <f>'Returns per Gal.'!E154</f>
        <v>0.27200000000000002</v>
      </c>
      <c r="G154" s="118">
        <f>'Returns per Gal.'!F154</f>
        <v>3.4148684143999999</v>
      </c>
      <c r="H154" s="118">
        <f>'Returns per Gal.'!G154</f>
        <v>5.14</v>
      </c>
      <c r="I154" s="27"/>
      <c r="J154" s="14"/>
      <c r="K154" s="93">
        <f>D154*'Economic Model'!C$30</f>
        <v>3.9352499484600001</v>
      </c>
      <c r="L154" s="93">
        <f>E154/2000*'Economic Model'!C$32</f>
        <v>0.79658684210521991</v>
      </c>
      <c r="M154" s="319">
        <f>F154*'Economic Model'!C$33</f>
        <v>0.17680000000000001</v>
      </c>
      <c r="N154" s="93">
        <f t="shared" si="44"/>
        <v>4.90863679056522</v>
      </c>
      <c r="O154" s="93">
        <f t="shared" si="36"/>
        <v>3.2845756560197659</v>
      </c>
      <c r="P154" s="105"/>
      <c r="Q154" s="94"/>
      <c r="R154" s="93">
        <f>G154+(H154*'Economic Model'!C$30*'Economic Model'!C$34/1000)+('Economic Model'!K$63/100)</f>
        <v>4.4796284143999996</v>
      </c>
      <c r="S154" s="93">
        <f>R154+('Economic Model'!K$60/100)</f>
        <v>5.038929548945454</v>
      </c>
      <c r="T154" s="261"/>
      <c r="U154" s="137"/>
      <c r="V154" s="93">
        <f t="shared" si="37"/>
        <v>0.42900837616522036</v>
      </c>
      <c r="W154" s="93">
        <f t="shared" si="38"/>
        <v>-0.13029275838023402</v>
      </c>
      <c r="X154" s="105"/>
      <c r="Y154" s="120"/>
      <c r="Z154" s="147">
        <f>W154/('Economic Model'!H$14*(1-'Economic Model'!C$25/100))</f>
        <v>-3.9675855798376382E-2</v>
      </c>
      <c r="AA154" s="52"/>
      <c r="AC154" s="53"/>
      <c r="AD154" s="17">
        <v>1.1330049261083743</v>
      </c>
      <c r="AE154" s="17">
        <f t="shared" si="39"/>
        <v>2.4303349753694583</v>
      </c>
      <c r="AF154" s="17">
        <v>3.5633399014778329</v>
      </c>
      <c r="AG154" s="27"/>
      <c r="AH154" s="93">
        <f>AF154+(H154*'Economic Model'!C$30*'Economic Model'!C$34/1000)+('Economic Model'!K$63/100)</f>
        <v>4.6280999014778326</v>
      </c>
      <c r="AI154" s="93">
        <f>AH154+('Economic Model'!K$60/100)</f>
        <v>5.1874010360232869</v>
      </c>
      <c r="AJ154" s="120"/>
      <c r="AK154" s="91">
        <f t="shared" si="40"/>
        <v>0.28053688908738739</v>
      </c>
      <c r="AL154" s="91">
        <f t="shared" si="41"/>
        <v>-0.27876424545806699</v>
      </c>
      <c r="AM154" s="91">
        <f t="shared" si="42"/>
        <v>-0.13029275838023402</v>
      </c>
      <c r="AN154" s="91">
        <f t="shared" si="43"/>
        <v>-0.14847148707783298</v>
      </c>
      <c r="AO154" s="264"/>
      <c r="AS154" s="15"/>
      <c r="AW154" s="273"/>
    </row>
    <row r="155" spans="1:49" x14ac:dyDescent="0.2">
      <c r="A155" s="8">
        <v>42795</v>
      </c>
      <c r="C155" s="53"/>
      <c r="D155" s="118">
        <f>'Returns per Gal.'!C155</f>
        <v>1.378478273</v>
      </c>
      <c r="E155" s="119">
        <f>'Returns per Gal.'!D155</f>
        <v>95.706521738999996</v>
      </c>
      <c r="F155" s="316">
        <f>'Returns per Gal.'!E155</f>
        <v>0.28129999999999999</v>
      </c>
      <c r="G155" s="118">
        <f>'Returns per Gal.'!F155</f>
        <v>3.340516311</v>
      </c>
      <c r="H155" s="118">
        <f>'Returns per Gal.'!G155</f>
        <v>4.6900000000000004</v>
      </c>
      <c r="I155" s="27"/>
      <c r="J155" s="14"/>
      <c r="K155" s="93">
        <f>D155*'Economic Model'!C$30</f>
        <v>3.92866307805</v>
      </c>
      <c r="L155" s="93">
        <f>E155/2000*'Economic Model'!C$32</f>
        <v>0.78479347825979984</v>
      </c>
      <c r="M155" s="319">
        <f>F155*'Economic Model'!C$33</f>
        <v>0.18284500000000001</v>
      </c>
      <c r="N155" s="93">
        <f t="shared" si="44"/>
        <v>4.8963015563098002</v>
      </c>
      <c r="O155" s="93">
        <f t="shared" si="36"/>
        <v>3.3107154217643462</v>
      </c>
      <c r="P155" s="105"/>
      <c r="Q155" s="94"/>
      <c r="R155" s="93">
        <f>G155+(H155*'Economic Model'!C$30*'Economic Model'!C$34/1000)+('Economic Model'!K$63/100)</f>
        <v>4.3668013109999997</v>
      </c>
      <c r="S155" s="93">
        <f>R155+('Economic Model'!K$60/100)</f>
        <v>4.9261024455454541</v>
      </c>
      <c r="T155" s="261"/>
      <c r="U155" s="137"/>
      <c r="V155" s="93">
        <f t="shared" si="37"/>
        <v>0.52950024530980055</v>
      </c>
      <c r="W155" s="93">
        <f t="shared" si="38"/>
        <v>-2.9800889235653827E-2</v>
      </c>
      <c r="X155" s="105"/>
      <c r="Y155" s="120"/>
      <c r="Z155" s="147">
        <f>W155/('Economic Model'!H$14*(1-'Economic Model'!C$25/100))</f>
        <v>-9.0747620871349955E-3</v>
      </c>
      <c r="AA155" s="52"/>
      <c r="AC155" s="53"/>
      <c r="AD155" s="17">
        <v>1.1330049261083743</v>
      </c>
      <c r="AE155" s="17">
        <f t="shared" si="39"/>
        <v>2.4303349753694583</v>
      </c>
      <c r="AF155" s="17">
        <v>3.5633399014778329</v>
      </c>
      <c r="AG155" s="27"/>
      <c r="AH155" s="93">
        <f>AF155+(H155*'Economic Model'!C$30*'Economic Model'!C$34/1000)+('Economic Model'!K$63/100)</f>
        <v>4.5896249014778325</v>
      </c>
      <c r="AI155" s="93">
        <f>AH155+('Economic Model'!K$60/100)</f>
        <v>5.1489260360232869</v>
      </c>
      <c r="AJ155" s="120"/>
      <c r="AK155" s="91">
        <f t="shared" si="40"/>
        <v>0.30667665483196771</v>
      </c>
      <c r="AL155" s="91">
        <f t="shared" si="41"/>
        <v>-0.25262447971348667</v>
      </c>
      <c r="AM155" s="91">
        <f t="shared" si="42"/>
        <v>-2.9800889235653827E-2</v>
      </c>
      <c r="AN155" s="91">
        <f t="shared" si="43"/>
        <v>-0.22282359047783284</v>
      </c>
      <c r="AO155" s="264"/>
      <c r="AS155" s="15"/>
      <c r="AW155" s="273"/>
    </row>
    <row r="156" spans="1:49" x14ac:dyDescent="0.2">
      <c r="A156" s="8">
        <v>42826</v>
      </c>
      <c r="C156" s="53"/>
      <c r="D156" s="118">
        <f>'Returns per Gal.'!C156</f>
        <v>1.541749995947</v>
      </c>
      <c r="E156" s="119">
        <f>'Returns per Gal.'!D156</f>
        <v>93.4375</v>
      </c>
      <c r="F156" s="316">
        <f>'Returns per Gal.'!E156</f>
        <v>0.27629999999999999</v>
      </c>
      <c r="G156" s="118">
        <f>'Returns per Gal.'!F156</f>
        <v>3.363593751192</v>
      </c>
      <c r="H156" s="118">
        <f>'Returns per Gal.'!G156</f>
        <v>5.0599999999999996</v>
      </c>
      <c r="I156" s="27"/>
      <c r="J156" s="14"/>
      <c r="K156" s="93">
        <f>D156*'Economic Model'!C$30</f>
        <v>4.3939874884489498</v>
      </c>
      <c r="L156" s="93">
        <f>E156/2000*'Economic Model'!C$32</f>
        <v>0.76618750000000002</v>
      </c>
      <c r="M156" s="319">
        <f>F156*'Economic Model'!C$33</f>
        <v>0.179595</v>
      </c>
      <c r="N156" s="93">
        <f t="shared" si="44"/>
        <v>5.3397699884489498</v>
      </c>
      <c r="O156" s="93">
        <f t="shared" si="36"/>
        <v>3.7225488539034952</v>
      </c>
      <c r="P156" s="105"/>
      <c r="Q156" s="94"/>
      <c r="R156" s="93">
        <f>G156+(H156*'Economic Model'!C$30*'Economic Model'!C$34/1000)+('Economic Model'!K$63/100)</f>
        <v>4.4215137511920002</v>
      </c>
      <c r="S156" s="93">
        <f>R156+('Economic Model'!K$60/100)</f>
        <v>4.9808148857374546</v>
      </c>
      <c r="T156" s="261"/>
      <c r="U156" s="137"/>
      <c r="V156" s="93">
        <f t="shared" si="37"/>
        <v>0.9182562372569496</v>
      </c>
      <c r="W156" s="93">
        <f t="shared" si="38"/>
        <v>0.35895510271149522</v>
      </c>
      <c r="X156" s="105"/>
      <c r="Y156" s="120"/>
      <c r="Z156" s="147">
        <f>W156/('Economic Model'!H$14*(1-'Economic Model'!C$25/100))</f>
        <v>0.10930654220789925</v>
      </c>
      <c r="AA156" s="52"/>
      <c r="AC156" s="53"/>
      <c r="AD156" s="17">
        <v>1.1330049261083743</v>
      </c>
      <c r="AE156" s="17">
        <f t="shared" si="39"/>
        <v>2.4303349753694583</v>
      </c>
      <c r="AF156" s="17">
        <v>3.5633399014778329</v>
      </c>
      <c r="AG156" s="27"/>
      <c r="AH156" s="93">
        <f>AF156+(H156*'Economic Model'!C$30*'Economic Model'!C$34/1000)+('Economic Model'!K$63/100)</f>
        <v>4.6212599014778331</v>
      </c>
      <c r="AI156" s="93">
        <f>AH156+('Economic Model'!K$60/100)</f>
        <v>5.1805610360232874</v>
      </c>
      <c r="AJ156" s="120"/>
      <c r="AK156" s="91">
        <f t="shared" si="40"/>
        <v>0.71851008697111673</v>
      </c>
      <c r="AL156" s="91">
        <f t="shared" si="41"/>
        <v>0.15920895242566235</v>
      </c>
      <c r="AM156" s="91">
        <f t="shared" si="42"/>
        <v>0.35895510271149522</v>
      </c>
      <c r="AN156" s="91">
        <f t="shared" si="43"/>
        <v>-0.19974615028583287</v>
      </c>
      <c r="AO156" s="264"/>
      <c r="AS156" s="15"/>
      <c r="AW156" s="273"/>
    </row>
    <row r="157" spans="1:49" x14ac:dyDescent="0.2">
      <c r="A157" s="8">
        <v>42856</v>
      </c>
      <c r="C157" s="53"/>
      <c r="D157" s="118">
        <f>'Returns per Gal.'!C157</f>
        <v>1.4459090828900001</v>
      </c>
      <c r="E157" s="119">
        <f>'Returns per Gal.'!D157</f>
        <v>93.454545455000002</v>
      </c>
      <c r="F157" s="316">
        <f>'Returns per Gal.'!E157</f>
        <v>0.29139999999999999</v>
      </c>
      <c r="G157" s="118">
        <f>'Returns per Gal.'!F157</f>
        <v>3.3967613659100002</v>
      </c>
      <c r="H157" s="118">
        <f>'Returns per Gal.'!G157</f>
        <v>5.31</v>
      </c>
      <c r="I157" s="27"/>
      <c r="J157" s="14"/>
      <c r="K157" s="93">
        <f>D157*'Economic Model'!C$30</f>
        <v>4.1208408862365005</v>
      </c>
      <c r="L157" s="93">
        <f>E157/2000*'Economic Model'!C$32</f>
        <v>0.76632727273099988</v>
      </c>
      <c r="M157" s="319">
        <f>F157*'Economic Model'!C$33</f>
        <v>0.18941</v>
      </c>
      <c r="N157" s="93">
        <f t="shared" si="44"/>
        <v>5.0765781589675001</v>
      </c>
      <c r="O157" s="93">
        <f t="shared" si="36"/>
        <v>3.437982024422046</v>
      </c>
      <c r="P157" s="105"/>
      <c r="Q157" s="94"/>
      <c r="R157" s="93">
        <f>G157+(H157*'Economic Model'!C$30*'Economic Model'!C$34/1000)+('Economic Model'!K$63/100)</f>
        <v>4.4760563659099999</v>
      </c>
      <c r="S157" s="93">
        <f>R157+('Economic Model'!K$60/100)</f>
        <v>5.0353575004554543</v>
      </c>
      <c r="T157" s="261"/>
      <c r="U157" s="137"/>
      <c r="V157" s="93">
        <f t="shared" si="37"/>
        <v>0.6005217930575002</v>
      </c>
      <c r="W157" s="93">
        <f t="shared" si="38"/>
        <v>4.1220658512045816E-2</v>
      </c>
      <c r="X157" s="105"/>
      <c r="Y157" s="120"/>
      <c r="Z157" s="147">
        <f>W157/('Economic Model'!H$14*(1-'Economic Model'!C$25/100))</f>
        <v>1.2552231784557513E-2</v>
      </c>
      <c r="AA157" s="52"/>
      <c r="AC157" s="53"/>
      <c r="AD157" s="17">
        <v>1.1330049261083743</v>
      </c>
      <c r="AE157" s="17">
        <f t="shared" si="39"/>
        <v>2.4303349753694583</v>
      </c>
      <c r="AF157" s="17">
        <v>3.5633399014778329</v>
      </c>
      <c r="AG157" s="27"/>
      <c r="AH157" s="93">
        <f>AF157+(H157*'Economic Model'!C$30*'Economic Model'!C$34/1000)+('Economic Model'!K$63/100)</f>
        <v>4.6426349014778321</v>
      </c>
      <c r="AI157" s="93">
        <f>AH157+('Economic Model'!K$60/100)</f>
        <v>5.2019360360232865</v>
      </c>
      <c r="AJ157" s="120"/>
      <c r="AK157" s="91">
        <f t="shared" si="40"/>
        <v>0.433943257489668</v>
      </c>
      <c r="AL157" s="91">
        <f t="shared" si="41"/>
        <v>-0.12535787705578638</v>
      </c>
      <c r="AM157" s="91">
        <f t="shared" si="42"/>
        <v>4.1220658512045816E-2</v>
      </c>
      <c r="AN157" s="91">
        <f t="shared" si="43"/>
        <v>-0.16657853556783264</v>
      </c>
      <c r="AO157" s="264"/>
      <c r="AS157" s="15"/>
      <c r="AW157" s="273"/>
    </row>
    <row r="158" spans="1:49" x14ac:dyDescent="0.2">
      <c r="A158" s="8">
        <v>42887</v>
      </c>
      <c r="C158" s="53"/>
      <c r="D158" s="118">
        <f>'Returns per Gal.'!C158</f>
        <v>1.5050000007</v>
      </c>
      <c r="E158" s="119">
        <f>'Returns per Gal.'!D158</f>
        <v>99.068181818179994</v>
      </c>
      <c r="F158" s="316">
        <f>'Returns per Gal.'!E158</f>
        <v>0.29920000000000002</v>
      </c>
      <c r="G158" s="118">
        <f>'Returns per Gal.'!F158</f>
        <v>3.3717897724000001</v>
      </c>
      <c r="H158" s="118">
        <f>'Returns per Gal.'!G158</f>
        <v>5.51</v>
      </c>
      <c r="I158" s="27"/>
      <c r="J158" s="14"/>
      <c r="K158" s="93">
        <f>D158*'Economic Model'!C$30</f>
        <v>4.2892500019949997</v>
      </c>
      <c r="L158" s="93">
        <f>E158/2000*'Economic Model'!C$32</f>
        <v>0.81235909090907588</v>
      </c>
      <c r="M158" s="319">
        <f>F158*'Economic Model'!C$33</f>
        <v>0.19448000000000001</v>
      </c>
      <c r="N158" s="93">
        <f t="shared" si="44"/>
        <v>5.2960890929040758</v>
      </c>
      <c r="O158" s="93">
        <f t="shared" si="36"/>
        <v>3.6403929583586216</v>
      </c>
      <c r="P158" s="105"/>
      <c r="Q158" s="94"/>
      <c r="R158" s="93">
        <f>G158+(H158*'Economic Model'!C$30*'Economic Model'!C$34/1000)+('Economic Model'!K$63/100)</f>
        <v>4.4681847723999999</v>
      </c>
      <c r="S158" s="93">
        <f>R158+('Economic Model'!K$60/100)</f>
        <v>5.0274859069454543</v>
      </c>
      <c r="T158" s="261"/>
      <c r="U158" s="137"/>
      <c r="V158" s="93">
        <f t="shared" si="37"/>
        <v>0.82790432050407592</v>
      </c>
      <c r="W158" s="93">
        <f t="shared" si="38"/>
        <v>0.26860318595862154</v>
      </c>
      <c r="X158" s="105"/>
      <c r="Y158" s="120"/>
      <c r="Z158" s="147">
        <f>W158/('Economic Model'!H$14*(1-'Economic Model'!C$25/100))</f>
        <v>8.1793197147443819E-2</v>
      </c>
      <c r="AA158" s="52"/>
      <c r="AC158" s="53"/>
      <c r="AD158" s="17">
        <v>1.1330049261083743</v>
      </c>
      <c r="AE158" s="17">
        <f t="shared" si="39"/>
        <v>2.4303349753694583</v>
      </c>
      <c r="AF158" s="17">
        <v>3.5633399014778329</v>
      </c>
      <c r="AG158" s="27"/>
      <c r="AH158" s="93">
        <f>AF158+(H158*'Economic Model'!C$30*'Economic Model'!C$34/1000)+('Economic Model'!K$63/100)</f>
        <v>4.6597349014778322</v>
      </c>
      <c r="AI158" s="93">
        <f>AH158+('Economic Model'!K$60/100)</f>
        <v>5.2190360360232866</v>
      </c>
      <c r="AJ158" s="120"/>
      <c r="AK158" s="91">
        <f t="shared" si="40"/>
        <v>0.63635419142624361</v>
      </c>
      <c r="AL158" s="91">
        <f t="shared" si="41"/>
        <v>7.7053056880789228E-2</v>
      </c>
      <c r="AM158" s="91">
        <f t="shared" si="42"/>
        <v>0.26860318595862154</v>
      </c>
      <c r="AN158" s="91">
        <f t="shared" si="43"/>
        <v>-0.19155012907783275</v>
      </c>
      <c r="AO158" s="264"/>
      <c r="AS158" s="15"/>
      <c r="AW158" s="273"/>
    </row>
    <row r="159" spans="1:49" x14ac:dyDescent="0.2">
      <c r="A159" s="8">
        <v>42917</v>
      </c>
      <c r="C159" s="53"/>
      <c r="D159" s="118">
        <f>'Returns per Gal.'!C159</f>
        <v>1.472249996662</v>
      </c>
      <c r="E159" s="119">
        <f>'Returns per Gal.'!D159</f>
        <v>103.85</v>
      </c>
      <c r="F159" s="316">
        <f>'Returns per Gal.'!E159</f>
        <v>0.28010000000000002</v>
      </c>
      <c r="G159" s="118">
        <f>'Returns per Gal.'!F159</f>
        <v>3.4018750101299999</v>
      </c>
      <c r="H159" s="118">
        <f>'Returns per Gal.'!G159</f>
        <v>5.43</v>
      </c>
      <c r="I159" s="27"/>
      <c r="J159" s="14"/>
      <c r="K159" s="93">
        <f>D159*'Economic Model'!C$30</f>
        <v>4.1959124904867</v>
      </c>
      <c r="L159" s="93">
        <f>E159/2000*'Economic Model'!C$32</f>
        <v>0.85156999999999994</v>
      </c>
      <c r="M159" s="319">
        <f>F159*'Economic Model'!C$33</f>
        <v>0.182065</v>
      </c>
      <c r="N159" s="93">
        <f t="shared" si="44"/>
        <v>5.2295474904866994</v>
      </c>
      <c r="O159" s="93">
        <f t="shared" si="36"/>
        <v>3.5806913559412448</v>
      </c>
      <c r="P159" s="105"/>
      <c r="Q159" s="94"/>
      <c r="R159" s="93">
        <f>G159+(H159*'Economic Model'!C$30*'Economic Model'!C$34/1000)+('Economic Model'!K$63/100)</f>
        <v>4.4914300101300002</v>
      </c>
      <c r="S159" s="93">
        <f>R159+('Economic Model'!K$60/100)</f>
        <v>5.0507311446754546</v>
      </c>
      <c r="T159" s="261"/>
      <c r="U159" s="137"/>
      <c r="V159" s="93">
        <f t="shared" si="37"/>
        <v>0.73811748035669922</v>
      </c>
      <c r="W159" s="93">
        <f t="shared" si="38"/>
        <v>0.17881634581124484</v>
      </c>
      <c r="X159" s="105"/>
      <c r="Y159" s="120"/>
      <c r="Z159" s="147">
        <f>W159/('Economic Model'!H$14*(1-'Economic Model'!C$25/100))</f>
        <v>5.4451925333371794E-2</v>
      </c>
      <c r="AA159" s="52"/>
      <c r="AC159" s="53"/>
      <c r="AD159" s="17">
        <v>1.1330049261083743</v>
      </c>
      <c r="AE159" s="17">
        <f t="shared" si="39"/>
        <v>2.4303349753694583</v>
      </c>
      <c r="AF159" s="17">
        <v>3.5633399014778329</v>
      </c>
      <c r="AG159" s="27"/>
      <c r="AH159" s="93">
        <f>AF159+(H159*'Economic Model'!C$30*'Economic Model'!C$34/1000)+('Economic Model'!K$63/100)</f>
        <v>4.6528949014778327</v>
      </c>
      <c r="AI159" s="93">
        <f>AH159+('Economic Model'!K$60/100)</f>
        <v>5.2121960360232871</v>
      </c>
      <c r="AJ159" s="120"/>
      <c r="AK159" s="91">
        <f t="shared" si="40"/>
        <v>0.57665258900886673</v>
      </c>
      <c r="AL159" s="91">
        <f t="shared" si="41"/>
        <v>1.7351454463412352E-2</v>
      </c>
      <c r="AM159" s="91">
        <f t="shared" si="42"/>
        <v>0.17881634581124484</v>
      </c>
      <c r="AN159" s="91">
        <f t="shared" si="43"/>
        <v>-0.16146489134783293</v>
      </c>
      <c r="AO159" s="264"/>
      <c r="AS159" s="15"/>
      <c r="AW159" s="273"/>
    </row>
    <row r="160" spans="1:49" x14ac:dyDescent="0.2">
      <c r="A160" s="8">
        <v>42948</v>
      </c>
      <c r="C160" s="53"/>
      <c r="D160" s="118">
        <f>'Returns per Gal.'!C160</f>
        <v>1.486136366</v>
      </c>
      <c r="E160" s="119">
        <f>'Returns per Gal.'!D160</f>
        <v>108.6818181818</v>
      </c>
      <c r="F160" s="316">
        <f>'Returns per Gal.'!E160</f>
        <v>0.28160000000000002</v>
      </c>
      <c r="G160" s="118">
        <f>'Returns per Gal.'!F160</f>
        <v>3.1971591061</v>
      </c>
      <c r="H160" s="118">
        <f>'Returns per Gal.'!G160</f>
        <v>5.18</v>
      </c>
      <c r="I160" s="27"/>
      <c r="J160" s="14"/>
      <c r="K160" s="93">
        <f>D160*'Economic Model'!C$30</f>
        <v>4.2354886431000001</v>
      </c>
      <c r="L160" s="93">
        <f>E160/2000*'Economic Model'!C$32</f>
        <v>0.89119090909075982</v>
      </c>
      <c r="M160" s="319">
        <f>F160*'Economic Model'!C$33</f>
        <v>0.18304000000000001</v>
      </c>
      <c r="N160" s="93">
        <f t="shared" si="44"/>
        <v>5.3097195521907601</v>
      </c>
      <c r="O160" s="93">
        <f t="shared" si="36"/>
        <v>3.6822384176453058</v>
      </c>
      <c r="P160" s="105"/>
      <c r="Q160" s="94"/>
      <c r="R160" s="93">
        <f>G160+(H160*'Economic Model'!C$30*'Economic Model'!C$34/1000)+('Economic Model'!K$63/100)</f>
        <v>4.2653391060999999</v>
      </c>
      <c r="S160" s="93">
        <f>R160+('Economic Model'!K$60/100)</f>
        <v>4.8246402406454543</v>
      </c>
      <c r="T160" s="261"/>
      <c r="U160" s="137"/>
      <c r="V160" s="93">
        <f t="shared" si="37"/>
        <v>1.0443804460907602</v>
      </c>
      <c r="W160" s="93">
        <f t="shared" si="38"/>
        <v>0.48507931154530581</v>
      </c>
      <c r="X160" s="105"/>
      <c r="Y160" s="120"/>
      <c r="Z160" s="147">
        <f>W160/('Economic Model'!H$14*(1-'Economic Model'!C$25/100))</f>
        <v>0.14771301993224928</v>
      </c>
      <c r="AA160" s="52"/>
      <c r="AC160" s="53"/>
      <c r="AD160" s="17">
        <v>1.1330049261083743</v>
      </c>
      <c r="AE160" s="17">
        <f t="shared" si="39"/>
        <v>2.4303349753694583</v>
      </c>
      <c r="AF160" s="17">
        <v>3.5633399014778329</v>
      </c>
      <c r="AG160" s="27"/>
      <c r="AH160" s="93">
        <f>AF160+(H160*'Economic Model'!C$30*'Economic Model'!C$34/1000)+('Economic Model'!K$63/100)</f>
        <v>4.6315199014778328</v>
      </c>
      <c r="AI160" s="93">
        <f>AH160+('Economic Model'!K$60/100)</f>
        <v>5.1908210360232871</v>
      </c>
      <c r="AJ160" s="120"/>
      <c r="AK160" s="91">
        <f t="shared" si="40"/>
        <v>0.67819965071292732</v>
      </c>
      <c r="AL160" s="91">
        <f t="shared" si="41"/>
        <v>0.11889851616747293</v>
      </c>
      <c r="AM160" s="91">
        <f t="shared" si="42"/>
        <v>0.48507931154530581</v>
      </c>
      <c r="AN160" s="91">
        <f t="shared" si="43"/>
        <v>-0.36618079537783288</v>
      </c>
      <c r="AO160" s="264"/>
      <c r="AS160" s="15"/>
      <c r="AW160" s="273"/>
    </row>
    <row r="161" spans="1:49" x14ac:dyDescent="0.2">
      <c r="A161" s="8">
        <v>42979</v>
      </c>
      <c r="C161" s="53"/>
      <c r="D161" s="118">
        <f>'Returns per Gal.'!C161</f>
        <v>1.5102499812841415</v>
      </c>
      <c r="E161" s="119">
        <f>'Returns per Gal.'!D161</f>
        <v>104.1125</v>
      </c>
      <c r="F161" s="316">
        <f>'Returns per Gal.'!E161</f>
        <v>0.28760000000000002</v>
      </c>
      <c r="G161" s="118">
        <f>'Returns per Gal.'!F161</f>
        <v>3.1779375314712524</v>
      </c>
      <c r="H161" s="118">
        <f>'Returns per Gal.'!G161</f>
        <v>5.33</v>
      </c>
      <c r="I161" s="27"/>
      <c r="J161" s="14"/>
      <c r="K161" s="93">
        <f>D161*'Economic Model'!C$30</f>
        <v>4.3042124466598031</v>
      </c>
      <c r="L161" s="93">
        <f>E161/2000*'Economic Model'!C$32</f>
        <v>0.85372249999999994</v>
      </c>
      <c r="M161" s="319">
        <f>F161*'Economic Model'!C$33</f>
        <v>0.18694000000000002</v>
      </c>
      <c r="N161" s="93">
        <f t="shared" si="44"/>
        <v>5.3448749466598029</v>
      </c>
      <c r="O161" s="93">
        <f t="shared" si="36"/>
        <v>3.7045688121143487</v>
      </c>
      <c r="P161" s="105"/>
      <c r="Q161" s="94"/>
      <c r="R161" s="93">
        <f>G161+(H161*'Economic Model'!C$30*'Economic Model'!C$34/1000)+('Economic Model'!K$63/100)</f>
        <v>4.2589425314712521</v>
      </c>
      <c r="S161" s="93">
        <f>R161+('Economic Model'!K$60/100)</f>
        <v>4.8182436660167065</v>
      </c>
      <c r="T161" s="261"/>
      <c r="U161" s="137"/>
      <c r="V161" s="93">
        <f t="shared" si="37"/>
        <v>1.0859324151885508</v>
      </c>
      <c r="W161" s="93">
        <f t="shared" si="38"/>
        <v>0.52663128064309639</v>
      </c>
      <c r="X161" s="105"/>
      <c r="Y161" s="120"/>
      <c r="Z161" s="147">
        <f>W161/('Economic Model'!H$14*(1-'Economic Model'!C$25/100))</f>
        <v>0.16036614014059872</v>
      </c>
      <c r="AA161" s="52"/>
      <c r="AB161" s="27"/>
      <c r="AC161" s="53"/>
      <c r="AD161" s="272">
        <v>1.0841584158415842</v>
      </c>
      <c r="AE161" s="17">
        <f t="shared" si="39"/>
        <v>2.2840346534653464</v>
      </c>
      <c r="AF161" s="17">
        <v>3.3681930693069306</v>
      </c>
      <c r="AG161" s="27"/>
      <c r="AH161" s="93">
        <f>AF161+(H161*'Economic Model'!C$30*'Economic Model'!C$34/1000)+('Economic Model'!K$63/100)</f>
        <v>4.4491980693069308</v>
      </c>
      <c r="AI161" s="93">
        <f>AH161+('Economic Model'!K$60/100)</f>
        <v>5.0084992038523852</v>
      </c>
      <c r="AJ161" s="120"/>
      <c r="AK161" s="91">
        <f t="shared" si="40"/>
        <v>0.89567687735287205</v>
      </c>
      <c r="AL161" s="91">
        <f t="shared" si="41"/>
        <v>0.33637574280741767</v>
      </c>
      <c r="AM161" s="91">
        <f t="shared" si="42"/>
        <v>0.52663128064309639</v>
      </c>
      <c r="AN161" s="91">
        <f t="shared" si="43"/>
        <v>-0.19025553783567828</v>
      </c>
      <c r="AO161" s="264"/>
      <c r="AS161" s="15"/>
      <c r="AW161" s="273"/>
    </row>
    <row r="162" spans="1:49" x14ac:dyDescent="0.2">
      <c r="A162" s="8">
        <v>43009</v>
      </c>
      <c r="C162" s="53"/>
      <c r="D162" s="118">
        <f>'Returns per Gal.'!C162</f>
        <v>1.4045238125891912</v>
      </c>
      <c r="E162" s="119">
        <f>'Returns per Gal.'!D162</f>
        <v>108.95238095238095</v>
      </c>
      <c r="F162" s="316">
        <f>'Returns per Gal.'!E162</f>
        <v>0.26850000000000002</v>
      </c>
      <c r="G162" s="118">
        <f>'Returns per Gal.'!F162</f>
        <v>3.1547619161151705</v>
      </c>
      <c r="H162" s="118">
        <f>'Returns per Gal.'!G162</f>
        <v>5.0599999999999996</v>
      </c>
      <c r="I162" s="27"/>
      <c r="J162" s="14"/>
      <c r="K162" s="93">
        <f>D162*'Economic Model'!C$30</f>
        <v>4.0028928658791951</v>
      </c>
      <c r="L162" s="93">
        <f>E162/2000*'Economic Model'!C$32</f>
        <v>0.89340952380952376</v>
      </c>
      <c r="M162" s="319">
        <f>F162*'Economic Model'!C$33</f>
        <v>0.17452500000000001</v>
      </c>
      <c r="N162" s="93">
        <f t="shared" si="44"/>
        <v>5.070827389688719</v>
      </c>
      <c r="O162" s="93">
        <f t="shared" si="36"/>
        <v>3.4536062551432649</v>
      </c>
      <c r="P162" s="105"/>
      <c r="Q162" s="94"/>
      <c r="R162" s="93">
        <f>G162+(H162*'Economic Model'!C$30*'Economic Model'!C$34/1000)+('Economic Model'!K$63/100)</f>
        <v>4.2126819161151703</v>
      </c>
      <c r="S162" s="93">
        <f>R162+('Economic Model'!K$60/100)</f>
        <v>4.7719830506606247</v>
      </c>
      <c r="T162" s="261"/>
      <c r="U162" s="137"/>
      <c r="V162" s="93">
        <f t="shared" si="37"/>
        <v>0.85814547357354876</v>
      </c>
      <c r="W162" s="93">
        <f t="shared" si="38"/>
        <v>0.29884433902809437</v>
      </c>
      <c r="X162" s="105"/>
      <c r="Y162" s="120"/>
      <c r="Z162" s="147">
        <f>W162/('Economic Model'!H$14*(1-'Economic Model'!C$25/100))</f>
        <v>9.1002025353072266E-2</v>
      </c>
      <c r="AA162" s="52"/>
      <c r="AC162" s="53"/>
      <c r="AD162" s="272">
        <v>1.0841584158415842</v>
      </c>
      <c r="AE162" s="17">
        <f t="shared" si="39"/>
        <v>2.2840346534653464</v>
      </c>
      <c r="AF162" s="17">
        <v>3.3681930693069306</v>
      </c>
      <c r="AG162" s="27"/>
      <c r="AH162" s="93">
        <f>AF162+(H162*'Economic Model'!C$30*'Economic Model'!C$34/1000)+('Economic Model'!K$63/100)</f>
        <v>4.4261130693069308</v>
      </c>
      <c r="AI162" s="93">
        <f>AH162+('Economic Model'!K$60/100)</f>
        <v>4.9854142038523852</v>
      </c>
      <c r="AJ162" s="120"/>
      <c r="AK162" s="91">
        <f t="shared" si="40"/>
        <v>0.64471432038178822</v>
      </c>
      <c r="AL162" s="91">
        <f t="shared" si="41"/>
        <v>8.5413185836333838E-2</v>
      </c>
      <c r="AM162" s="91">
        <f t="shared" si="42"/>
        <v>0.29884433902809437</v>
      </c>
      <c r="AN162" s="91">
        <f t="shared" si="43"/>
        <v>-0.21343115319176009</v>
      </c>
      <c r="AO162" s="264"/>
      <c r="AS162" s="15"/>
      <c r="AW162" s="273"/>
    </row>
    <row r="163" spans="1:49" x14ac:dyDescent="0.2">
      <c r="A163" s="8">
        <v>43040</v>
      </c>
      <c r="C163" s="53"/>
      <c r="D163" s="118">
        <f>'Returns per Gal.'!C163</f>
        <v>1.3580000162124635</v>
      </c>
      <c r="E163" s="119">
        <f>'Returns per Gal.'!D163</f>
        <v>116.125</v>
      </c>
      <c r="F163" s="316">
        <f>'Returns per Gal.'!E163</f>
        <v>0.25940000000000002</v>
      </c>
      <c r="G163" s="118">
        <f>'Returns per Gal.'!F163</f>
        <v>3.1341874897480011</v>
      </c>
      <c r="H163" s="118">
        <f>'Returns per Gal.'!G163</f>
        <v>5.12</v>
      </c>
      <c r="I163" s="27"/>
      <c r="J163" s="14"/>
      <c r="K163" s="93">
        <f>D163*'Economic Model'!C$30</f>
        <v>3.870300046205521</v>
      </c>
      <c r="L163" s="93">
        <f>E163/2000*'Economic Model'!C$32</f>
        <v>0.95222499999999999</v>
      </c>
      <c r="M163" s="319">
        <f>F163*'Economic Model'!C$33</f>
        <v>0.16861000000000001</v>
      </c>
      <c r="N163" s="93">
        <f t="shared" si="44"/>
        <v>4.9911350462055211</v>
      </c>
      <c r="O163" s="93">
        <f t="shared" si="36"/>
        <v>3.3687839116600671</v>
      </c>
      <c r="P163" s="105"/>
      <c r="Q163" s="94"/>
      <c r="R163" s="93">
        <f>G163+(H163*'Economic Model'!C$30*'Economic Model'!C$34/1000)+('Economic Model'!K$63/100)</f>
        <v>4.1972374897480007</v>
      </c>
      <c r="S163" s="93">
        <f>R163+('Economic Model'!K$60/100)</f>
        <v>4.7565386242934551</v>
      </c>
      <c r="T163" s="261"/>
      <c r="U163" s="137"/>
      <c r="V163" s="93">
        <f t="shared" si="37"/>
        <v>0.79389755645752036</v>
      </c>
      <c r="W163" s="93">
        <f t="shared" si="38"/>
        <v>0.23459642191206598</v>
      </c>
      <c r="X163" s="105"/>
      <c r="Y163" s="120"/>
      <c r="Z163" s="147">
        <f>W163/('Economic Model'!H$14*(1-'Economic Model'!C$25/100))</f>
        <v>7.1437690953131516E-2</v>
      </c>
      <c r="AA163" s="52"/>
      <c r="AC163" s="53"/>
      <c r="AD163" s="272">
        <v>1.0841584158415842</v>
      </c>
      <c r="AE163" s="17">
        <f t="shared" si="39"/>
        <v>2.2840346534653464</v>
      </c>
      <c r="AF163" s="17">
        <v>3.3681930693069306</v>
      </c>
      <c r="AG163" s="27"/>
      <c r="AH163" s="93">
        <f>AF163+(H163*'Economic Model'!C$30*'Economic Model'!C$34/1000)+('Economic Model'!K$63/100)</f>
        <v>4.4312430693069302</v>
      </c>
      <c r="AI163" s="93">
        <f>AH163+('Economic Model'!K$60/100)</f>
        <v>4.9905442038523846</v>
      </c>
      <c r="AJ163" s="120"/>
      <c r="AK163" s="91">
        <f t="shared" si="40"/>
        <v>0.55989197689859083</v>
      </c>
      <c r="AL163" s="91">
        <f t="shared" si="41"/>
        <v>5.9084235313644484E-4</v>
      </c>
      <c r="AM163" s="91">
        <f t="shared" si="42"/>
        <v>0.23459642191206598</v>
      </c>
      <c r="AN163" s="91">
        <f t="shared" si="43"/>
        <v>-0.23400557955892953</v>
      </c>
      <c r="AO163" s="264"/>
      <c r="AS163" s="15"/>
      <c r="AW163" s="273"/>
    </row>
    <row r="164" spans="1:49" x14ac:dyDescent="0.2">
      <c r="A164" s="68">
        <v>43070</v>
      </c>
      <c r="B164" s="29"/>
      <c r="C164" s="56"/>
      <c r="D164" s="128">
        <f>'Returns per Gal.'!C164</f>
        <v>1.2672500282526016</v>
      </c>
      <c r="E164" s="129">
        <f>'Returns per Gal.'!D164</f>
        <v>125.15</v>
      </c>
      <c r="F164" s="317">
        <f>'Returns per Gal.'!E164</f>
        <v>0.22500000000000001</v>
      </c>
      <c r="G164" s="128">
        <f>'Returns per Gal.'!F164</f>
        <v>3.2322500169277193</v>
      </c>
      <c r="H164" s="128">
        <f>'Returns per Gal.'!G164</f>
        <v>5.55</v>
      </c>
      <c r="I164" s="29"/>
      <c r="J164" s="57"/>
      <c r="K164" s="97">
        <f>D164*'Economic Model'!C$30</f>
        <v>3.6116625805199147</v>
      </c>
      <c r="L164" s="97">
        <f>E164/2000*'Economic Model'!C$32</f>
        <v>1.02623</v>
      </c>
      <c r="M164" s="320">
        <f>F164*'Economic Model'!C$33</f>
        <v>0.14625000000000002</v>
      </c>
      <c r="N164" s="97">
        <f t="shared" si="44"/>
        <v>4.7841425805199149</v>
      </c>
      <c r="O164" s="97">
        <f t="shared" si="36"/>
        <v>3.125026445974461</v>
      </c>
      <c r="P164" s="107"/>
      <c r="Q164" s="98"/>
      <c r="R164" s="97">
        <f>G164+(H164*'Economic Model'!C$30*'Economic Model'!C$34/1000)+('Economic Model'!K$63/100)</f>
        <v>4.3320650169277188</v>
      </c>
      <c r="S164" s="97">
        <f>R164+('Economic Model'!K$60/100)</f>
        <v>4.8913661514731732</v>
      </c>
      <c r="T164" s="270"/>
      <c r="U164" s="139"/>
      <c r="V164" s="97">
        <f t="shared" si="37"/>
        <v>0.45207756359219609</v>
      </c>
      <c r="W164" s="97">
        <f t="shared" si="38"/>
        <v>-0.1072235709532583</v>
      </c>
      <c r="X164" s="107"/>
      <c r="Y164" s="130"/>
      <c r="Z164" s="148">
        <f>W164/('Economic Model'!H$14*(1-'Economic Model'!C$25/100))</f>
        <v>-3.2650985305825206E-2</v>
      </c>
      <c r="AA164" s="64"/>
      <c r="AB164" s="29"/>
      <c r="AC164" s="56"/>
      <c r="AD164" s="65">
        <v>1.0841584158415842</v>
      </c>
      <c r="AE164" s="65">
        <f t="shared" si="39"/>
        <v>2.2840346534653464</v>
      </c>
      <c r="AF164" s="65">
        <v>3.3681930693069306</v>
      </c>
      <c r="AG164" s="29"/>
      <c r="AH164" s="97">
        <f>AF164+(H164*'Economic Model'!C$30*'Economic Model'!C$34/1000)+('Economic Model'!K$63/100)</f>
        <v>4.4680080693069302</v>
      </c>
      <c r="AI164" s="97">
        <f>AH164+('Economic Model'!K$60/100)</f>
        <v>5.0273092038523846</v>
      </c>
      <c r="AJ164" s="130"/>
      <c r="AK164" s="92">
        <f t="shared" si="40"/>
        <v>0.31613451121298475</v>
      </c>
      <c r="AL164" s="92">
        <f t="shared" si="41"/>
        <v>-0.24316662333246963</v>
      </c>
      <c r="AM164" s="92">
        <f t="shared" si="42"/>
        <v>-0.1072235709532583</v>
      </c>
      <c r="AN164" s="92">
        <f t="shared" si="43"/>
        <v>-0.13594305237921134</v>
      </c>
      <c r="AO164" s="264"/>
      <c r="AS164" s="15"/>
      <c r="AW164" s="273"/>
    </row>
    <row r="165" spans="1:49" x14ac:dyDescent="0.2">
      <c r="A165" s="292">
        <v>43101</v>
      </c>
      <c r="B165" s="62"/>
      <c r="C165" s="287"/>
      <c r="D165" s="141">
        <f>'Returns per Gal.'!C165</f>
        <v>1.2700000206629436</v>
      </c>
      <c r="E165" s="142">
        <f>'Returns per Gal.'!D165</f>
        <v>134.85714285714286</v>
      </c>
      <c r="F165" s="318">
        <f>'Returns per Gal.'!E165</f>
        <v>0.22070000000000001</v>
      </c>
      <c r="G165" s="141">
        <f>'Returns per Gal.'!F165</f>
        <v>3.2836904667672657</v>
      </c>
      <c r="H165" s="141">
        <f>'Returns per Gal.'!G165</f>
        <v>5.55</v>
      </c>
      <c r="I165" s="295"/>
      <c r="J165" s="183"/>
      <c r="K165" s="101">
        <f>D165*'Economic Model'!C$30</f>
        <v>3.6195000588893893</v>
      </c>
      <c r="L165" s="101">
        <f>E165/2000*'Economic Model'!C$32</f>
        <v>1.1058285714285714</v>
      </c>
      <c r="M165" s="321">
        <f>F165*'Economic Model'!C$33</f>
        <v>0.143455</v>
      </c>
      <c r="N165" s="101">
        <f t="shared" si="44"/>
        <v>4.868783630317961</v>
      </c>
      <c r="O165" s="101">
        <f t="shared" si="36"/>
        <v>3.2096674957725071</v>
      </c>
      <c r="P165" s="116"/>
      <c r="Q165" s="102"/>
      <c r="R165" s="101">
        <f>G165+(H165*'Economic Model'!C$30*'Economic Model'!C$34/1000)+('Economic Model'!K$63/100)</f>
        <v>4.3835054667672653</v>
      </c>
      <c r="S165" s="101">
        <f>R165+('Economic Model'!K$60/100)</f>
        <v>4.9428066013127196</v>
      </c>
      <c r="T165" s="144"/>
      <c r="U165" s="102"/>
      <c r="V165" s="101">
        <f t="shared" si="37"/>
        <v>0.48527816355069575</v>
      </c>
      <c r="W165" s="101">
        <f t="shared" si="38"/>
        <v>-7.402297099475863E-2</v>
      </c>
      <c r="X165" s="116"/>
      <c r="Y165" s="145"/>
      <c r="Z165" s="149">
        <f>W165/('Economic Model'!H$14*(1-'Economic Model'!C$25/100))</f>
        <v>-2.2540966662050386E-2</v>
      </c>
      <c r="AA165" s="62"/>
      <c r="AB165" s="62"/>
      <c r="AC165" s="183"/>
      <c r="AD165" s="288">
        <v>1.0841584158415842</v>
      </c>
      <c r="AE165" s="288">
        <f t="shared" si="39"/>
        <v>2.2840346534653464</v>
      </c>
      <c r="AF165" s="288">
        <v>3.3681930693069306</v>
      </c>
      <c r="AG165" s="183"/>
      <c r="AH165" s="101">
        <f>AF165+(H165*'Economic Model'!C$30*'Economic Model'!C$34/1000)+('Economic Model'!K$63/100)</f>
        <v>4.4680080693069302</v>
      </c>
      <c r="AI165" s="101">
        <f>AH165+('Economic Model'!K$60/100)</f>
        <v>5.0273092038523846</v>
      </c>
      <c r="AJ165" s="145"/>
      <c r="AK165" s="289">
        <f t="shared" si="40"/>
        <v>0.40077556101103085</v>
      </c>
      <c r="AL165" s="289">
        <f t="shared" si="41"/>
        <v>-0.15852557353442354</v>
      </c>
      <c r="AM165" s="289">
        <f t="shared" si="42"/>
        <v>-7.402297099475863E-2</v>
      </c>
      <c r="AN165" s="289">
        <f t="shared" si="43"/>
        <v>-8.4502602539664906E-2</v>
      </c>
      <c r="AO165" s="290"/>
      <c r="AS165" s="15"/>
      <c r="AW165" s="273"/>
    </row>
    <row r="166" spans="1:49" x14ac:dyDescent="0.2">
      <c r="A166" s="182">
        <v>43132</v>
      </c>
      <c r="B166" s="52"/>
      <c r="C166" s="53"/>
      <c r="D166" s="118">
        <f>'Returns per Gal.'!C166</f>
        <v>1.3376315926250659</v>
      </c>
      <c r="E166" s="119">
        <f>'Returns per Gal.'!D166</f>
        <v>143.15789473684211</v>
      </c>
      <c r="F166" s="316">
        <f>'Returns per Gal.'!E166</f>
        <v>0.22219999999999998</v>
      </c>
      <c r="G166" s="118">
        <f>'Returns per Gal.'!F166</f>
        <v>3.393486854277159</v>
      </c>
      <c r="H166" s="118">
        <f>'Returns per Gal.'!G166</f>
        <v>6.08</v>
      </c>
      <c r="I166" s="296">
        <v>5.44</v>
      </c>
      <c r="J166" s="27"/>
      <c r="K166" s="93">
        <f>D166*'Economic Model'!C$30</f>
        <v>3.8122500389814382</v>
      </c>
      <c r="L166" s="93">
        <f>E166/2000*'Economic Model'!C$32</f>
        <v>1.1738947368421053</v>
      </c>
      <c r="M166" s="319">
        <f>F166*'Economic Model'!C$33</f>
        <v>0.14443</v>
      </c>
      <c r="N166" s="93">
        <f t="shared" si="44"/>
        <v>5.1305747758235434</v>
      </c>
      <c r="O166" s="93">
        <f t="shared" si="36"/>
        <v>3.4261436412780895</v>
      </c>
      <c r="P166" s="105"/>
      <c r="Q166" s="94"/>
      <c r="R166" s="93">
        <f>G166+(H166*'Economic Model'!C$30*'Economic Model'!C$34/1000)+('Economic Model'!K$63/100)</f>
        <v>4.5386168542771586</v>
      </c>
      <c r="S166" s="93">
        <f>R166+('Economic Model'!K$60/100)</f>
        <v>5.0979179888226129</v>
      </c>
      <c r="T166" s="121"/>
      <c r="U166" s="94"/>
      <c r="V166" s="93">
        <f t="shared" si="37"/>
        <v>0.59195792154638482</v>
      </c>
      <c r="W166" s="93">
        <f t="shared" si="38"/>
        <v>3.2656787000930443E-2</v>
      </c>
      <c r="X166" s="105"/>
      <c r="Y166" s="120"/>
      <c r="Z166" s="147">
        <f>W166/('Economic Model'!H$14*(1-'Economic Model'!C$25/100))</f>
        <v>9.9444204573979587E-3</v>
      </c>
      <c r="AA166" s="52"/>
      <c r="AB166" s="52"/>
      <c r="AC166" s="27"/>
      <c r="AD166" s="17">
        <v>1.0841584158415842</v>
      </c>
      <c r="AE166" s="17">
        <f t="shared" si="39"/>
        <v>2.2840346534653464</v>
      </c>
      <c r="AF166" s="17">
        <v>3.3681930693069306</v>
      </c>
      <c r="AG166" s="27"/>
      <c r="AH166" s="93">
        <f>AF166+(H166*'Economic Model'!C$30*'Economic Model'!C$34/1000)+('Economic Model'!K$63/100)</f>
        <v>4.5133230693069306</v>
      </c>
      <c r="AI166" s="93">
        <f>AH166+('Economic Model'!K$60/100)</f>
        <v>5.072624203852385</v>
      </c>
      <c r="AJ166" s="120"/>
      <c r="AK166" s="91">
        <f t="shared" si="40"/>
        <v>0.61725170651661276</v>
      </c>
      <c r="AL166" s="91">
        <f t="shared" si="41"/>
        <v>5.7950571971158382E-2</v>
      </c>
      <c r="AM166" s="91">
        <f t="shared" si="42"/>
        <v>3.2656787000930443E-2</v>
      </c>
      <c r="AN166" s="91">
        <f t="shared" si="43"/>
        <v>2.5293784970228383E-2</v>
      </c>
      <c r="AO166" s="264"/>
      <c r="AS166" s="15"/>
      <c r="AW166" s="273"/>
    </row>
    <row r="167" spans="1:49" x14ac:dyDescent="0.2">
      <c r="A167" s="182">
        <v>43160</v>
      </c>
      <c r="B167" s="52"/>
      <c r="C167" s="53"/>
      <c r="D167" s="118">
        <f>'Returns per Gal.'!C167</f>
        <v>1.408181827176701</v>
      </c>
      <c r="E167" s="119">
        <f>'Returns per Gal.'!D167</f>
        <v>147.21590909090909</v>
      </c>
      <c r="F167" s="316">
        <f>'Returns per Gal.'!E167</f>
        <v>0.22760000000000002</v>
      </c>
      <c r="G167" s="118">
        <f>'Returns per Gal.'!F167</f>
        <v>3.4911931753158569</v>
      </c>
      <c r="H167" s="118">
        <f>'Returns per Gal.'!G167</f>
        <v>5.28</v>
      </c>
      <c r="I167" s="297"/>
      <c r="J167" s="27"/>
      <c r="K167" s="93">
        <f>D167*'Economic Model'!C$30</f>
        <v>4.0133182074535982</v>
      </c>
      <c r="L167" s="93">
        <f>E167/2000*'Economic Model'!C$32</f>
        <v>1.2071704545454545</v>
      </c>
      <c r="M167" s="319">
        <f>F167*'Economic Model'!C$33</f>
        <v>0.14794000000000002</v>
      </c>
      <c r="N167" s="93">
        <f t="shared" si="44"/>
        <v>5.3684286619990527</v>
      </c>
      <c r="O167" s="93">
        <f t="shared" si="36"/>
        <v>3.7323975274535988</v>
      </c>
      <c r="P167" s="105"/>
      <c r="Q167" s="94"/>
      <c r="R167" s="93">
        <f>G167+(H167*'Economic Model'!C$30*'Economic Model'!C$34/1000)+('Economic Model'!K$63/100)</f>
        <v>4.5679231753158565</v>
      </c>
      <c r="S167" s="93">
        <f>R167+('Economic Model'!K$60/100)</f>
        <v>5.1272243098613108</v>
      </c>
      <c r="T167" s="121"/>
      <c r="U167" s="94"/>
      <c r="V167" s="93">
        <f t="shared" si="37"/>
        <v>0.80050548668319621</v>
      </c>
      <c r="W167" s="93">
        <f t="shared" si="38"/>
        <v>0.24120435213774183</v>
      </c>
      <c r="X167" s="105"/>
      <c r="Y167" s="120"/>
      <c r="Z167" s="147">
        <f>W167/('Economic Model'!H$14*(1-'Economic Model'!C$25/100))</f>
        <v>7.3449892475448975E-2</v>
      </c>
      <c r="AA167" s="52"/>
      <c r="AB167" s="52"/>
      <c r="AC167" s="27"/>
      <c r="AD167" s="17">
        <v>1.0841584158415842</v>
      </c>
      <c r="AE167" s="17">
        <f t="shared" si="39"/>
        <v>2.2840346534653464</v>
      </c>
      <c r="AF167" s="17">
        <v>3.3681930693069306</v>
      </c>
      <c r="AG167" s="27"/>
      <c r="AH167" s="93">
        <f>AF167+(H167*'Economic Model'!C$30*'Economic Model'!C$34/1000)+('Economic Model'!K$63/100)</f>
        <v>4.4449230693069302</v>
      </c>
      <c r="AI167" s="93">
        <f>AH167+('Economic Model'!K$60/100)</f>
        <v>5.0042242038523845</v>
      </c>
      <c r="AJ167" s="120"/>
      <c r="AK167" s="91">
        <f t="shared" si="40"/>
        <v>0.92350559269212251</v>
      </c>
      <c r="AL167" s="91">
        <f t="shared" si="41"/>
        <v>0.36420445814666813</v>
      </c>
      <c r="AM167" s="91">
        <f t="shared" si="42"/>
        <v>0.24120435213774183</v>
      </c>
      <c r="AN167" s="91">
        <f t="shared" si="43"/>
        <v>0.1230001060089263</v>
      </c>
      <c r="AO167" s="264"/>
      <c r="AS167" s="15"/>
      <c r="AW167" s="273"/>
    </row>
    <row r="168" spans="1:49" x14ac:dyDescent="0.2">
      <c r="A168" s="182">
        <v>43191</v>
      </c>
      <c r="B168" s="52"/>
      <c r="C168" s="53"/>
      <c r="D168" s="118">
        <f>'Returns per Gal.'!C168</f>
        <v>1.429090903563933</v>
      </c>
      <c r="E168" s="119">
        <f>'Returns per Gal.'!D168</f>
        <v>156.875</v>
      </c>
      <c r="F168" s="316">
        <f>'Returns per Gal.'!E168</f>
        <v>0.23449999999999999</v>
      </c>
      <c r="G168" s="118">
        <f>'Returns per Gal.'!F168</f>
        <v>3.5705681903795763</v>
      </c>
      <c r="H168" s="118">
        <f>'Returns per Gal.'!G168</f>
        <v>5.18</v>
      </c>
      <c r="I168" s="297"/>
      <c r="J168" s="27"/>
      <c r="K168" s="93">
        <f>D168*'Economic Model'!C$30</f>
        <v>4.0729090751572095</v>
      </c>
      <c r="L168" s="93">
        <f>E168/2000*'Economic Model'!C$32</f>
        <v>1.2863749999999998</v>
      </c>
      <c r="M168" s="319">
        <f>F168*'Economic Model'!C$33</f>
        <v>0.152425</v>
      </c>
      <c r="N168" s="93">
        <f t="shared" si="44"/>
        <v>5.5117090751572091</v>
      </c>
      <c r="O168" s="93">
        <f t="shared" si="36"/>
        <v>3.8842279406117552</v>
      </c>
      <c r="P168" s="105"/>
      <c r="Q168" s="94"/>
      <c r="R168" s="93">
        <f>G168+(H168*'Economic Model'!C$30*'Economic Model'!C$34/1000)+('Economic Model'!K$63/100)</f>
        <v>4.6387481903795758</v>
      </c>
      <c r="S168" s="93">
        <f>R168+('Economic Model'!K$60/100)</f>
        <v>5.1980493249250301</v>
      </c>
      <c r="T168" s="121"/>
      <c r="U168" s="94"/>
      <c r="V168" s="93">
        <f t="shared" si="37"/>
        <v>0.87296088477763334</v>
      </c>
      <c r="W168" s="93">
        <f t="shared" si="38"/>
        <v>0.31365975023217896</v>
      </c>
      <c r="X168" s="105"/>
      <c r="Y168" s="120"/>
      <c r="Z168" s="147">
        <f>W168/('Economic Model'!H$14*(1-'Economic Model'!C$25/100))</f>
        <v>9.5513512605583176E-2</v>
      </c>
      <c r="AA168" s="52"/>
      <c r="AB168" s="52"/>
      <c r="AC168" s="27"/>
      <c r="AD168" s="17">
        <v>1.0841584158415842</v>
      </c>
      <c r="AE168" s="17">
        <f t="shared" si="39"/>
        <v>2.2840346534653464</v>
      </c>
      <c r="AF168" s="17">
        <v>3.3681930693069306</v>
      </c>
      <c r="AG168" s="27"/>
      <c r="AH168" s="93">
        <f>AF168+(H168*'Economic Model'!C$30*'Economic Model'!C$34/1000)+('Economic Model'!K$63/100)</f>
        <v>4.4363730693069305</v>
      </c>
      <c r="AI168" s="93">
        <f>AH168+('Economic Model'!K$60/100)</f>
        <v>4.9956742038523849</v>
      </c>
      <c r="AJ168" s="120"/>
      <c r="AK168" s="91">
        <f t="shared" si="40"/>
        <v>1.0753360058502786</v>
      </c>
      <c r="AL168" s="91">
        <f t="shared" si="41"/>
        <v>0.51603487130482417</v>
      </c>
      <c r="AM168" s="91">
        <f t="shared" si="42"/>
        <v>0.31365975023217896</v>
      </c>
      <c r="AN168" s="91">
        <f t="shared" si="43"/>
        <v>0.20237512107264566</v>
      </c>
      <c r="AO168" s="264"/>
      <c r="AS168" s="15"/>
      <c r="AW168" s="273"/>
    </row>
    <row r="169" spans="1:49" x14ac:dyDescent="0.2">
      <c r="A169" s="182">
        <v>43221</v>
      </c>
      <c r="B169" s="52"/>
      <c r="C169" s="53"/>
      <c r="D169" s="118">
        <f>'Returns per Gal.'!C169</f>
        <v>1.3965909101746299</v>
      </c>
      <c r="E169" s="119">
        <f>'Returns per Gal.'!D169</f>
        <v>175.05681818181819</v>
      </c>
      <c r="F169" s="316">
        <f>'Returns per Gal.'!E169</f>
        <v>0.24030000000000001</v>
      </c>
      <c r="G169" s="118">
        <f>'Returns per Gal.'!F169</f>
        <v>3.6963352371345866</v>
      </c>
      <c r="H169" s="118">
        <f>'Returns per Gal.'!G169</f>
        <v>4.37</v>
      </c>
      <c r="I169" s="297"/>
      <c r="J169" s="27"/>
      <c r="K169" s="93">
        <f>D169*'Economic Model'!C$30</f>
        <v>3.9802840939976951</v>
      </c>
      <c r="L169" s="93">
        <f>E169/2000*'Economic Model'!C$32</f>
        <v>1.435465909090909</v>
      </c>
      <c r="M169" s="319">
        <f>F169*'Economic Model'!C$33</f>
        <v>0.156195</v>
      </c>
      <c r="N169" s="93">
        <f t="shared" si="44"/>
        <v>5.5719450030886044</v>
      </c>
      <c r="O169" s="93">
        <f t="shared" ref="O169:O180" si="45">N169-S169+G169</f>
        <v>4.0137188685431511</v>
      </c>
      <c r="P169" s="105"/>
      <c r="Q169" s="94"/>
      <c r="R169" s="93">
        <f>G169+(H169*'Economic Model'!C$30*'Economic Model'!C$34/1000)+('Economic Model'!K$63/100)</f>
        <v>4.695260237134586</v>
      </c>
      <c r="S169" s="93">
        <f>R169+('Economic Model'!K$60/100)</f>
        <v>5.2545613716800403</v>
      </c>
      <c r="T169" s="121"/>
      <c r="U169" s="94"/>
      <c r="V169" s="93">
        <f t="shared" ref="V169:V180" si="46">N169-R169</f>
        <v>0.87668476595401845</v>
      </c>
      <c r="W169" s="93">
        <f t="shared" ref="W169:W180" si="47">N169-S169</f>
        <v>0.31738363140856407</v>
      </c>
      <c r="X169" s="105"/>
      <c r="Y169" s="120"/>
      <c r="Z169" s="147">
        <f>W169/('Economic Model'!H$14*(1-'Economic Model'!C$25/100))</f>
        <v>9.6647483322001432E-2</v>
      </c>
      <c r="AA169" s="52"/>
      <c r="AB169" s="52"/>
      <c r="AC169" s="27"/>
      <c r="AD169" s="17">
        <v>1.0841584158415842</v>
      </c>
      <c r="AE169" s="17">
        <f t="shared" ref="AE169:AE232" si="48">AF169-AD169</f>
        <v>2.2840346534653464</v>
      </c>
      <c r="AF169" s="17">
        <v>3.3681930693069306</v>
      </c>
      <c r="AG169" s="27"/>
      <c r="AH169" s="93">
        <f>AF169+(H169*'Economic Model'!C$30*'Economic Model'!C$34/1000)+('Economic Model'!K$63/100)</f>
        <v>4.3671180693069305</v>
      </c>
      <c r="AI169" s="93">
        <f>AH169+('Economic Model'!K$60/100)</f>
        <v>4.9264192038523849</v>
      </c>
      <c r="AJ169" s="120"/>
      <c r="AK169" s="91">
        <f t="shared" ref="AK169:AK180" si="49">N169-AH169</f>
        <v>1.2048269337816739</v>
      </c>
      <c r="AL169" s="91">
        <f t="shared" ref="AL169:AL180" si="50">N169-AI169</f>
        <v>0.64552579923621956</v>
      </c>
      <c r="AM169" s="91">
        <f t="shared" ref="AM169:AM180" si="51">O169-G169</f>
        <v>0.31738363140856451</v>
      </c>
      <c r="AN169" s="91">
        <f t="shared" ref="AN169:AN180" si="52">G169-AF169</f>
        <v>0.32814216782765593</v>
      </c>
      <c r="AO169" s="264"/>
      <c r="AS169" s="15"/>
      <c r="AW169" s="273"/>
    </row>
    <row r="170" spans="1:49" x14ac:dyDescent="0.2">
      <c r="A170" s="182">
        <v>43252</v>
      </c>
      <c r="B170" s="52"/>
      <c r="C170" s="53"/>
      <c r="D170" s="118">
        <f>'Returns per Gal.'!C170</f>
        <v>1.4030952141398476</v>
      </c>
      <c r="E170" s="119">
        <f>'Returns per Gal.'!D170</f>
        <v>148.95238095238096</v>
      </c>
      <c r="F170" s="316">
        <f>'Returns per Gal.'!E170</f>
        <v>0.24510000000000001</v>
      </c>
      <c r="G170" s="118">
        <f>'Returns per Gal.'!F170</f>
        <v>3.3921131037530445</v>
      </c>
      <c r="H170" s="118">
        <f>'Returns per Gal.'!G170</f>
        <v>4.33</v>
      </c>
      <c r="I170" s="297"/>
      <c r="J170" s="27"/>
      <c r="K170" s="93">
        <f>D170*'Economic Model'!C$30</f>
        <v>3.9988213602985656</v>
      </c>
      <c r="L170" s="93">
        <f>E170/2000*'Economic Model'!C$32</f>
        <v>1.2214095238095239</v>
      </c>
      <c r="M170" s="319">
        <f>F170*'Economic Model'!C$33</f>
        <v>0.15931500000000001</v>
      </c>
      <c r="N170" s="93">
        <f t="shared" si="44"/>
        <v>5.3795458841080901</v>
      </c>
      <c r="O170" s="93">
        <f t="shared" si="45"/>
        <v>3.8247397495626361</v>
      </c>
      <c r="P170" s="105"/>
      <c r="Q170" s="94"/>
      <c r="R170" s="93">
        <f>G170+(H170*'Economic Model'!C$30*'Economic Model'!C$34/1000)+('Economic Model'!K$63/100)</f>
        <v>4.3876181037530442</v>
      </c>
      <c r="S170" s="93">
        <f>R170+('Economic Model'!K$60/100)</f>
        <v>4.9469192382984986</v>
      </c>
      <c r="T170" s="121"/>
      <c r="U170" s="94"/>
      <c r="V170" s="93">
        <f t="shared" si="46"/>
        <v>0.99192778035504592</v>
      </c>
      <c r="W170" s="93">
        <f t="shared" si="47"/>
        <v>0.43262664580959154</v>
      </c>
      <c r="X170" s="105"/>
      <c r="Y170" s="120"/>
      <c r="Z170" s="147">
        <f>W170/('Economic Model'!H$14*(1-'Economic Model'!C$25/100))</f>
        <v>0.13174049446082328</v>
      </c>
      <c r="AA170" s="52"/>
      <c r="AB170" s="52"/>
      <c r="AC170" s="27"/>
      <c r="AD170" s="17">
        <v>1.0841584158415842</v>
      </c>
      <c r="AE170" s="17">
        <f t="shared" si="48"/>
        <v>2.2840346534653464</v>
      </c>
      <c r="AF170" s="17">
        <v>3.3681930693069306</v>
      </c>
      <c r="AG170" s="27"/>
      <c r="AH170" s="93">
        <f>AF170+(H170*'Economic Model'!C$30*'Economic Model'!C$34/1000)+('Economic Model'!K$63/100)</f>
        <v>4.3636980693069303</v>
      </c>
      <c r="AI170" s="93">
        <f>AH170+('Economic Model'!K$60/100)</f>
        <v>4.9229992038523847</v>
      </c>
      <c r="AJ170" s="120"/>
      <c r="AK170" s="91">
        <f t="shared" si="49"/>
        <v>1.0158478148011598</v>
      </c>
      <c r="AL170" s="91">
        <f t="shared" si="50"/>
        <v>0.45654668025570544</v>
      </c>
      <c r="AM170" s="91">
        <f t="shared" si="51"/>
        <v>0.43262664580959154</v>
      </c>
      <c r="AN170" s="91">
        <f t="shared" si="52"/>
        <v>2.3920034446113903E-2</v>
      </c>
      <c r="AO170" s="264"/>
      <c r="AS170" s="15"/>
      <c r="AW170" s="273"/>
    </row>
    <row r="171" spans="1:49" x14ac:dyDescent="0.2">
      <c r="A171" s="182">
        <v>43282</v>
      </c>
      <c r="B171" s="52"/>
      <c r="C171" s="53"/>
      <c r="D171" s="118">
        <f>'Returns per Gal.'!C171</f>
        <v>1.4059523968469529</v>
      </c>
      <c r="E171" s="119">
        <f>'Returns per Gal.'!D171</f>
        <v>109.77380952380952</v>
      </c>
      <c r="F171" s="316">
        <f>'Returns per Gal.'!E171</f>
        <v>0.2389</v>
      </c>
      <c r="G171" s="118">
        <f>'Returns per Gal.'!F171</f>
        <v>3.2088987855684188</v>
      </c>
      <c r="H171" s="118">
        <f>'Returns per Gal.'!G171</f>
        <v>4.46</v>
      </c>
      <c r="I171" s="297"/>
      <c r="J171" s="27"/>
      <c r="K171" s="93">
        <f>D171*'Economic Model'!C$30</f>
        <v>4.0069643310138163</v>
      </c>
      <c r="L171" s="93">
        <f>E171/2000*'Economic Model'!C$32</f>
        <v>0.90014523809523805</v>
      </c>
      <c r="M171" s="319">
        <f>F171*'Economic Model'!C$33</f>
        <v>0.15528500000000001</v>
      </c>
      <c r="N171" s="93">
        <f t="shared" si="44"/>
        <v>5.0623945691090544</v>
      </c>
      <c r="O171" s="93">
        <f t="shared" si="45"/>
        <v>3.4964734345636002</v>
      </c>
      <c r="P171" s="105"/>
      <c r="Q171" s="94"/>
      <c r="R171" s="93">
        <f>G171+(H171*'Economic Model'!C$30*'Economic Model'!C$34/1000)+('Economic Model'!K$63/100)</f>
        <v>4.2155187855684186</v>
      </c>
      <c r="S171" s="93">
        <f>R171+('Economic Model'!K$60/100)</f>
        <v>4.774819920113873</v>
      </c>
      <c r="T171" s="121"/>
      <c r="U171" s="94"/>
      <c r="V171" s="93">
        <f t="shared" si="46"/>
        <v>0.84687578354063575</v>
      </c>
      <c r="W171" s="93">
        <f t="shared" si="47"/>
        <v>0.28757464899518137</v>
      </c>
      <c r="X171" s="105"/>
      <c r="Y171" s="120"/>
      <c r="Z171" s="147">
        <f>W171/('Economic Model'!H$14*(1-'Economic Model'!C$25/100))</f>
        <v>8.7570256755976641E-2</v>
      </c>
      <c r="AA171" s="52"/>
      <c r="AB171" s="52"/>
      <c r="AC171" s="27"/>
      <c r="AD171" s="17">
        <v>1.0841584158415842</v>
      </c>
      <c r="AE171" s="17">
        <f t="shared" si="48"/>
        <v>2.2840346534653464</v>
      </c>
      <c r="AF171" s="17">
        <v>3.3681930693069306</v>
      </c>
      <c r="AG171" s="27"/>
      <c r="AH171" s="93">
        <f>AF171+(H171*'Economic Model'!C$30*'Economic Model'!C$34/1000)+('Economic Model'!K$63/100)</f>
        <v>4.3748130693069305</v>
      </c>
      <c r="AI171" s="93">
        <f>AH171+('Economic Model'!K$60/100)</f>
        <v>4.9341142038523849</v>
      </c>
      <c r="AJ171" s="120"/>
      <c r="AK171" s="91">
        <f t="shared" si="49"/>
        <v>0.68758149980212391</v>
      </c>
      <c r="AL171" s="91">
        <f t="shared" si="50"/>
        <v>0.12828036525666953</v>
      </c>
      <c r="AM171" s="91">
        <f t="shared" si="51"/>
        <v>0.28757464899518137</v>
      </c>
      <c r="AN171" s="91">
        <f t="shared" si="52"/>
        <v>-0.15929428373851184</v>
      </c>
      <c r="AO171" s="264"/>
      <c r="AS171" s="15"/>
      <c r="AW171" s="273"/>
    </row>
    <row r="172" spans="1:49" ht="12.75" customHeight="1" x14ac:dyDescent="0.2">
      <c r="A172" s="182">
        <v>43313</v>
      </c>
      <c r="B172" s="52"/>
      <c r="C172" s="53"/>
      <c r="D172" s="118">
        <f>'Returns per Gal.'!C172</f>
        <v>1.3408695718516475</v>
      </c>
      <c r="E172" s="119">
        <f>'Returns per Gal.'!D172</f>
        <v>131.72826086956522</v>
      </c>
      <c r="F172" s="316">
        <f>'Returns per Gal.'!E172</f>
        <v>0.2397</v>
      </c>
      <c r="G172" s="118">
        <f>'Returns per Gal.'!F172</f>
        <v>3.2968913057576055</v>
      </c>
      <c r="H172" s="118">
        <f>'Returns per Gal.'!G172</f>
        <v>4.79</v>
      </c>
      <c r="I172" s="297"/>
      <c r="J172" s="27"/>
      <c r="K172" s="93">
        <f>D172*'Economic Model'!C$30</f>
        <v>3.8214782797771956</v>
      </c>
      <c r="L172" s="93">
        <f>E172/2000*'Economic Model'!C$32</f>
        <v>1.0801717391304346</v>
      </c>
      <c r="M172" s="319">
        <f>F172*'Economic Model'!C$33</f>
        <v>0.155805</v>
      </c>
      <c r="N172" s="93">
        <f t="shared" si="44"/>
        <v>5.0574550189076302</v>
      </c>
      <c r="O172" s="93">
        <f t="shared" si="45"/>
        <v>3.4633188843621756</v>
      </c>
      <c r="P172" s="105"/>
      <c r="Q172" s="94"/>
      <c r="R172" s="93">
        <f>G172+(H172*'Economic Model'!C$30*'Economic Model'!C$34/1000)+('Economic Model'!K$63/100)</f>
        <v>4.3317263057576056</v>
      </c>
      <c r="S172" s="93">
        <f>R172+('Economic Model'!K$60/100)</f>
        <v>4.89102744030306</v>
      </c>
      <c r="T172" s="121"/>
      <c r="U172" s="94"/>
      <c r="V172" s="93">
        <f t="shared" si="46"/>
        <v>0.72572871315002452</v>
      </c>
      <c r="W172" s="93">
        <f t="shared" si="47"/>
        <v>0.16642757860457014</v>
      </c>
      <c r="X172" s="105"/>
      <c r="Y172" s="120"/>
      <c r="Z172" s="147">
        <f>W172/('Economic Model'!H$14*(1-'Economic Model'!C$25/100))</f>
        <v>5.0679383042285815E-2</v>
      </c>
      <c r="AA172" s="52"/>
      <c r="AB172" s="52"/>
      <c r="AC172" s="27"/>
      <c r="AD172" s="17">
        <v>1.0841584158415842</v>
      </c>
      <c r="AE172" s="17">
        <f t="shared" si="48"/>
        <v>2.2840346534653464</v>
      </c>
      <c r="AF172" s="17">
        <v>3.3681930693069306</v>
      </c>
      <c r="AG172" s="27"/>
      <c r="AH172" s="93">
        <f>AF172+(H172*'Economic Model'!C$30*'Economic Model'!C$34/1000)+('Economic Model'!K$63/100)</f>
        <v>4.4030280693069308</v>
      </c>
      <c r="AI172" s="93">
        <f>AH172+('Economic Model'!K$60/100)</f>
        <v>4.9623292038523852</v>
      </c>
      <c r="AJ172" s="120"/>
      <c r="AK172" s="91">
        <f t="shared" si="49"/>
        <v>0.65442694960069936</v>
      </c>
      <c r="AL172" s="91">
        <f t="shared" si="50"/>
        <v>9.5125815055244978E-2</v>
      </c>
      <c r="AM172" s="91">
        <f t="shared" si="51"/>
        <v>0.16642757860457014</v>
      </c>
      <c r="AN172" s="91">
        <f t="shared" si="52"/>
        <v>-7.1301763549325159E-2</v>
      </c>
      <c r="AO172" s="264"/>
      <c r="AS172" s="15"/>
      <c r="AW172" s="273"/>
    </row>
    <row r="173" spans="1:49" ht="12.75" customHeight="1" x14ac:dyDescent="0.2">
      <c r="A173" s="182">
        <v>43344</v>
      </c>
      <c r="B173" s="52"/>
      <c r="C173" s="53"/>
      <c r="D173" s="118">
        <f>'Returns per Gal.'!C173</f>
        <v>1.223750004172325</v>
      </c>
      <c r="E173" s="119">
        <f>'Returns per Gal.'!D173</f>
        <v>131.11250000000001</v>
      </c>
      <c r="F173" s="316">
        <f>'Returns per Gal.'!E173</f>
        <v>0.25019999999999998</v>
      </c>
      <c r="G173" s="118">
        <f>'Returns per Gal.'!F173</f>
        <v>3.1718125075101851</v>
      </c>
      <c r="H173" s="118">
        <f>'Returns per Gal.'!G173</f>
        <v>5.38</v>
      </c>
      <c r="I173" s="297"/>
      <c r="J173" s="27"/>
      <c r="K173" s="93">
        <f>D173*'Economic Model'!C$30</f>
        <v>3.4876875118911266</v>
      </c>
      <c r="L173" s="93">
        <f>E173/2000*'Economic Model'!C$32</f>
        <v>1.0751225</v>
      </c>
      <c r="M173" s="319">
        <f>F173*'Economic Model'!C$33</f>
        <v>0.16263</v>
      </c>
      <c r="N173" s="93">
        <f t="shared" si="44"/>
        <v>4.7254400118911271</v>
      </c>
      <c r="O173" s="93">
        <f t="shared" si="45"/>
        <v>3.0808588773456727</v>
      </c>
      <c r="P173" s="105"/>
      <c r="Q173" s="94"/>
      <c r="R173" s="93">
        <f>G173+(H173*'Economic Model'!C$30*'Economic Model'!C$34/1000)+('Economic Model'!K$63/100)</f>
        <v>4.2570925075101851</v>
      </c>
      <c r="S173" s="93">
        <f>R173+('Economic Model'!K$60/100)</f>
        <v>4.8163936420556395</v>
      </c>
      <c r="T173" s="121"/>
      <c r="U173" s="94"/>
      <c r="V173" s="93">
        <f t="shared" si="46"/>
        <v>0.46834750438094197</v>
      </c>
      <c r="W173" s="93">
        <f t="shared" si="47"/>
        <v>-9.0953630164512411E-2</v>
      </c>
      <c r="X173" s="105"/>
      <c r="Y173" s="120"/>
      <c r="Z173" s="147">
        <f>W173/('Economic Model'!H$14*(1-'Economic Model'!C$25/100))</f>
        <v>-2.7696574695386146E-2</v>
      </c>
      <c r="AA173" s="52"/>
      <c r="AB173" s="52"/>
      <c r="AC173" s="27"/>
      <c r="AD173" s="17">
        <v>1.1326530612244898</v>
      </c>
      <c r="AE173" s="17">
        <f t="shared" si="48"/>
        <v>2.3035204081632652</v>
      </c>
      <c r="AF173" s="17">
        <v>3.436173469387755</v>
      </c>
      <c r="AG173" s="27"/>
      <c r="AH173" s="93">
        <f>AF173+(H173*'Economic Model'!C$30*'Economic Model'!C$34/1000)+('Economic Model'!K$63/100)</f>
        <v>4.5214534693877546</v>
      </c>
      <c r="AI173" s="93">
        <f>AH173+('Economic Model'!K$60/100)</f>
        <v>5.080754603933209</v>
      </c>
      <c r="AJ173" s="120"/>
      <c r="AK173" s="91">
        <f t="shared" si="49"/>
        <v>0.20398654250337245</v>
      </c>
      <c r="AL173" s="91">
        <f t="shared" si="50"/>
        <v>-0.35531459204208193</v>
      </c>
      <c r="AM173" s="91">
        <f t="shared" si="51"/>
        <v>-9.0953630164512411E-2</v>
      </c>
      <c r="AN173" s="91">
        <f t="shared" si="52"/>
        <v>-0.26436096187756997</v>
      </c>
      <c r="AO173" s="52"/>
    </row>
    <row r="174" spans="1:49" ht="12.75" customHeight="1" x14ac:dyDescent="0.2">
      <c r="A174" s="182">
        <v>43374</v>
      </c>
      <c r="B174" s="52"/>
      <c r="C174" s="53"/>
      <c r="D174" s="118">
        <f>'Returns per Gal.'!C174</f>
        <v>1.1963636170734058</v>
      </c>
      <c r="E174" s="119">
        <f>'Returns per Gal.'!D174</f>
        <v>130.26136363636363</v>
      </c>
      <c r="F174" s="316">
        <f>'Returns per Gal.'!E174</f>
        <v>0.25059999999999999</v>
      </c>
      <c r="G174" s="118">
        <f>'Returns per Gal.'!F174</f>
        <v>3.29</v>
      </c>
      <c r="H174" s="118">
        <f>'Returns per Gal.'!G174</f>
        <v>5.05</v>
      </c>
      <c r="I174" s="297"/>
      <c r="J174" s="27"/>
      <c r="K174" s="93">
        <f>D174*'Economic Model'!C$30</f>
        <v>3.4096363086592065</v>
      </c>
      <c r="L174" s="93">
        <f>E174/2000*'Economic Model'!C$32</f>
        <v>1.0681431818181817</v>
      </c>
      <c r="M174" s="319">
        <f>F174*'Economic Model'!C$33</f>
        <v>0.16289000000000001</v>
      </c>
      <c r="N174" s="93">
        <f t="shared" si="44"/>
        <v>4.6406694904773884</v>
      </c>
      <c r="O174" s="93">
        <f t="shared" si="45"/>
        <v>3.0243033559319343</v>
      </c>
      <c r="P174" s="105"/>
      <c r="Q174" s="94"/>
      <c r="R174" s="93">
        <f>G174+(H174*'Economic Model'!C$30*'Economic Model'!C$34/1000)+('Economic Model'!K$63/100)</f>
        <v>4.3470649999999997</v>
      </c>
      <c r="S174" s="93">
        <f>R174+('Economic Model'!K$60/100)</f>
        <v>4.9063661345454541</v>
      </c>
      <c r="T174" s="121"/>
      <c r="U174" s="94"/>
      <c r="V174" s="93">
        <f t="shared" si="46"/>
        <v>0.29360449047738868</v>
      </c>
      <c r="W174" s="93">
        <f t="shared" si="47"/>
        <v>-0.2656966440680657</v>
      </c>
      <c r="X174" s="105"/>
      <c r="Y174" s="120"/>
      <c r="Z174" s="147">
        <f>W174/('Economic Model'!H$14*(1-'Economic Model'!C$25/100))</f>
        <v>-8.0908116976026345E-2</v>
      </c>
      <c r="AA174" s="52"/>
      <c r="AB174" s="52"/>
      <c r="AC174" s="27"/>
      <c r="AD174" s="17">
        <v>1.1326530612244898</v>
      </c>
      <c r="AE174" s="17">
        <f t="shared" si="48"/>
        <v>2.3035204081632652</v>
      </c>
      <c r="AF174" s="17">
        <v>3.436173469387755</v>
      </c>
      <c r="AG174" s="27"/>
      <c r="AH174" s="93">
        <f>AF174+(H174*'Economic Model'!C$30*'Economic Model'!C$34/1000)+('Economic Model'!K$63/100)</f>
        <v>4.4932384693877552</v>
      </c>
      <c r="AI174" s="93">
        <f>AH174+('Economic Model'!K$60/100)</f>
        <v>5.0525396039332096</v>
      </c>
      <c r="AJ174" s="120"/>
      <c r="AK174" s="91">
        <f t="shared" si="49"/>
        <v>0.14743102108963324</v>
      </c>
      <c r="AL174" s="91">
        <f t="shared" si="50"/>
        <v>-0.41187011345582114</v>
      </c>
      <c r="AM174" s="91">
        <f t="shared" si="51"/>
        <v>-0.2656966440680657</v>
      </c>
      <c r="AN174" s="91">
        <f t="shared" si="52"/>
        <v>-0.146173469387755</v>
      </c>
      <c r="AO174" s="52"/>
    </row>
    <row r="175" spans="1:49" ht="12.75" customHeight="1" x14ac:dyDescent="0.2">
      <c r="A175" s="182">
        <v>43405</v>
      </c>
      <c r="B175" s="52"/>
      <c r="C175" s="53"/>
      <c r="D175" s="118">
        <f>'Returns per Gal.'!C175</f>
        <v>1.2295000076293945</v>
      </c>
      <c r="E175" s="119">
        <f>'Returns per Gal.'!D175</f>
        <v>133.48750000000001</v>
      </c>
      <c r="F175" s="316">
        <f>'Returns per Gal.'!E175</f>
        <v>0.24780000000000002</v>
      </c>
      <c r="G175" s="118">
        <f>'Returns per Gal.'!F175</f>
        <v>3.3720625042915344</v>
      </c>
      <c r="H175" s="118">
        <f>'Returns per Gal.'!G175</f>
        <v>5.82</v>
      </c>
      <c r="I175" s="297"/>
      <c r="J175" s="27"/>
      <c r="K175" s="93">
        <f>D175*'Economic Model'!C$30</f>
        <v>3.5040750217437746</v>
      </c>
      <c r="L175" s="93">
        <f>E175/2000*'Economic Model'!C$32</f>
        <v>1.0945974999999999</v>
      </c>
      <c r="M175" s="319">
        <f>F175*'Economic Model'!C$33</f>
        <v>0.16107000000000002</v>
      </c>
      <c r="N175" s="93">
        <f t="shared" si="44"/>
        <v>4.7597425217437737</v>
      </c>
      <c r="O175" s="93">
        <f t="shared" si="45"/>
        <v>3.0775413871983197</v>
      </c>
      <c r="P175" s="105"/>
      <c r="Q175" s="94"/>
      <c r="R175" s="93">
        <f>G175+(H175*'Economic Model'!C$30*'Economic Model'!C$34/1000)+('Economic Model'!K$63/100)</f>
        <v>4.494962504291534</v>
      </c>
      <c r="S175" s="93">
        <f>R175+('Economic Model'!K$60/100)</f>
        <v>5.0542636388369884</v>
      </c>
      <c r="T175" s="121"/>
      <c r="U175" s="94"/>
      <c r="V175" s="93">
        <f t="shared" si="46"/>
        <v>0.26478001745223967</v>
      </c>
      <c r="W175" s="93">
        <f t="shared" si="47"/>
        <v>-0.29452111709321471</v>
      </c>
      <c r="X175" s="105"/>
      <c r="Y175" s="120"/>
      <c r="Z175" s="147">
        <f>W175/('Economic Model'!H$14*(1-'Economic Model'!C$25/100))</f>
        <v>-8.9685547505760951E-2</v>
      </c>
      <c r="AA175" s="52"/>
      <c r="AB175" s="52"/>
      <c r="AC175" s="27"/>
      <c r="AD175" s="17">
        <v>1.1326530612244898</v>
      </c>
      <c r="AE175" s="17">
        <f t="shared" si="48"/>
        <v>2.3035204081632652</v>
      </c>
      <c r="AF175" s="17">
        <v>3.436173469387755</v>
      </c>
      <c r="AG175" s="27"/>
      <c r="AH175" s="93">
        <f>AF175+(H175*'Economic Model'!C$30*'Economic Model'!C$34/1000)+('Economic Model'!K$63/100)</f>
        <v>4.559073469387755</v>
      </c>
      <c r="AI175" s="93">
        <f>AH175+('Economic Model'!K$60/100)</f>
        <v>5.1183746039332094</v>
      </c>
      <c r="AJ175" s="120"/>
      <c r="AK175" s="91">
        <f t="shared" si="49"/>
        <v>0.20066905235601862</v>
      </c>
      <c r="AL175" s="91">
        <f t="shared" si="50"/>
        <v>-0.35863208218943576</v>
      </c>
      <c r="AM175" s="91">
        <f t="shared" si="51"/>
        <v>-0.29452111709321471</v>
      </c>
      <c r="AN175" s="91">
        <f t="shared" si="52"/>
        <v>-6.4110965096220607E-2</v>
      </c>
      <c r="AO175" s="52"/>
    </row>
    <row r="176" spans="1:49" ht="12.75" customHeight="1" x14ac:dyDescent="0.2">
      <c r="A176" s="68">
        <v>43435</v>
      </c>
      <c r="B176" s="64"/>
      <c r="C176" s="56"/>
      <c r="D176" s="128">
        <f>'Returns per Gal.'!C176</f>
        <v>1.1594117704559774</v>
      </c>
      <c r="E176" s="129">
        <f>'Returns per Gal.'!D176</f>
        <v>165.1764705882353</v>
      </c>
      <c r="F176" s="317">
        <f>'Returns per Gal.'!E176</f>
        <v>0.25730000000000003</v>
      </c>
      <c r="G176" s="128">
        <f>'Returns per Gal.'!F176</f>
        <v>3.4561397152788498</v>
      </c>
      <c r="H176" s="128">
        <f>'Returns per Gal.'!G176</f>
        <v>6.35</v>
      </c>
      <c r="I176" s="304"/>
      <c r="J176" s="29"/>
      <c r="K176" s="97">
        <f>D176*'Economic Model'!C$30</f>
        <v>3.3043235457995359</v>
      </c>
      <c r="L176" s="97">
        <f>E176/2000*'Economic Model'!C$32</f>
        <v>1.3544470588235296</v>
      </c>
      <c r="M176" s="320">
        <f>F176*'Economic Model'!C$33</f>
        <v>0.16724500000000003</v>
      </c>
      <c r="N176" s="97">
        <f t="shared" si="44"/>
        <v>4.8260156046230653</v>
      </c>
      <c r="O176" s="97">
        <f t="shared" si="45"/>
        <v>3.098499470077611</v>
      </c>
      <c r="P176" s="107"/>
      <c r="Q176" s="98"/>
      <c r="R176" s="97">
        <f>G176+(H176*'Economic Model'!C$30*'Economic Model'!C$34/1000)+('Economic Model'!K$63/100)</f>
        <v>4.6243547152788498</v>
      </c>
      <c r="S176" s="97">
        <f>R176+('Economic Model'!K$60/100)</f>
        <v>5.1836558498243042</v>
      </c>
      <c r="T176" s="131"/>
      <c r="U176" s="98"/>
      <c r="V176" s="97">
        <f t="shared" si="46"/>
        <v>0.20166088934421555</v>
      </c>
      <c r="W176" s="97">
        <f t="shared" si="47"/>
        <v>-0.35764024520123883</v>
      </c>
      <c r="X176" s="107"/>
      <c r="Y176" s="130"/>
      <c r="Z176" s="148">
        <f>W176/('Economic Model'!H$14*(1-'Economic Model'!C$25/100))</f>
        <v>-0.10890615083065859</v>
      </c>
      <c r="AA176" s="64"/>
      <c r="AB176" s="64"/>
      <c r="AC176" s="29"/>
      <c r="AD176" s="65">
        <v>1.1326530612244898</v>
      </c>
      <c r="AE176" s="65">
        <f t="shared" si="48"/>
        <v>2.3035204081632652</v>
      </c>
      <c r="AF176" s="65">
        <v>3.436173469387755</v>
      </c>
      <c r="AG176" s="29"/>
      <c r="AH176" s="97">
        <f>AF176+(H176*'Economic Model'!C$30*'Economic Model'!C$34/1000)+('Economic Model'!K$63/100)</f>
        <v>4.6043884693877546</v>
      </c>
      <c r="AI176" s="97">
        <f>AH176+('Economic Model'!K$60/100)</f>
        <v>5.163689603933209</v>
      </c>
      <c r="AJ176" s="130"/>
      <c r="AK176" s="92">
        <f t="shared" si="49"/>
        <v>0.22162713523531075</v>
      </c>
      <c r="AL176" s="92">
        <f t="shared" si="50"/>
        <v>-0.33767399931014364</v>
      </c>
      <c r="AM176" s="92">
        <f t="shared" si="51"/>
        <v>-0.35764024520123883</v>
      </c>
      <c r="AN176" s="92">
        <f t="shared" si="52"/>
        <v>1.9966245891094747E-2</v>
      </c>
      <c r="AO176" s="64"/>
    </row>
    <row r="177" spans="1:41" ht="12.75" customHeight="1" x14ac:dyDescent="0.2">
      <c r="A177" s="292">
        <v>43466</v>
      </c>
      <c r="B177" s="62"/>
      <c r="C177" s="287"/>
      <c r="D177" s="141">
        <f>'Returns per Gal.'!C177</f>
        <v>1.1721428717885698</v>
      </c>
      <c r="E177" s="142">
        <f>'Returns per Gal.'!D177</f>
        <v>155.14285714285714</v>
      </c>
      <c r="F177" s="318">
        <f>'Returns per Gal.'!E177</f>
        <v>0.25319999999999998</v>
      </c>
      <c r="G177" s="141">
        <f>'Returns per Gal.'!F177</f>
        <v>3.5409523873102096</v>
      </c>
      <c r="H177" s="141">
        <f>'Returns per Gal.'!G177</f>
        <v>4.93</v>
      </c>
      <c r="I177" s="295"/>
      <c r="J177" s="183"/>
      <c r="K177" s="101">
        <f>D177*'Economic Model'!C$30</f>
        <v>3.3406071845974239</v>
      </c>
      <c r="L177" s="101">
        <f>E177/2000*'Economic Model'!C$32</f>
        <v>1.2721714285714285</v>
      </c>
      <c r="M177" s="321">
        <f>F177*'Economic Model'!C$33</f>
        <v>0.16458</v>
      </c>
      <c r="N177" s="101">
        <f t="shared" ref="N177:N214" si="53">K177+L177+M177</f>
        <v>4.7773586131688521</v>
      </c>
      <c r="O177" s="101">
        <f t="shared" si="45"/>
        <v>3.1712524786233978</v>
      </c>
      <c r="P177" s="116"/>
      <c r="Q177" s="102"/>
      <c r="R177" s="101">
        <f>G177+(H177*'Economic Model'!C$30*'Economic Model'!C$34/1000)+('Economic Model'!K$63/100)</f>
        <v>4.5877573873102095</v>
      </c>
      <c r="S177" s="101">
        <f>R177+('Economic Model'!K$60/100)</f>
        <v>5.1470585218556639</v>
      </c>
      <c r="T177" s="144"/>
      <c r="U177" s="102"/>
      <c r="V177" s="101">
        <f t="shared" si="46"/>
        <v>0.18960122585864259</v>
      </c>
      <c r="W177" s="101">
        <f t="shared" si="47"/>
        <v>-0.3696999086868118</v>
      </c>
      <c r="X177" s="116"/>
      <c r="Y177" s="145"/>
      <c r="Z177" s="149">
        <f>W177/('Economic Model'!H$14*(1-'Economic Model'!C$25/100))</f>
        <v>-0.11257847671721474</v>
      </c>
      <c r="AA177" s="62"/>
      <c r="AB177" s="62"/>
      <c r="AC177" s="183"/>
      <c r="AD177" s="288">
        <v>1.1326530612244898</v>
      </c>
      <c r="AE177" s="288">
        <f t="shared" si="48"/>
        <v>2.3035204081632652</v>
      </c>
      <c r="AF177" s="288">
        <v>3.436173469387755</v>
      </c>
      <c r="AG177" s="183"/>
      <c r="AH177" s="101">
        <f>AF177+(H177*'Economic Model'!C$30*'Economic Model'!C$34/1000)+('Economic Model'!K$63/100)</f>
        <v>4.4829784693877546</v>
      </c>
      <c r="AI177" s="101">
        <f>AH177+('Economic Model'!K$60/100)</f>
        <v>5.042279603933209</v>
      </c>
      <c r="AJ177" s="145"/>
      <c r="AK177" s="289">
        <f t="shared" si="49"/>
        <v>0.29438014378109756</v>
      </c>
      <c r="AL177" s="289">
        <f t="shared" si="50"/>
        <v>-0.26492099076435682</v>
      </c>
      <c r="AM177" s="289">
        <f t="shared" si="51"/>
        <v>-0.3696999086868118</v>
      </c>
      <c r="AN177" s="289">
        <f t="shared" si="52"/>
        <v>0.10477891792245453</v>
      </c>
      <c r="AO177" s="290"/>
    </row>
    <row r="178" spans="1:41" ht="12.75" customHeight="1" x14ac:dyDescent="0.2">
      <c r="A178" s="182">
        <v>43497</v>
      </c>
      <c r="B178" s="52"/>
      <c r="C178" s="53"/>
      <c r="D178" s="118">
        <f>'Returns per Gal.'!C178</f>
        <v>1.2102777693006728</v>
      </c>
      <c r="E178" s="119">
        <f>'Returns per Gal.'!D178</f>
        <v>140</v>
      </c>
      <c r="F178" s="316">
        <f>'Returns per Gal.'!E178</f>
        <v>0.25019999999999998</v>
      </c>
      <c r="G178" s="118">
        <f>'Returns per Gal.'!F178</f>
        <v>3.5677430596616535</v>
      </c>
      <c r="H178" s="118">
        <f>'Returns per Gal.'!G178</f>
        <v>4.67</v>
      </c>
      <c r="I178" s="296">
        <v>6.44</v>
      </c>
      <c r="J178" s="27"/>
      <c r="K178" s="93">
        <f>D178*'Economic Model'!C$30</f>
        <v>3.4492916425069176</v>
      </c>
      <c r="L178" s="93">
        <f>E178/2000*'Economic Model'!C$32</f>
        <v>1.1479999999999999</v>
      </c>
      <c r="M178" s="319">
        <f>F178*'Economic Model'!C$33</f>
        <v>0.16263</v>
      </c>
      <c r="N178" s="93">
        <f t="shared" si="53"/>
        <v>4.7599216425069173</v>
      </c>
      <c r="O178" s="93">
        <f t="shared" si="45"/>
        <v>3.1760455079614633</v>
      </c>
      <c r="P178" s="105"/>
      <c r="Q178" s="94"/>
      <c r="R178" s="93">
        <f>G178+(H178*'Economic Model'!C$30*'Economic Model'!C$34/1000)+('Economic Model'!K$63/100)</f>
        <v>4.5923180596616531</v>
      </c>
      <c r="S178" s="93">
        <f>R178+('Economic Model'!K$60/100)</f>
        <v>5.1516191942071075</v>
      </c>
      <c r="T178" s="121"/>
      <c r="U178" s="94"/>
      <c r="V178" s="93">
        <f t="shared" si="46"/>
        <v>0.16760358284526422</v>
      </c>
      <c r="W178" s="93">
        <f t="shared" si="47"/>
        <v>-0.39169755170019016</v>
      </c>
      <c r="X178" s="105"/>
      <c r="Y178" s="120"/>
      <c r="Z178" s="147">
        <f>W178/('Economic Model'!H$14*(1-'Economic Model'!C$25/100))</f>
        <v>-0.11927704786539733</v>
      </c>
      <c r="AA178" s="52"/>
      <c r="AB178" s="52"/>
      <c r="AC178" s="27"/>
      <c r="AD178" s="17">
        <v>1.1326530612244898</v>
      </c>
      <c r="AE178" s="17">
        <f t="shared" si="48"/>
        <v>2.3035204081632652</v>
      </c>
      <c r="AF178" s="17">
        <v>3.436173469387755</v>
      </c>
      <c r="AG178" s="27"/>
      <c r="AH178" s="93">
        <f>AF178+(H178*'Economic Model'!C$30*'Economic Model'!C$34/1000)+('Economic Model'!K$63/100)</f>
        <v>4.460748469387755</v>
      </c>
      <c r="AI178" s="93">
        <f>AH178+('Economic Model'!K$60/100)</f>
        <v>5.0200496039332094</v>
      </c>
      <c r="AJ178" s="120"/>
      <c r="AK178" s="91">
        <f t="shared" si="49"/>
        <v>0.29917317311916225</v>
      </c>
      <c r="AL178" s="91">
        <f t="shared" si="50"/>
        <v>-0.26012796142629213</v>
      </c>
      <c r="AM178" s="91">
        <f t="shared" si="51"/>
        <v>-0.39169755170019016</v>
      </c>
      <c r="AN178" s="91">
        <f t="shared" si="52"/>
        <v>0.13156959027389847</v>
      </c>
      <c r="AO178" s="264"/>
    </row>
    <row r="179" spans="1:41" ht="12.75" customHeight="1" x14ac:dyDescent="0.2">
      <c r="A179" s="182">
        <v>43525</v>
      </c>
      <c r="B179" s="52"/>
      <c r="C179" s="53"/>
      <c r="D179" s="118">
        <f>'Returns per Gal.'!C179</f>
        <v>1.3085714067731584</v>
      </c>
      <c r="E179" s="119">
        <f>'Returns per Gal.'!D179</f>
        <v>135.77380952380952</v>
      </c>
      <c r="F179" s="316">
        <f>'Returns per Gal.'!E179</f>
        <v>0.2452</v>
      </c>
      <c r="G179" s="118">
        <f>'Returns per Gal.'!F179</f>
        <v>3.5518154672213962</v>
      </c>
      <c r="H179" s="118">
        <f>'Returns per Gal.'!G179</f>
        <v>4.8600000000000003</v>
      </c>
      <c r="I179" s="297"/>
      <c r="J179" s="27"/>
      <c r="K179" s="93">
        <f>D179*'Economic Model'!C$30</f>
        <v>3.7294285093035016</v>
      </c>
      <c r="L179" s="93">
        <f>E179/2000*'Economic Model'!C$32</f>
        <v>1.113345238095238</v>
      </c>
      <c r="M179" s="319">
        <f>F179*'Economic Model'!C$33</f>
        <v>0.15937999999999999</v>
      </c>
      <c r="N179" s="93">
        <f t="shared" si="53"/>
        <v>5.0021537473987392</v>
      </c>
      <c r="O179" s="93">
        <f t="shared" si="45"/>
        <v>3.4020326128532847</v>
      </c>
      <c r="P179" s="105"/>
      <c r="Q179" s="94"/>
      <c r="R179" s="93">
        <f>G179+(H179*'Economic Model'!C$30*'Economic Model'!C$34/1000)+('Economic Model'!K$63/100)</f>
        <v>4.5926354672213963</v>
      </c>
      <c r="S179" s="93">
        <f>R179+('Economic Model'!K$60/100)</f>
        <v>5.1519366017668506</v>
      </c>
      <c r="T179" s="121"/>
      <c r="U179" s="94"/>
      <c r="V179" s="93">
        <f t="shared" si="46"/>
        <v>0.40951828017734293</v>
      </c>
      <c r="W179" s="93">
        <f t="shared" si="47"/>
        <v>-0.14978285436811145</v>
      </c>
      <c r="X179" s="105"/>
      <c r="Y179" s="120"/>
      <c r="Z179" s="147">
        <f>W179/('Economic Model'!H$14*(1-'Economic Model'!C$25/100))</f>
        <v>-4.5610845950744279E-2</v>
      </c>
      <c r="AA179" s="52"/>
      <c r="AB179" s="52"/>
      <c r="AC179" s="27"/>
      <c r="AD179" s="17">
        <v>1.1326530612244898</v>
      </c>
      <c r="AE179" s="17">
        <f t="shared" si="48"/>
        <v>2.3035204081632652</v>
      </c>
      <c r="AF179" s="17">
        <v>3.436173469387755</v>
      </c>
      <c r="AG179" s="27"/>
      <c r="AH179" s="93">
        <f>AF179+(H179*'Economic Model'!C$30*'Economic Model'!C$34/1000)+('Economic Model'!K$63/100)</f>
        <v>4.4769934693877547</v>
      </c>
      <c r="AI179" s="93">
        <f>AH179+('Economic Model'!K$60/100)</f>
        <v>5.036294603933209</v>
      </c>
      <c r="AJ179" s="120"/>
      <c r="AK179" s="91">
        <f t="shared" si="49"/>
        <v>0.52516027801098453</v>
      </c>
      <c r="AL179" s="91">
        <f t="shared" si="50"/>
        <v>-3.4140856534469854E-2</v>
      </c>
      <c r="AM179" s="91">
        <f t="shared" si="51"/>
        <v>-0.14978285436811145</v>
      </c>
      <c r="AN179" s="91">
        <f t="shared" si="52"/>
        <v>0.11564199783364115</v>
      </c>
      <c r="AO179" s="264"/>
    </row>
    <row r="180" spans="1:41" ht="12.75" customHeight="1" x14ac:dyDescent="0.2">
      <c r="A180" s="182">
        <v>43556</v>
      </c>
      <c r="B180" s="52"/>
      <c r="C180" s="53"/>
      <c r="D180" s="118">
        <f>'Returns per Gal.'!C180</f>
        <v>1.3038636202161962</v>
      </c>
      <c r="E180" s="119">
        <f>'Returns per Gal.'!D180</f>
        <v>134.26136363636363</v>
      </c>
      <c r="F180" s="316">
        <f>'Returns per Gal.'!E180</f>
        <v>0.25239999999999996</v>
      </c>
      <c r="G180" s="118">
        <f>'Returns per Gal.'!F180</f>
        <v>3.4867613561586897</v>
      </c>
      <c r="H180" s="118">
        <f>'Returns per Gal.'!G180</f>
        <v>4.3</v>
      </c>
      <c r="I180" s="297"/>
      <c r="J180" s="27"/>
      <c r="K180" s="93">
        <f>D180*'Economic Model'!C$30</f>
        <v>3.7160113176161591</v>
      </c>
      <c r="L180" s="93">
        <f>E180/2000*'Economic Model'!C$32</f>
        <v>1.1009431818181816</v>
      </c>
      <c r="M180" s="319">
        <f>F180*'Economic Model'!C$33</f>
        <v>0.16405999999999998</v>
      </c>
      <c r="N180" s="93">
        <f t="shared" si="53"/>
        <v>4.981014499434341</v>
      </c>
      <c r="O180" s="93">
        <f t="shared" si="45"/>
        <v>3.4287733648888867</v>
      </c>
      <c r="P180" s="105"/>
      <c r="Q180" s="94"/>
      <c r="R180" s="93">
        <f>G180+(H180*'Economic Model'!C$30*'Economic Model'!C$34/1000)+('Economic Model'!K$63/100)</f>
        <v>4.4797013561586896</v>
      </c>
      <c r="S180" s="93">
        <f>R180+('Economic Model'!K$60/100)</f>
        <v>5.039002490704144</v>
      </c>
      <c r="T180" s="121"/>
      <c r="U180" s="94"/>
      <c r="V180" s="93">
        <f t="shared" si="46"/>
        <v>0.50131314327565146</v>
      </c>
      <c r="W180" s="93">
        <f t="shared" si="47"/>
        <v>-5.7987991269802919E-2</v>
      </c>
      <c r="X180" s="105"/>
      <c r="Y180" s="120"/>
      <c r="Z180" s="147">
        <f>W180/('Economic Model'!H$14*(1-'Economic Model'!C$25/100))</f>
        <v>-1.765810478080445E-2</v>
      </c>
      <c r="AA180" s="52"/>
      <c r="AB180" s="52"/>
      <c r="AC180" s="27"/>
      <c r="AD180" s="17">
        <v>1.1326530612244898</v>
      </c>
      <c r="AE180" s="17">
        <f t="shared" si="48"/>
        <v>2.3035204081632652</v>
      </c>
      <c r="AF180" s="17">
        <v>3.436173469387755</v>
      </c>
      <c r="AG180" s="27"/>
      <c r="AH180" s="93">
        <f>AF180+(H180*'Economic Model'!C$30*'Economic Model'!C$34/1000)+('Economic Model'!K$63/100)</f>
        <v>4.4291134693877545</v>
      </c>
      <c r="AI180" s="93">
        <f>AH180+('Economic Model'!K$60/100)</f>
        <v>4.9884146039332089</v>
      </c>
      <c r="AJ180" s="120"/>
      <c r="AK180" s="91">
        <f t="shared" si="49"/>
        <v>0.55190103004658653</v>
      </c>
      <c r="AL180" s="91">
        <f t="shared" si="50"/>
        <v>-7.4001044988678544E-3</v>
      </c>
      <c r="AM180" s="91">
        <f t="shared" si="51"/>
        <v>-5.7987991269802919E-2</v>
      </c>
      <c r="AN180" s="91">
        <f t="shared" si="52"/>
        <v>5.058788677093462E-2</v>
      </c>
      <c r="AO180" s="264"/>
    </row>
    <row r="181" spans="1:41" ht="12.75" customHeight="1" x14ac:dyDescent="0.2">
      <c r="A181" s="182">
        <v>43586</v>
      </c>
      <c r="B181" s="52"/>
      <c r="C181" s="53"/>
      <c r="D181" s="118">
        <f>'Returns per Gal.'!C181</f>
        <v>1.25238094159535</v>
      </c>
      <c r="E181" s="119">
        <f>'Returns per Gal.'!D181</f>
        <v>118.63095238095238</v>
      </c>
      <c r="F181" s="316">
        <f>'Returns per Gal.'!E181</f>
        <v>0.2505</v>
      </c>
      <c r="G181" s="118">
        <f>'Returns per Gal.'!F181</f>
        <v>3.6257142708415078</v>
      </c>
      <c r="H181" s="118">
        <f>'Returns per Gal.'!G181</f>
        <v>4.13</v>
      </c>
      <c r="I181" s="297"/>
      <c r="J181" s="27"/>
      <c r="K181" s="93">
        <f>D181*'Economic Model'!C$30</f>
        <v>3.5692856835467475</v>
      </c>
      <c r="L181" s="93">
        <f>E181/2000*'Economic Model'!C$32</f>
        <v>0.97277380952380943</v>
      </c>
      <c r="M181" s="319">
        <f>F181*'Economic Model'!C$33</f>
        <v>0.162825</v>
      </c>
      <c r="N181" s="93">
        <f t="shared" si="53"/>
        <v>4.7048844930705567</v>
      </c>
      <c r="O181" s="93">
        <f t="shared" ref="O181:O214" si="54">N181-S181+G181</f>
        <v>3.1671783585251028</v>
      </c>
      <c r="P181" s="105"/>
      <c r="Q181" s="94"/>
      <c r="R181" s="93">
        <f>G181+(H181*'Economic Model'!C$30*'Economic Model'!C$34/1000)+('Economic Model'!K$63/100)</f>
        <v>4.6041192708415073</v>
      </c>
      <c r="S181" s="93">
        <f>R181+('Economic Model'!K$60/100)</f>
        <v>5.1634204053869617</v>
      </c>
      <c r="T181" s="121"/>
      <c r="U181" s="94"/>
      <c r="V181" s="93">
        <f t="shared" ref="V181:V214" si="55">N181-R181</f>
        <v>0.10076522222904938</v>
      </c>
      <c r="W181" s="93">
        <f t="shared" ref="W181:W214" si="56">N181-S181</f>
        <v>-0.458535912316405</v>
      </c>
      <c r="X181" s="105"/>
      <c r="Y181" s="120"/>
      <c r="Z181" s="147">
        <f>W181/('Economic Model'!H$14*(1-'Economic Model'!C$25/100))</f>
        <v>-0.13963020632620646</v>
      </c>
      <c r="AA181" s="52"/>
      <c r="AB181" s="52"/>
      <c r="AC181" s="27"/>
      <c r="AD181" s="17">
        <v>1.1326530612244898</v>
      </c>
      <c r="AE181" s="17">
        <f t="shared" si="48"/>
        <v>2.3035204081632652</v>
      </c>
      <c r="AF181" s="17">
        <v>3.436173469387755</v>
      </c>
      <c r="AG181" s="27"/>
      <c r="AH181" s="93">
        <f>AF181+(H181*'Economic Model'!C$30*'Economic Model'!C$34/1000)+('Economic Model'!K$63/100)</f>
        <v>4.414578469387755</v>
      </c>
      <c r="AI181" s="93">
        <f>AH181+('Economic Model'!K$60/100)</f>
        <v>4.9738796039332094</v>
      </c>
      <c r="AJ181" s="120"/>
      <c r="AK181" s="91">
        <f t="shared" ref="AK181:AK214" si="57">N181-AH181</f>
        <v>0.29030602368280167</v>
      </c>
      <c r="AL181" s="91">
        <f t="shared" ref="AL181:AL214" si="58">N181-AI181</f>
        <v>-0.26899511086265271</v>
      </c>
      <c r="AM181" s="91">
        <f t="shared" ref="AM181:AM214" si="59">O181-G181</f>
        <v>-0.458535912316405</v>
      </c>
      <c r="AN181" s="91">
        <f t="shared" ref="AN181:AN214" si="60">G181-AF181</f>
        <v>0.18954080145375274</v>
      </c>
      <c r="AO181" s="264"/>
    </row>
    <row r="182" spans="1:41" ht="12.75" customHeight="1" x14ac:dyDescent="0.2">
      <c r="A182" s="182">
        <v>43617</v>
      </c>
      <c r="B182" s="52"/>
      <c r="C182" s="53"/>
      <c r="D182" s="118">
        <f>'Returns per Gal.'!C182</f>
        <v>1.4487500071525574</v>
      </c>
      <c r="E182" s="119">
        <f>'Returns per Gal.'!D182</f>
        <v>130.94999999999999</v>
      </c>
      <c r="F182" s="316">
        <f>'Returns per Gal.'!E182</f>
        <v>0.25329999999999997</v>
      </c>
      <c r="G182" s="118">
        <f>'Returns per Gal.'!F182</f>
        <v>4.1613750010728836</v>
      </c>
      <c r="H182" s="118">
        <f>'Returns per Gal.'!G182</f>
        <v>4.1399999999999997</v>
      </c>
      <c r="I182" s="297"/>
      <c r="J182" s="27"/>
      <c r="K182" s="93">
        <f>D182*'Economic Model'!C$30</f>
        <v>4.1289375203847891</v>
      </c>
      <c r="L182" s="93">
        <f>E182/2000*'Economic Model'!C$32</f>
        <v>1.0737899999999998</v>
      </c>
      <c r="M182" s="319">
        <f>F182*'Economic Model'!C$33</f>
        <v>0.16464499999999999</v>
      </c>
      <c r="N182" s="93">
        <f t="shared" si="53"/>
        <v>5.3673725203847891</v>
      </c>
      <c r="O182" s="93">
        <f t="shared" si="54"/>
        <v>3.8288113858393347</v>
      </c>
      <c r="P182" s="105"/>
      <c r="Q182" s="94"/>
      <c r="R182" s="93">
        <f>G182+(H182*'Economic Model'!C$30*'Economic Model'!C$34/1000)+('Economic Model'!K$63/100)</f>
        <v>5.1406350010728836</v>
      </c>
      <c r="S182" s="93">
        <f>R182+('Economic Model'!K$60/100)</f>
        <v>5.699936135618338</v>
      </c>
      <c r="T182" s="121"/>
      <c r="U182" s="94"/>
      <c r="V182" s="93">
        <f t="shared" si="55"/>
        <v>0.22673751931190544</v>
      </c>
      <c r="W182" s="93">
        <f t="shared" si="56"/>
        <v>-0.33256361523354894</v>
      </c>
      <c r="X182" s="105"/>
      <c r="Y182" s="120"/>
      <c r="Z182" s="147">
        <f>W182/('Economic Model'!H$14*(1-'Economic Model'!C$25/100))</f>
        <v>-0.10126998772477225</v>
      </c>
      <c r="AA182" s="52"/>
      <c r="AB182" s="52"/>
      <c r="AC182" s="27"/>
      <c r="AD182" s="17">
        <v>1.1326530612244898</v>
      </c>
      <c r="AE182" s="17">
        <f t="shared" si="48"/>
        <v>2.3035204081632652</v>
      </c>
      <c r="AF182" s="17">
        <v>3.436173469387755</v>
      </c>
      <c r="AG182" s="27"/>
      <c r="AH182" s="93">
        <f>AF182+(H182*'Economic Model'!C$30*'Economic Model'!C$34/1000)+('Economic Model'!K$63/100)</f>
        <v>4.4154334693877546</v>
      </c>
      <c r="AI182" s="93">
        <f>AH182+('Economic Model'!K$60/100)</f>
        <v>4.974734603933209</v>
      </c>
      <c r="AJ182" s="120"/>
      <c r="AK182" s="91">
        <f t="shared" si="57"/>
        <v>0.95193905099703446</v>
      </c>
      <c r="AL182" s="91">
        <f t="shared" si="58"/>
        <v>0.39263791645158008</v>
      </c>
      <c r="AM182" s="91">
        <f t="shared" si="59"/>
        <v>-0.33256361523354894</v>
      </c>
      <c r="AN182" s="91">
        <f t="shared" si="60"/>
        <v>0.72520153168512858</v>
      </c>
      <c r="AO182" s="264"/>
    </row>
    <row r="183" spans="1:41" ht="12.75" customHeight="1" x14ac:dyDescent="0.2">
      <c r="A183" s="182">
        <v>43647</v>
      </c>
      <c r="B183" s="52"/>
      <c r="C183" s="53"/>
      <c r="D183" s="118">
        <f>'Returns per Gal.'!C183</f>
        <v>1.476818179542368</v>
      </c>
      <c r="E183" s="119">
        <f>'Returns per Gal.'!D183</f>
        <v>131.46590909090909</v>
      </c>
      <c r="F183" s="316">
        <f>'Returns per Gal.'!E183</f>
        <v>0.25239999999999996</v>
      </c>
      <c r="G183" s="118">
        <f>'Returns per Gal.'!F183</f>
        <v>4.2723295390605927</v>
      </c>
      <c r="H183" s="118">
        <f>'Returns per Gal.'!G183</f>
        <v>3.79</v>
      </c>
      <c r="I183" s="297"/>
      <c r="J183" s="27"/>
      <c r="K183" s="93">
        <f>D183*'Economic Model'!C$30</f>
        <v>4.2089318116957495</v>
      </c>
      <c r="L183" s="93">
        <f>E183/2000*'Economic Model'!C$32</f>
        <v>1.0780204545454546</v>
      </c>
      <c r="M183" s="319">
        <f>F183*'Economic Model'!C$33</f>
        <v>0.16405999999999998</v>
      </c>
      <c r="N183" s="93">
        <f t="shared" si="53"/>
        <v>5.4510122662412046</v>
      </c>
      <c r="O183" s="93">
        <f t="shared" si="54"/>
        <v>3.9423761316957506</v>
      </c>
      <c r="P183" s="105"/>
      <c r="Q183" s="94"/>
      <c r="R183" s="93">
        <f>G183+(H183*'Economic Model'!C$30*'Economic Model'!C$34/1000)+('Economic Model'!K$63/100)</f>
        <v>5.2216645390605922</v>
      </c>
      <c r="S183" s="93">
        <f>R183+('Economic Model'!K$60/100)</f>
        <v>5.7809656736060466</v>
      </c>
      <c r="T183" s="121"/>
      <c r="U183" s="94"/>
      <c r="V183" s="93">
        <f t="shared" si="55"/>
        <v>0.22934772718061236</v>
      </c>
      <c r="W183" s="93">
        <f t="shared" si="56"/>
        <v>-0.32995340736484202</v>
      </c>
      <c r="X183" s="105"/>
      <c r="Y183" s="120"/>
      <c r="Z183" s="147">
        <f>W183/('Economic Model'!H$14*(1-'Economic Model'!C$25/100))</f>
        <v>-0.10047514515416385</v>
      </c>
      <c r="AA183" s="52"/>
      <c r="AB183" s="52"/>
      <c r="AC183" s="27"/>
      <c r="AD183" s="17">
        <v>1.1326530612244898</v>
      </c>
      <c r="AE183" s="17">
        <f t="shared" si="48"/>
        <v>2.3035204081632652</v>
      </c>
      <c r="AF183" s="17">
        <v>3.436173469387755</v>
      </c>
      <c r="AG183" s="27"/>
      <c r="AH183" s="93">
        <f>AF183+(H183*'Economic Model'!C$30*'Economic Model'!C$34/1000)+('Economic Model'!K$63/100)</f>
        <v>4.3855084693877551</v>
      </c>
      <c r="AI183" s="93">
        <f>AH183+('Economic Model'!K$60/100)</f>
        <v>4.9448096039332095</v>
      </c>
      <c r="AJ183" s="120"/>
      <c r="AK183" s="91">
        <f t="shared" si="57"/>
        <v>1.0655037968534495</v>
      </c>
      <c r="AL183" s="91">
        <f t="shared" si="58"/>
        <v>0.50620266230799515</v>
      </c>
      <c r="AM183" s="91">
        <f t="shared" si="59"/>
        <v>-0.32995340736484202</v>
      </c>
      <c r="AN183" s="91">
        <f t="shared" si="60"/>
        <v>0.83615606967283762</v>
      </c>
      <c r="AO183" s="264"/>
    </row>
    <row r="184" spans="1:41" x14ac:dyDescent="0.2">
      <c r="A184" s="182">
        <v>43678</v>
      </c>
      <c r="B184" s="52"/>
      <c r="C184" s="53"/>
      <c r="D184" s="118">
        <f>'Returns per Gal.'!C184</f>
        <v>1.3538636403734032</v>
      </c>
      <c r="E184" s="119">
        <f>'Returns per Gal.'!D184</f>
        <v>126.82954545454545</v>
      </c>
      <c r="F184" s="316">
        <f>'Returns per Gal.'!E184</f>
        <v>0.24420000000000003</v>
      </c>
      <c r="G184" s="118">
        <f>'Returns per Gal.'!F184</f>
        <v>3.7810795588926838</v>
      </c>
      <c r="H184" s="118">
        <f>'Returns per Gal.'!G184</f>
        <v>3.58</v>
      </c>
      <c r="I184" s="297"/>
      <c r="J184" s="27"/>
      <c r="K184" s="93">
        <f>D184*'Economic Model'!C$30</f>
        <v>3.8585113750641993</v>
      </c>
      <c r="L184" s="93">
        <f>E184/2000*'Economic Model'!C$32</f>
        <v>1.0400022727272726</v>
      </c>
      <c r="M184" s="319">
        <f>F184*'Economic Model'!C$33</f>
        <v>0.15873000000000001</v>
      </c>
      <c r="N184" s="93">
        <f t="shared" si="53"/>
        <v>5.0572436477914717</v>
      </c>
      <c r="O184" s="93">
        <f t="shared" si="54"/>
        <v>3.5665625132460179</v>
      </c>
      <c r="P184" s="105"/>
      <c r="Q184" s="94"/>
      <c r="R184" s="93">
        <f>G184+(H184*'Economic Model'!C$30*'Economic Model'!C$34/1000)+('Economic Model'!K$63/100)</f>
        <v>4.7124595588926832</v>
      </c>
      <c r="S184" s="93">
        <f>R184+('Economic Model'!K$60/100)</f>
        <v>5.2717606934381376</v>
      </c>
      <c r="T184" s="121"/>
      <c r="U184" s="94"/>
      <c r="V184" s="93">
        <f t="shared" si="55"/>
        <v>0.34478408889878853</v>
      </c>
      <c r="W184" s="93">
        <f t="shared" si="56"/>
        <v>-0.21451704564666585</v>
      </c>
      <c r="X184" s="105"/>
      <c r="Y184" s="120"/>
      <c r="Z184" s="147">
        <f>W184/('Economic Model'!H$14*(1-'Economic Model'!C$25/100))</f>
        <v>-6.5323257218430464E-2</v>
      </c>
      <c r="AA184" s="52"/>
      <c r="AB184" s="52"/>
      <c r="AC184" s="27"/>
      <c r="AD184" s="17">
        <v>1.1326530612244898</v>
      </c>
      <c r="AE184" s="17">
        <f t="shared" si="48"/>
        <v>2.3035204081632652</v>
      </c>
      <c r="AF184" s="17">
        <v>3.436173469387755</v>
      </c>
      <c r="AG184" s="27"/>
      <c r="AH184" s="93">
        <f>AF184+(H184*'Economic Model'!C$30*'Economic Model'!C$34/1000)+('Economic Model'!K$63/100)</f>
        <v>4.3675534693877553</v>
      </c>
      <c r="AI184" s="93">
        <f>AH184+('Economic Model'!K$60/100)</f>
        <v>4.9268546039332097</v>
      </c>
      <c r="AJ184" s="120"/>
      <c r="AK184" s="91">
        <f t="shared" si="57"/>
        <v>0.68969017840371638</v>
      </c>
      <c r="AL184" s="91">
        <f t="shared" si="58"/>
        <v>0.130389043858262</v>
      </c>
      <c r="AM184" s="91">
        <f t="shared" si="59"/>
        <v>-0.21451704564666585</v>
      </c>
      <c r="AN184" s="91">
        <f t="shared" si="60"/>
        <v>0.34490608950492874</v>
      </c>
      <c r="AO184" s="264"/>
    </row>
    <row r="185" spans="1:41" x14ac:dyDescent="0.2">
      <c r="A185" s="182">
        <v>43709</v>
      </c>
      <c r="B185" s="52"/>
      <c r="C185" s="53"/>
      <c r="D185" s="118">
        <f>'Returns per Gal.'!C185</f>
        <v>1.3025000154972077</v>
      </c>
      <c r="E185" s="119">
        <f>'Returns per Gal.'!D185</f>
        <v>130.72499999999999</v>
      </c>
      <c r="F185" s="316">
        <f>'Returns per Gal.'!E185</f>
        <v>0.24179999999999999</v>
      </c>
      <c r="G185" s="118">
        <f>'Returns per Gal.'!F185</f>
        <v>3.6517812460660934</v>
      </c>
      <c r="H185" s="118">
        <f>'Returns per Gal.'!G185</f>
        <v>4.0199999999999996</v>
      </c>
      <c r="I185" s="297"/>
      <c r="J185" s="27"/>
      <c r="K185" s="93">
        <f>D185*'Economic Model'!C$30</f>
        <v>3.7121250441670424</v>
      </c>
      <c r="L185" s="93">
        <f>E185/2000*'Economic Model'!C$32</f>
        <v>1.0719449999999999</v>
      </c>
      <c r="M185" s="319">
        <f>F185*'Economic Model'!C$33</f>
        <v>0.15717</v>
      </c>
      <c r="N185" s="93">
        <f t="shared" si="53"/>
        <v>4.9412400441670421</v>
      </c>
      <c r="O185" s="93">
        <f t="shared" si="54"/>
        <v>3.4129389096215883</v>
      </c>
      <c r="P185" s="105"/>
      <c r="Q185" s="94"/>
      <c r="R185" s="93">
        <f>G185+(H185*'Economic Model'!C$30*'Economic Model'!C$34/1000)+('Economic Model'!K$63/100)</f>
        <v>4.6207812460660929</v>
      </c>
      <c r="S185" s="93">
        <f>R185+('Economic Model'!K$60/100)</f>
        <v>5.1800823806115472</v>
      </c>
      <c r="T185" s="121"/>
      <c r="U185" s="94"/>
      <c r="V185" s="93">
        <f t="shared" si="55"/>
        <v>0.32045879810094924</v>
      </c>
      <c r="W185" s="93">
        <f t="shared" si="56"/>
        <v>-0.23884233644450514</v>
      </c>
      <c r="X185" s="105"/>
      <c r="Y185" s="120"/>
      <c r="Z185" s="147">
        <f>W185/('Economic Model'!H$14*(1-'Economic Model'!C$25/100))</f>
        <v>-7.2730627681277749E-2</v>
      </c>
      <c r="AA185" s="52"/>
      <c r="AB185" s="52"/>
      <c r="AC185" s="27"/>
      <c r="AD185" s="17">
        <v>1.106060606060606</v>
      </c>
      <c r="AE185" s="17">
        <f t="shared" si="48"/>
        <v>2.4872727272727273</v>
      </c>
      <c r="AF185" s="17">
        <v>3.5933333333333333</v>
      </c>
      <c r="AG185" s="27"/>
      <c r="AH185" s="93">
        <f>AF185+(H185*'Economic Model'!C$30*'Economic Model'!C$34/1000)+('Economic Model'!K$63/100)</f>
        <v>4.5623333333333331</v>
      </c>
      <c r="AI185" s="93">
        <f>AH185+('Economic Model'!K$60/100)</f>
        <v>5.1216344678787875</v>
      </c>
      <c r="AJ185" s="120"/>
      <c r="AK185" s="91">
        <f t="shared" si="57"/>
        <v>0.37890671083370897</v>
      </c>
      <c r="AL185" s="91">
        <f t="shared" si="58"/>
        <v>-0.18039442371174541</v>
      </c>
      <c r="AM185" s="91">
        <f t="shared" si="59"/>
        <v>-0.23884233644450514</v>
      </c>
      <c r="AN185" s="91">
        <f t="shared" si="60"/>
        <v>5.8447912732760177E-2</v>
      </c>
      <c r="AO185" s="52"/>
    </row>
    <row r="186" spans="1:41" x14ac:dyDescent="0.2">
      <c r="A186" s="182">
        <v>43739</v>
      </c>
      <c r="B186" s="52"/>
      <c r="C186" s="53"/>
      <c r="D186" s="118">
        <f>'Returns per Gal.'!C186</f>
        <v>1.4821428599811735</v>
      </c>
      <c r="E186" s="119">
        <f>'Returns per Gal.'!D186</f>
        <v>139.82142857142858</v>
      </c>
      <c r="F186" s="316">
        <f>'Returns per Gal.'!E186</f>
        <v>0.2364</v>
      </c>
      <c r="G186" s="118">
        <f>'Returns per Gal.'!F186</f>
        <v>3.8441250085830689</v>
      </c>
      <c r="H186" s="118">
        <f>'Returns per Gal.'!G186</f>
        <v>4.09</v>
      </c>
      <c r="I186" s="297"/>
      <c r="J186" s="27"/>
      <c r="K186" s="93">
        <f>D186*'Economic Model'!C$30</f>
        <v>4.2241071509463444</v>
      </c>
      <c r="L186" s="93">
        <f>E186/2000*'Economic Model'!C$32</f>
        <v>1.1465357142857144</v>
      </c>
      <c r="M186" s="319">
        <f>F186*'Economic Model'!C$33</f>
        <v>0.15365999999999999</v>
      </c>
      <c r="N186" s="93">
        <f t="shared" si="53"/>
        <v>5.5243028652320589</v>
      </c>
      <c r="O186" s="93">
        <f t="shared" si="54"/>
        <v>3.9900167306866048</v>
      </c>
      <c r="P186" s="105"/>
      <c r="Q186" s="94"/>
      <c r="R186" s="93">
        <f>G186+(H186*'Economic Model'!C$30*'Economic Model'!C$34/1000)+('Economic Model'!K$63/100)</f>
        <v>4.8191100085830687</v>
      </c>
      <c r="S186" s="93">
        <f>R186+('Economic Model'!K$60/100)</f>
        <v>5.3784111431285231</v>
      </c>
      <c r="T186" s="121"/>
      <c r="U186" s="94"/>
      <c r="V186" s="93">
        <f t="shared" si="55"/>
        <v>0.70519285664899023</v>
      </c>
      <c r="W186" s="93">
        <f t="shared" si="56"/>
        <v>0.14589172210353585</v>
      </c>
      <c r="X186" s="105"/>
      <c r="Y186" s="120"/>
      <c r="Z186" s="147">
        <f>W186/('Economic Model'!H$14*(1-'Economic Model'!C$25/100))</f>
        <v>4.4425945081801345E-2</v>
      </c>
      <c r="AA186" s="52"/>
      <c r="AB186" s="52"/>
      <c r="AC186" s="27"/>
      <c r="AD186" s="17">
        <v>1.106060606060606</v>
      </c>
      <c r="AE186" s="17">
        <f t="shared" si="48"/>
        <v>2.4872727272727273</v>
      </c>
      <c r="AF186" s="17">
        <v>3.5933333333333333</v>
      </c>
      <c r="AG186" s="27"/>
      <c r="AH186" s="93">
        <f>AF186+(H186*'Economic Model'!C$30*'Economic Model'!C$34/1000)+('Economic Model'!K$63/100)</f>
        <v>4.568318333333333</v>
      </c>
      <c r="AI186" s="93">
        <f>AH186+('Economic Model'!K$60/100)</f>
        <v>5.1276194678787874</v>
      </c>
      <c r="AJ186" s="120"/>
      <c r="AK186" s="91">
        <f t="shared" si="57"/>
        <v>0.9559845318987259</v>
      </c>
      <c r="AL186" s="91">
        <f t="shared" si="58"/>
        <v>0.39668339735327152</v>
      </c>
      <c r="AM186" s="91">
        <f t="shared" si="59"/>
        <v>0.14589172210353585</v>
      </c>
      <c r="AN186" s="91">
        <f t="shared" si="60"/>
        <v>0.25079167524973567</v>
      </c>
      <c r="AO186" s="52"/>
    </row>
    <row r="187" spans="1:41" x14ac:dyDescent="0.2">
      <c r="A187" s="182">
        <v>43770</v>
      </c>
      <c r="B187" s="52"/>
      <c r="C187" s="53"/>
      <c r="D187" s="118">
        <f>'Returns per Gal.'!C187</f>
        <v>1.4331578869568673</v>
      </c>
      <c r="E187" s="119">
        <f>'Returns per Gal.'!D187</f>
        <v>138.44736842105263</v>
      </c>
      <c r="F187" s="316">
        <f>'Returns per Gal.'!E187</f>
        <v>0.23070000000000002</v>
      </c>
      <c r="G187" s="118">
        <f>'Returns per Gal.'!F187</f>
        <v>3.6492434172881274</v>
      </c>
      <c r="H187" s="118">
        <f>'Returns per Gal.'!G187</f>
        <v>4.12</v>
      </c>
      <c r="I187" s="297"/>
      <c r="J187" s="27"/>
      <c r="K187" s="93">
        <f>D187*'Economic Model'!C$30</f>
        <v>4.0844999778270719</v>
      </c>
      <c r="L187" s="93">
        <f>E187/2000*'Economic Model'!C$32</f>
        <v>1.1352684210526314</v>
      </c>
      <c r="M187" s="319">
        <f>F187*'Economic Model'!C$33</f>
        <v>0.149955</v>
      </c>
      <c r="N187" s="93">
        <f t="shared" si="53"/>
        <v>5.3697233988797031</v>
      </c>
      <c r="O187" s="93">
        <f t="shared" si="54"/>
        <v>3.8328722643342492</v>
      </c>
      <c r="P187" s="105"/>
      <c r="Q187" s="94"/>
      <c r="R187" s="93">
        <f>G187+(H187*'Economic Model'!C$30*'Economic Model'!C$34/1000)+('Economic Model'!K$63/100)</f>
        <v>4.6267934172881269</v>
      </c>
      <c r="S187" s="93">
        <f>R187+('Economic Model'!K$60/100)</f>
        <v>5.1860945518335813</v>
      </c>
      <c r="T187" s="121"/>
      <c r="U187" s="94"/>
      <c r="V187" s="93">
        <f t="shared" si="55"/>
        <v>0.74292998159157619</v>
      </c>
      <c r="W187" s="93">
        <f t="shared" si="56"/>
        <v>0.18362884704612181</v>
      </c>
      <c r="X187" s="105"/>
      <c r="Y187" s="120"/>
      <c r="Z187" s="147">
        <f>W187/('Economic Model'!H$14*(1-'Economic Model'!C$25/100))</f>
        <v>5.5917395152248951E-2</v>
      </c>
      <c r="AA187" s="52"/>
      <c r="AB187" s="52"/>
      <c r="AC187" s="27"/>
      <c r="AD187" s="17">
        <v>1.106060606060606</v>
      </c>
      <c r="AE187" s="17">
        <f t="shared" si="48"/>
        <v>2.4872727272727273</v>
      </c>
      <c r="AF187" s="17">
        <v>3.5933333333333333</v>
      </c>
      <c r="AG187" s="27"/>
      <c r="AH187" s="93">
        <f>AF187+(H187*'Economic Model'!C$30*'Economic Model'!C$34/1000)+('Economic Model'!K$63/100)</f>
        <v>4.5708833333333336</v>
      </c>
      <c r="AI187" s="93">
        <f>AH187+('Economic Model'!K$60/100)</f>
        <v>5.130184467878788</v>
      </c>
      <c r="AJ187" s="120"/>
      <c r="AK187" s="91">
        <f t="shared" si="57"/>
        <v>0.79884006554636944</v>
      </c>
      <c r="AL187" s="91">
        <f t="shared" si="58"/>
        <v>0.23953893100091506</v>
      </c>
      <c r="AM187" s="91">
        <f t="shared" si="59"/>
        <v>0.18362884704612181</v>
      </c>
      <c r="AN187" s="91">
        <f t="shared" si="60"/>
        <v>5.5910083954794132E-2</v>
      </c>
      <c r="AO187" s="52"/>
    </row>
    <row r="188" spans="1:41" x14ac:dyDescent="0.2">
      <c r="A188" s="68">
        <v>43800</v>
      </c>
      <c r="B188" s="64"/>
      <c r="C188" s="56"/>
      <c r="D188" s="128">
        <f>'Returns per Gal.'!C188</f>
        <v>1.3645000159740448</v>
      </c>
      <c r="E188" s="129">
        <f>'Returns per Gal.'!D188</f>
        <v>141.13749999999999</v>
      </c>
      <c r="F188" s="317">
        <f>'Returns per Gal.'!E188</f>
        <v>0.23100000000000001</v>
      </c>
      <c r="G188" s="128">
        <f>'Returns per Gal.'!F188</f>
        <v>3.7299374938011169</v>
      </c>
      <c r="H188" s="128">
        <f>'Returns per Gal.'!G188</f>
        <v>4.22</v>
      </c>
      <c r="I188" s="304"/>
      <c r="J188" s="29"/>
      <c r="K188" s="97">
        <f>D188*'Economic Model'!C$30</f>
        <v>3.8888250455260276</v>
      </c>
      <c r="L188" s="97">
        <f>E188/2000*'Economic Model'!C$32</f>
        <v>1.1573274999999998</v>
      </c>
      <c r="M188" s="320">
        <f>F188*'Economic Model'!C$33</f>
        <v>0.15015000000000001</v>
      </c>
      <c r="N188" s="97">
        <f t="shared" si="53"/>
        <v>5.1963025455260272</v>
      </c>
      <c r="O188" s="97">
        <f t="shared" si="54"/>
        <v>3.6509014109805733</v>
      </c>
      <c r="P188" s="107"/>
      <c r="Q188" s="98"/>
      <c r="R188" s="97">
        <f>G188+(H188*'Economic Model'!C$30*'Economic Model'!C$34/1000)+('Economic Model'!K$63/100)</f>
        <v>4.7160374938011165</v>
      </c>
      <c r="S188" s="97">
        <f>R188+('Economic Model'!K$60/100)</f>
        <v>5.2753386283465709</v>
      </c>
      <c r="T188" s="131"/>
      <c r="U188" s="98"/>
      <c r="V188" s="97">
        <f t="shared" si="55"/>
        <v>0.48026505172491074</v>
      </c>
      <c r="W188" s="97">
        <f t="shared" si="56"/>
        <v>-7.9036082820543641E-2</v>
      </c>
      <c r="X188" s="107"/>
      <c r="Y188" s="130"/>
      <c r="Z188" s="148">
        <f>W188/('Economic Model'!H$14*(1-'Economic Model'!C$25/100))</f>
        <v>-2.4067525040072684E-2</v>
      </c>
      <c r="AA188" s="64"/>
      <c r="AB188" s="64"/>
      <c r="AC188" s="29"/>
      <c r="AD188" s="65">
        <v>1.106060606060606</v>
      </c>
      <c r="AE188" s="65">
        <f t="shared" si="48"/>
        <v>2.4872727272727273</v>
      </c>
      <c r="AF188" s="65">
        <v>3.5933333333333333</v>
      </c>
      <c r="AG188" s="29"/>
      <c r="AH188" s="97">
        <f>AF188+(H188*'Economic Model'!C$30*'Economic Model'!C$34/1000)+('Economic Model'!K$63/100)</f>
        <v>4.5794333333333332</v>
      </c>
      <c r="AI188" s="97">
        <f>AH188+('Economic Model'!K$60/100)</f>
        <v>5.1387344678787876</v>
      </c>
      <c r="AJ188" s="130"/>
      <c r="AK188" s="92">
        <f t="shared" si="57"/>
        <v>0.61686921219269397</v>
      </c>
      <c r="AL188" s="92">
        <f t="shared" si="58"/>
        <v>5.7568077647239591E-2</v>
      </c>
      <c r="AM188" s="92">
        <f t="shared" si="59"/>
        <v>-7.9036082820543641E-2</v>
      </c>
      <c r="AN188" s="92">
        <f t="shared" si="60"/>
        <v>0.13660416046778368</v>
      </c>
      <c r="AO188" s="64"/>
    </row>
    <row r="189" spans="1:41" x14ac:dyDescent="0.2">
      <c r="A189" s="292">
        <v>43831</v>
      </c>
      <c r="B189" s="62"/>
      <c r="C189" s="287"/>
      <c r="D189" s="141">
        <f>'Returns per Gal.'!C189</f>
        <v>1.244523789201464</v>
      </c>
      <c r="E189" s="142">
        <f>'Returns per Gal.'!D189</f>
        <v>141.91666666666666</v>
      </c>
      <c r="F189" s="318">
        <f>'Returns per Gal.'!E189</f>
        <v>0.25440000000000002</v>
      </c>
      <c r="G189" s="141">
        <f>'Returns per Gal.'!F189</f>
        <v>3.8147618884132024</v>
      </c>
      <c r="H189" s="141">
        <f>'Returns per Gal.'!G189</f>
        <v>4.8</v>
      </c>
      <c r="I189" s="295"/>
      <c r="J189" s="183"/>
      <c r="K189" s="101">
        <f>D189*'Economic Model'!C$30</f>
        <v>3.5468927992241723</v>
      </c>
      <c r="L189" s="101">
        <f>E189/2000*'Economic Model'!C$32</f>
        <v>1.1637166666666665</v>
      </c>
      <c r="M189" s="321">
        <f>F189*'Economic Model'!C$33</f>
        <v>0.16536000000000001</v>
      </c>
      <c r="N189" s="101">
        <f t="shared" si="53"/>
        <v>4.8759694658908384</v>
      </c>
      <c r="O189" s="101">
        <f t="shared" si="54"/>
        <v>3.2809783313453842</v>
      </c>
      <c r="P189" s="116"/>
      <c r="Q189" s="102"/>
      <c r="R189" s="101">
        <f>G189+(H189*'Economic Model'!C$30*'Economic Model'!C$34/1000)+('Economic Model'!K$63/100)</f>
        <v>4.8504518884132022</v>
      </c>
      <c r="S189" s="101">
        <f>R189+('Economic Model'!K$60/100)</f>
        <v>5.4097530229586566</v>
      </c>
      <c r="T189" s="144"/>
      <c r="U189" s="102"/>
      <c r="V189" s="101">
        <f t="shared" si="55"/>
        <v>2.5517577477636166E-2</v>
      </c>
      <c r="W189" s="101">
        <f t="shared" si="56"/>
        <v>-0.53378355706781822</v>
      </c>
      <c r="X189" s="116"/>
      <c r="Y189" s="145"/>
      <c r="Z189" s="149">
        <f>W189/('Economic Model'!H$14*(1-'Economic Model'!C$25/100))</f>
        <v>-0.16254410222832469</v>
      </c>
      <c r="AA189" s="62"/>
      <c r="AB189" s="62"/>
      <c r="AC189" s="183"/>
      <c r="AD189" s="288">
        <v>1.106060606060606</v>
      </c>
      <c r="AE189" s="288">
        <f t="shared" si="48"/>
        <v>2.4872727272727273</v>
      </c>
      <c r="AF189" s="288">
        <v>3.5933333333333333</v>
      </c>
      <c r="AG189" s="183"/>
      <c r="AH189" s="101">
        <f>AF189+(H189*'Economic Model'!C$30*'Economic Model'!C$34/1000)+('Economic Model'!K$63/100)</f>
        <v>4.6290233333333326</v>
      </c>
      <c r="AI189" s="101">
        <f>AH189+('Economic Model'!K$60/100)</f>
        <v>5.188324467878787</v>
      </c>
      <c r="AJ189" s="145"/>
      <c r="AK189" s="289">
        <f t="shared" si="57"/>
        <v>0.24694613255750575</v>
      </c>
      <c r="AL189" s="289">
        <f t="shared" si="58"/>
        <v>-0.31235500198794863</v>
      </c>
      <c r="AM189" s="289">
        <f t="shared" si="59"/>
        <v>-0.53378355706781822</v>
      </c>
      <c r="AN189" s="289">
        <f t="shared" si="60"/>
        <v>0.22142855507986914</v>
      </c>
      <c r="AO189" s="290"/>
    </row>
    <row r="190" spans="1:41" x14ac:dyDescent="0.2">
      <c r="A190" s="182">
        <v>43862</v>
      </c>
      <c r="B190" s="52"/>
      <c r="C190" s="53"/>
      <c r="D190" s="118">
        <f>'Returns per Gal.'!C190</f>
        <v>1.2384210304210062</v>
      </c>
      <c r="E190" s="119">
        <f>'Returns per Gal.'!D190</f>
        <v>143</v>
      </c>
      <c r="F190" s="316">
        <f>'Returns per Gal.'!E190</f>
        <v>0.27399999999999997</v>
      </c>
      <c r="G190" s="118">
        <f>'Returns per Gal.'!F190</f>
        <v>3.7578947364656554</v>
      </c>
      <c r="H190" s="118">
        <f>'Returns per Gal.'!G190</f>
        <v>4.13</v>
      </c>
      <c r="I190" s="296">
        <v>7.44</v>
      </c>
      <c r="J190" s="27"/>
      <c r="K190" s="93">
        <f>D190*'Economic Model'!C$30</f>
        <v>3.5294999366998678</v>
      </c>
      <c r="L190" s="93">
        <f>E190/2000*'Economic Model'!C$32</f>
        <v>1.1725999999999999</v>
      </c>
      <c r="M190" s="319">
        <f>F190*'Economic Model'!C$33</f>
        <v>0.17809999999999998</v>
      </c>
      <c r="N190" s="93">
        <f t="shared" si="53"/>
        <v>4.8801999366998672</v>
      </c>
      <c r="O190" s="93">
        <f t="shared" si="54"/>
        <v>3.3424938021544128</v>
      </c>
      <c r="P190" s="105"/>
      <c r="Q190" s="94"/>
      <c r="R190" s="93">
        <f>G190+(H190*'Economic Model'!C$30*'Economic Model'!C$34/1000)+('Economic Model'!K$63/100)</f>
        <v>4.7362997364656554</v>
      </c>
      <c r="S190" s="93">
        <f>R190+('Economic Model'!K$60/100)</f>
        <v>5.2956008710111098</v>
      </c>
      <c r="T190" s="121"/>
      <c r="U190" s="94"/>
      <c r="V190" s="93">
        <f t="shared" si="55"/>
        <v>0.14390020023421179</v>
      </c>
      <c r="W190" s="93">
        <f t="shared" si="56"/>
        <v>-0.41540093431124259</v>
      </c>
      <c r="X190" s="105"/>
      <c r="Y190" s="120"/>
      <c r="Z190" s="147">
        <f>W190/('Economic Model'!H$14*(1-'Economic Model'!C$25/100))</f>
        <v>-0.12649503911910409</v>
      </c>
      <c r="AA190" s="52"/>
      <c r="AB190" s="52"/>
      <c r="AC190" s="27"/>
      <c r="AD190" s="17">
        <v>1.106060606060606</v>
      </c>
      <c r="AE190" s="17">
        <f t="shared" si="48"/>
        <v>2.4872727272727273</v>
      </c>
      <c r="AF190" s="17">
        <v>3.5933333333333333</v>
      </c>
      <c r="AG190" s="27"/>
      <c r="AH190" s="93">
        <f>AF190+(H190*'Economic Model'!C$30*'Economic Model'!C$34/1000)+('Economic Model'!K$63/100)</f>
        <v>4.5717383333333332</v>
      </c>
      <c r="AI190" s="93">
        <f>AH190+('Economic Model'!K$60/100)</f>
        <v>5.1310394678787876</v>
      </c>
      <c r="AJ190" s="120"/>
      <c r="AK190" s="91">
        <f t="shared" si="57"/>
        <v>0.30846160336653394</v>
      </c>
      <c r="AL190" s="91">
        <f t="shared" si="58"/>
        <v>-0.25083953117892044</v>
      </c>
      <c r="AM190" s="91">
        <f t="shared" si="59"/>
        <v>-0.41540093431124259</v>
      </c>
      <c r="AN190" s="91">
        <f t="shared" si="60"/>
        <v>0.16456140313232215</v>
      </c>
      <c r="AO190" s="264"/>
    </row>
    <row r="191" spans="1:41" x14ac:dyDescent="0.2">
      <c r="A191" s="182">
        <v>43891</v>
      </c>
      <c r="B191" s="52"/>
      <c r="C191" s="53"/>
      <c r="D191" s="118">
        <f>'Returns per Gal.'!C191</f>
        <v>1.074285707303456</v>
      </c>
      <c r="E191" s="119">
        <f>'Returns per Gal.'!D191</f>
        <v>147.04761904761904</v>
      </c>
      <c r="F191" s="316">
        <f>'Returns per Gal.'!E191</f>
        <v>0.2676</v>
      </c>
      <c r="G191" s="118">
        <f>'Returns per Gal.'!F191</f>
        <v>3.4467613620107822</v>
      </c>
      <c r="H191" s="118">
        <f>'Returns per Gal.'!G191</f>
        <v>4.17</v>
      </c>
      <c r="I191" s="297"/>
      <c r="J191" s="27"/>
      <c r="K191" s="93">
        <f>D191*'Economic Model'!C$30</f>
        <v>3.0617142658148495</v>
      </c>
      <c r="L191" s="93">
        <f>E191/2000*'Economic Model'!C$32</f>
        <v>1.2057904761904761</v>
      </c>
      <c r="M191" s="319">
        <f>F191*'Economic Model'!C$33</f>
        <v>0.17394000000000001</v>
      </c>
      <c r="N191" s="93">
        <f t="shared" si="53"/>
        <v>4.4414447420053254</v>
      </c>
      <c r="O191" s="93">
        <f t="shared" si="54"/>
        <v>2.9003186074598708</v>
      </c>
      <c r="P191" s="105"/>
      <c r="Q191" s="94"/>
      <c r="R191" s="93">
        <f>G191+(H191*'Economic Model'!C$30*'Economic Model'!C$34/1000)+('Economic Model'!K$63/100)</f>
        <v>4.4285863620107824</v>
      </c>
      <c r="S191" s="93">
        <f>R191+('Economic Model'!K$60/100)</f>
        <v>4.9878874965562368</v>
      </c>
      <c r="T191" s="121"/>
      <c r="U191" s="94"/>
      <c r="V191" s="93">
        <f t="shared" si="55"/>
        <v>1.2858379994542979E-2</v>
      </c>
      <c r="W191" s="93">
        <f t="shared" si="56"/>
        <v>-0.5464427545509114</v>
      </c>
      <c r="X191" s="105"/>
      <c r="Y191" s="120"/>
      <c r="Z191" s="147">
        <f>W191/('Economic Model'!H$14*(1-'Economic Model'!C$25/100))</f>
        <v>-0.16639899408959463</v>
      </c>
      <c r="AA191" s="52"/>
      <c r="AB191" s="52"/>
      <c r="AC191" s="27"/>
      <c r="AD191" s="17">
        <v>1.106060606060606</v>
      </c>
      <c r="AE191" s="17">
        <f t="shared" si="48"/>
        <v>2.4872727272727273</v>
      </c>
      <c r="AF191" s="17">
        <v>3.5933333333333333</v>
      </c>
      <c r="AG191" s="27"/>
      <c r="AH191" s="93">
        <f>AF191+(H191*'Economic Model'!C$30*'Economic Model'!C$34/1000)+('Economic Model'!K$63/100)</f>
        <v>4.5751583333333334</v>
      </c>
      <c r="AI191" s="93">
        <f>AH191+('Economic Model'!K$60/100)</f>
        <v>5.1344594678787878</v>
      </c>
      <c r="AJ191" s="120"/>
      <c r="AK191" s="91">
        <f t="shared" si="57"/>
        <v>-0.13371359132800809</v>
      </c>
      <c r="AL191" s="91">
        <f t="shared" si="58"/>
        <v>-0.69301472587346247</v>
      </c>
      <c r="AM191" s="91">
        <f t="shared" si="59"/>
        <v>-0.5464427545509114</v>
      </c>
      <c r="AN191" s="91">
        <f t="shared" si="60"/>
        <v>-0.14657197132255106</v>
      </c>
      <c r="AO191" s="264"/>
    </row>
    <row r="192" spans="1:41" x14ac:dyDescent="0.2">
      <c r="A192" s="182">
        <v>43922</v>
      </c>
      <c r="B192" s="52"/>
      <c r="C192" s="53"/>
      <c r="D192" s="118">
        <f>'Returns per Gal.'!C192</f>
        <v>0.77250001105395227</v>
      </c>
      <c r="E192" s="119">
        <f>'Returns per Gal.'!D192</f>
        <v>192.04545454545453</v>
      </c>
      <c r="F192" s="316">
        <f>'Returns per Gal.'!E192</f>
        <v>0.29609999999999997</v>
      </c>
      <c r="G192" s="118">
        <f>'Returns per Gal.'!F192</f>
        <v>2.9318181845274838</v>
      </c>
      <c r="H192" s="118">
        <f>'Returns per Gal.'!G192</f>
        <v>3.93</v>
      </c>
      <c r="I192" s="297"/>
      <c r="J192" s="27"/>
      <c r="K192" s="93">
        <f>D192*'Economic Model'!C$30</f>
        <v>2.201625031503764</v>
      </c>
      <c r="L192" s="93">
        <f>E192/2000*'Economic Model'!C$32</f>
        <v>1.574772727272727</v>
      </c>
      <c r="M192" s="319">
        <f>F192*'Economic Model'!C$33</f>
        <v>0.192465</v>
      </c>
      <c r="N192" s="93">
        <f t="shared" si="53"/>
        <v>3.9688627587764906</v>
      </c>
      <c r="O192" s="93">
        <f t="shared" si="54"/>
        <v>2.448256624231036</v>
      </c>
      <c r="P192" s="105"/>
      <c r="Q192" s="94"/>
      <c r="R192" s="93">
        <f>G192+(H192*'Economic Model'!C$30*'Economic Model'!C$34/1000)+('Economic Model'!K$63/100)</f>
        <v>3.8931231845274841</v>
      </c>
      <c r="S192" s="93">
        <f>R192+('Economic Model'!K$60/100)</f>
        <v>4.4524243190729385</v>
      </c>
      <c r="T192" s="121"/>
      <c r="U192" s="94"/>
      <c r="V192" s="93">
        <f t="shared" si="55"/>
        <v>7.5739574249006569E-2</v>
      </c>
      <c r="W192" s="93">
        <f t="shared" si="56"/>
        <v>-0.48356156029644781</v>
      </c>
      <c r="X192" s="105"/>
      <c r="Y192" s="120"/>
      <c r="Z192" s="147">
        <f>W192/('Economic Model'!H$14*(1-'Economic Model'!C$25/100))</f>
        <v>-0.14725084474741082</v>
      </c>
      <c r="AA192" s="52"/>
      <c r="AB192" s="52"/>
      <c r="AC192" s="27"/>
      <c r="AD192" s="17">
        <v>1.106060606060606</v>
      </c>
      <c r="AE192" s="17">
        <f t="shared" si="48"/>
        <v>2.4872727272727273</v>
      </c>
      <c r="AF192" s="17">
        <v>3.5933333333333333</v>
      </c>
      <c r="AG192" s="27"/>
      <c r="AH192" s="93">
        <f>AF192+(H192*'Economic Model'!C$30*'Economic Model'!C$34/1000)+('Economic Model'!K$63/100)</f>
        <v>4.5546383333333331</v>
      </c>
      <c r="AI192" s="93">
        <f>AH192+('Economic Model'!K$60/100)</f>
        <v>5.1139394678787875</v>
      </c>
      <c r="AJ192" s="120"/>
      <c r="AK192" s="91">
        <f t="shared" si="57"/>
        <v>-0.58577557455684248</v>
      </c>
      <c r="AL192" s="91">
        <f t="shared" si="58"/>
        <v>-1.1450767091022969</v>
      </c>
      <c r="AM192" s="91">
        <f t="shared" si="59"/>
        <v>-0.48356156029644781</v>
      </c>
      <c r="AN192" s="91">
        <f t="shared" si="60"/>
        <v>-0.6615151488058495</v>
      </c>
      <c r="AO192" s="264"/>
    </row>
    <row r="193" spans="1:41" x14ac:dyDescent="0.2">
      <c r="A193" s="182">
        <v>43952</v>
      </c>
      <c r="B193" s="52"/>
      <c r="C193" s="53"/>
      <c r="D193" s="118">
        <f>'Returns per Gal.'!C193</f>
        <v>0.99650000929832461</v>
      </c>
      <c r="E193" s="119">
        <f>'Returns per Gal.'!D193</f>
        <v>143.33333333333334</v>
      </c>
      <c r="F193" s="316">
        <f>'Returns per Gal.'!E193</f>
        <v>0.28129999999999999</v>
      </c>
      <c r="G193" s="118">
        <f>'Returns per Gal.'!F193</f>
        <v>2.9458437502384185</v>
      </c>
      <c r="H193" s="118">
        <f>'Returns per Gal.'!G193</f>
        <v>4.12</v>
      </c>
      <c r="I193" s="297"/>
      <c r="J193" s="27"/>
      <c r="K193" s="93">
        <f>D193*'Economic Model'!C$30</f>
        <v>2.8400250265002254</v>
      </c>
      <c r="L193" s="93">
        <f>E193/2000*'Economic Model'!C$32</f>
        <v>1.1753333333333333</v>
      </c>
      <c r="M193" s="319">
        <f>F193*'Economic Model'!C$33</f>
        <v>0.18284500000000001</v>
      </c>
      <c r="N193" s="93">
        <f t="shared" si="53"/>
        <v>4.1982033598335589</v>
      </c>
      <c r="O193" s="93">
        <f t="shared" si="54"/>
        <v>2.6613522252881041</v>
      </c>
      <c r="P193" s="105"/>
      <c r="Q193" s="94"/>
      <c r="R193" s="93">
        <f>G193+(H193*'Economic Model'!C$30*'Economic Model'!C$34/1000)+('Economic Model'!K$63/100)</f>
        <v>3.9233937502384189</v>
      </c>
      <c r="S193" s="93">
        <f>R193+('Economic Model'!K$60/100)</f>
        <v>4.4826948847838732</v>
      </c>
      <c r="T193" s="121"/>
      <c r="U193" s="94"/>
      <c r="V193" s="93">
        <f t="shared" si="55"/>
        <v>0.27480960959514</v>
      </c>
      <c r="W193" s="93">
        <f t="shared" si="56"/>
        <v>-0.28449152495031438</v>
      </c>
      <c r="X193" s="105"/>
      <c r="Y193" s="120"/>
      <c r="Z193" s="147">
        <f>W193/('Economic Model'!H$14*(1-'Economic Model'!C$25/100))</f>
        <v>-8.6631404999874692E-2</v>
      </c>
      <c r="AA193" s="52"/>
      <c r="AB193" s="52"/>
      <c r="AC193" s="27"/>
      <c r="AD193" s="17">
        <v>1.106060606060606</v>
      </c>
      <c r="AE193" s="17">
        <f t="shared" si="48"/>
        <v>2.4872727272727273</v>
      </c>
      <c r="AF193" s="17">
        <v>3.5933333333333333</v>
      </c>
      <c r="AG193" s="27"/>
      <c r="AH193" s="93">
        <f>AF193+(H193*'Economic Model'!C$30*'Economic Model'!C$34/1000)+('Economic Model'!K$63/100)</f>
        <v>4.5708833333333336</v>
      </c>
      <c r="AI193" s="93">
        <f>AH193+('Economic Model'!K$60/100)</f>
        <v>5.130184467878788</v>
      </c>
      <c r="AJ193" s="120"/>
      <c r="AK193" s="91">
        <f t="shared" si="57"/>
        <v>-0.37267997349977477</v>
      </c>
      <c r="AL193" s="91">
        <f t="shared" si="58"/>
        <v>-0.93198110804522916</v>
      </c>
      <c r="AM193" s="91">
        <f t="shared" si="59"/>
        <v>-0.28449152495031438</v>
      </c>
      <c r="AN193" s="91">
        <f t="shared" si="60"/>
        <v>-0.64748958309491478</v>
      </c>
      <c r="AO193" s="264"/>
    </row>
    <row r="194" spans="1:41" x14ac:dyDescent="0.2">
      <c r="A194" s="182">
        <v>43983</v>
      </c>
      <c r="B194" s="52"/>
      <c r="C194" s="53"/>
      <c r="D194" s="118">
        <f>'Returns per Gal.'!C194</f>
        <v>1.1869047639483497</v>
      </c>
      <c r="E194" s="119">
        <f>'Returns per Gal.'!D194</f>
        <v>127.48809523809524</v>
      </c>
      <c r="F194" s="316">
        <f>'Returns per Gal.'!E194</f>
        <v>0.2482</v>
      </c>
      <c r="G194" s="118">
        <f>'Returns per Gal.'!F194</f>
        <v>3.1045238082749504</v>
      </c>
      <c r="H194" s="118">
        <f>'Returns per Gal.'!G194</f>
        <v>3.58</v>
      </c>
      <c r="I194" s="297"/>
      <c r="J194" s="27"/>
      <c r="K194" s="93">
        <f>D194*'Economic Model'!C$30</f>
        <v>3.3826785772527965</v>
      </c>
      <c r="L194" s="93">
        <f>E194/2000*'Economic Model'!C$32</f>
        <v>1.0454023809523809</v>
      </c>
      <c r="M194" s="319">
        <f>F194*'Economic Model'!C$33</f>
        <v>0.16133</v>
      </c>
      <c r="N194" s="93">
        <f t="shared" si="53"/>
        <v>4.5894109582051774</v>
      </c>
      <c r="O194" s="93">
        <f t="shared" si="54"/>
        <v>3.0987298236597232</v>
      </c>
      <c r="P194" s="105"/>
      <c r="Q194" s="94"/>
      <c r="R194" s="93">
        <f>G194+(H194*'Economic Model'!C$30*'Economic Model'!C$34/1000)+('Economic Model'!K$63/100)</f>
        <v>4.0359038082749503</v>
      </c>
      <c r="S194" s="93">
        <f>R194+('Economic Model'!K$60/100)</f>
        <v>4.5952049428204047</v>
      </c>
      <c r="T194" s="121"/>
      <c r="U194" s="94"/>
      <c r="V194" s="93">
        <f t="shared" si="55"/>
        <v>0.55350714993022709</v>
      </c>
      <c r="W194" s="93">
        <f t="shared" si="56"/>
        <v>-5.7939846152272878E-3</v>
      </c>
      <c r="X194" s="105"/>
      <c r="Y194" s="120"/>
      <c r="Z194" s="147">
        <f>W194/('Economic Model'!H$14*(1-'Economic Model'!C$25/100))</f>
        <v>-1.7643443960323978E-3</v>
      </c>
      <c r="AA194" s="52"/>
      <c r="AB194" s="52"/>
      <c r="AC194" s="27"/>
      <c r="AD194" s="17">
        <v>1.106060606060606</v>
      </c>
      <c r="AE194" s="17">
        <f t="shared" si="48"/>
        <v>2.4872727272727273</v>
      </c>
      <c r="AF194" s="17">
        <v>3.5933333333333333</v>
      </c>
      <c r="AG194" s="27"/>
      <c r="AH194" s="93">
        <f>AF194+(H194*'Economic Model'!C$30*'Economic Model'!C$34/1000)+('Economic Model'!K$63/100)</f>
        <v>4.5247133333333336</v>
      </c>
      <c r="AI194" s="93">
        <f>AH194+('Economic Model'!K$60/100)</f>
        <v>5.084014467878788</v>
      </c>
      <c r="AJ194" s="120"/>
      <c r="AK194" s="91">
        <f t="shared" si="57"/>
        <v>6.4697624871843828E-2</v>
      </c>
      <c r="AL194" s="91">
        <f t="shared" si="58"/>
        <v>-0.49460350967361055</v>
      </c>
      <c r="AM194" s="91">
        <f t="shared" si="59"/>
        <v>-5.7939846152272878E-3</v>
      </c>
      <c r="AN194" s="91">
        <f t="shared" si="60"/>
        <v>-0.48880952505838282</v>
      </c>
      <c r="AO194" s="264"/>
    </row>
    <row r="195" spans="1:41" x14ac:dyDescent="0.2">
      <c r="A195" s="182">
        <v>44013</v>
      </c>
      <c r="B195" s="52"/>
      <c r="C195" s="53"/>
      <c r="D195" s="118">
        <f>'Returns per Gal.'!C195</f>
        <v>1.2840908847071908</v>
      </c>
      <c r="E195" s="119">
        <f>'Returns per Gal.'!D195</f>
        <v>117.82954545454545</v>
      </c>
      <c r="F195" s="316">
        <f>'Returns per Gal.'!E195</f>
        <v>0.23260000000000003</v>
      </c>
      <c r="G195" s="118">
        <f>'Returns per Gal.'!F195</f>
        <v>3.1061363734982232</v>
      </c>
      <c r="H195" s="118">
        <f>'Returns per Gal.'!G195</f>
        <v>3.63</v>
      </c>
      <c r="I195" s="297"/>
      <c r="J195" s="27"/>
      <c r="K195" s="93">
        <f>D195*'Economic Model'!C$30</f>
        <v>3.6596590214154938</v>
      </c>
      <c r="L195" s="93">
        <f>E195/2000*'Economic Model'!C$32</f>
        <v>0.96620227272727266</v>
      </c>
      <c r="M195" s="319">
        <f>F195*'Economic Model'!C$33</f>
        <v>0.15119000000000002</v>
      </c>
      <c r="N195" s="93">
        <f t="shared" si="53"/>
        <v>4.7770512941427663</v>
      </c>
      <c r="O195" s="93">
        <f t="shared" si="54"/>
        <v>3.2820951595973118</v>
      </c>
      <c r="P195" s="105"/>
      <c r="Q195" s="94"/>
      <c r="R195" s="93">
        <f>G195+(H195*'Economic Model'!C$30*'Economic Model'!C$34/1000)+('Economic Model'!K$63/100)</f>
        <v>4.0417913734982234</v>
      </c>
      <c r="S195" s="93">
        <f>R195+('Economic Model'!K$60/100)</f>
        <v>4.6010925080436778</v>
      </c>
      <c r="T195" s="121"/>
      <c r="U195" s="94"/>
      <c r="V195" s="93">
        <f t="shared" si="55"/>
        <v>0.73525992064454293</v>
      </c>
      <c r="W195" s="93">
        <f t="shared" si="56"/>
        <v>0.17595878609908855</v>
      </c>
      <c r="X195" s="105"/>
      <c r="Y195" s="120"/>
      <c r="Z195" s="147">
        <f>W195/('Economic Model'!H$14*(1-'Economic Model'!C$25/100))</f>
        <v>5.3581760878460977E-2</v>
      </c>
      <c r="AA195" s="52"/>
      <c r="AB195" s="52"/>
      <c r="AC195" s="27"/>
      <c r="AD195" s="17">
        <v>1.106060606060606</v>
      </c>
      <c r="AE195" s="17">
        <f t="shared" si="48"/>
        <v>2.4872727272727273</v>
      </c>
      <c r="AF195" s="17">
        <v>3.5933333333333333</v>
      </c>
      <c r="AG195" s="27"/>
      <c r="AH195" s="93">
        <f>AF195+(H195*'Economic Model'!C$30*'Economic Model'!C$34/1000)+('Economic Model'!K$63/100)</f>
        <v>4.5289883333333334</v>
      </c>
      <c r="AI195" s="93">
        <f>AH195+('Economic Model'!K$60/100)</f>
        <v>5.0882894678787878</v>
      </c>
      <c r="AJ195" s="120"/>
      <c r="AK195" s="91">
        <f t="shared" si="57"/>
        <v>0.24806296080943291</v>
      </c>
      <c r="AL195" s="91">
        <f t="shared" si="58"/>
        <v>-0.31123817373602147</v>
      </c>
      <c r="AM195" s="91">
        <f t="shared" si="59"/>
        <v>0.17595878609908855</v>
      </c>
      <c r="AN195" s="91">
        <f t="shared" si="60"/>
        <v>-0.48719695983511002</v>
      </c>
      <c r="AO195" s="264"/>
    </row>
    <row r="196" spans="1:41" x14ac:dyDescent="0.2">
      <c r="A196" s="182">
        <v>44044</v>
      </c>
      <c r="B196" s="52"/>
      <c r="C196" s="53"/>
      <c r="D196" s="118">
        <f>'Returns per Gal.'!C196</f>
        <v>1.1823809544245403</v>
      </c>
      <c r="E196" s="119">
        <f>'Returns per Gal.'!D196</f>
        <v>121.94047619047619</v>
      </c>
      <c r="F196" s="316">
        <f>'Returns per Gal.'!E196</f>
        <v>0.2432</v>
      </c>
      <c r="G196" s="118">
        <f>'Returns per Gal.'!F196</f>
        <v>3.0920833405994235</v>
      </c>
      <c r="H196" s="118">
        <f>'Returns per Gal.'!G196</f>
        <v>4.16</v>
      </c>
      <c r="I196" s="297"/>
      <c r="J196" s="27"/>
      <c r="K196" s="93">
        <f>D196*'Economic Model'!C$30</f>
        <v>3.3697857201099399</v>
      </c>
      <c r="L196" s="93">
        <f>E196/2000*'Economic Model'!C$32</f>
        <v>0.99991190476190472</v>
      </c>
      <c r="M196" s="319">
        <f>F196*'Economic Model'!C$33</f>
        <v>0.15808</v>
      </c>
      <c r="N196" s="93">
        <f t="shared" si="53"/>
        <v>4.5277776248718444</v>
      </c>
      <c r="O196" s="93">
        <f t="shared" si="54"/>
        <v>2.9875064903263904</v>
      </c>
      <c r="P196" s="105"/>
      <c r="Q196" s="94"/>
      <c r="R196" s="93">
        <f>G196+(H196*'Economic Model'!C$30*'Economic Model'!C$34/1000)+('Economic Model'!K$63/100)</f>
        <v>4.0730533405994231</v>
      </c>
      <c r="S196" s="93">
        <f>R196+('Economic Model'!K$60/100)</f>
        <v>4.6323544751448775</v>
      </c>
      <c r="T196" s="121"/>
      <c r="U196" s="94"/>
      <c r="V196" s="93">
        <f t="shared" si="55"/>
        <v>0.45472428427242129</v>
      </c>
      <c r="W196" s="93">
        <f t="shared" si="56"/>
        <v>-0.1045768502730331</v>
      </c>
      <c r="X196" s="105"/>
      <c r="Y196" s="120"/>
      <c r="Z196" s="147">
        <f>W196/('Economic Model'!H$14*(1-'Economic Model'!C$25/100))</f>
        <v>-3.1845024104660502E-2</v>
      </c>
      <c r="AA196" s="52"/>
      <c r="AB196" s="52"/>
      <c r="AC196" s="27"/>
      <c r="AD196" s="17">
        <v>1.106060606060606</v>
      </c>
      <c r="AE196" s="17">
        <f t="shared" si="48"/>
        <v>2.4872727272727273</v>
      </c>
      <c r="AF196" s="17">
        <v>3.5933333333333333</v>
      </c>
      <c r="AG196" s="27"/>
      <c r="AH196" s="93">
        <f>AF196+(H196*'Economic Model'!C$30*'Economic Model'!C$34/1000)+('Economic Model'!K$63/100)</f>
        <v>4.5743033333333329</v>
      </c>
      <c r="AI196" s="93">
        <f>AH196+('Economic Model'!K$60/100)</f>
        <v>5.1336044678787873</v>
      </c>
      <c r="AJ196" s="120"/>
      <c r="AK196" s="91">
        <f t="shared" si="57"/>
        <v>-4.6525708461488513E-2</v>
      </c>
      <c r="AL196" s="91">
        <f t="shared" si="58"/>
        <v>-0.60582684300694289</v>
      </c>
      <c r="AM196" s="91">
        <f t="shared" si="59"/>
        <v>-0.1045768502730331</v>
      </c>
      <c r="AN196" s="91">
        <f t="shared" si="60"/>
        <v>-0.5012499927339098</v>
      </c>
      <c r="AO196" s="264"/>
    </row>
    <row r="197" spans="1:41" x14ac:dyDescent="0.2">
      <c r="A197" s="182">
        <v>44075</v>
      </c>
      <c r="B197" s="52"/>
      <c r="C197" s="53"/>
      <c r="D197" s="118">
        <f>'Returns per Gal.'!C197</f>
        <v>1.3026190570422582</v>
      </c>
      <c r="E197" s="119">
        <f>'Returns per Gal.'!D197</f>
        <v>138.1547619047619</v>
      </c>
      <c r="F197" s="316">
        <f>'Returns per Gal.'!E197</f>
        <v>0.27600000000000002</v>
      </c>
      <c r="G197" s="118">
        <f>'Returns per Gal.'!F197</f>
        <v>3.5054761966069541</v>
      </c>
      <c r="H197" s="118">
        <f>'Returns per Gal.'!G197</f>
        <v>4.9000000000000004</v>
      </c>
      <c r="I197" s="297"/>
      <c r="J197" s="27"/>
      <c r="K197" s="93">
        <f>D197*'Economic Model'!C$30</f>
        <v>3.712464312570436</v>
      </c>
      <c r="L197" s="93">
        <f>E197/2000*'Economic Model'!C$32</f>
        <v>1.1328690476190475</v>
      </c>
      <c r="M197" s="319">
        <f>F197*'Economic Model'!C$33</f>
        <v>0.17940000000000003</v>
      </c>
      <c r="N197" s="93">
        <f t="shared" si="53"/>
        <v>5.0247333601894839</v>
      </c>
      <c r="O197" s="93">
        <f t="shared" si="54"/>
        <v>3.4211922256440297</v>
      </c>
      <c r="P197" s="105"/>
      <c r="Q197" s="94"/>
      <c r="R197" s="93">
        <f>G197+(H197*'Economic Model'!C$30*'Economic Model'!C$34/1000)+('Economic Model'!K$63/100)</f>
        <v>4.5497161966069539</v>
      </c>
      <c r="S197" s="93">
        <f>R197+('Economic Model'!K$60/100)</f>
        <v>5.1090173311524083</v>
      </c>
      <c r="T197" s="121"/>
      <c r="U197" s="94"/>
      <c r="V197" s="93">
        <f t="shared" si="55"/>
        <v>0.47501716358252999</v>
      </c>
      <c r="W197" s="93">
        <f t="shared" si="56"/>
        <v>-8.4283970962924393E-2</v>
      </c>
      <c r="X197" s="105"/>
      <c r="Y197" s="120"/>
      <c r="Z197" s="147">
        <f>W197/('Economic Model'!H$14*(1-'Economic Model'!C$25/100))</f>
        <v>-2.5665575889341489E-2</v>
      </c>
      <c r="AA197" s="52"/>
      <c r="AB197" s="52"/>
      <c r="AC197" s="27"/>
      <c r="AD197" s="17">
        <v>1.2542372881355932</v>
      </c>
      <c r="AE197" s="17">
        <f t="shared" si="48"/>
        <v>2.7104858757062145</v>
      </c>
      <c r="AF197" s="17">
        <v>3.9647231638418079</v>
      </c>
      <c r="AG197" s="27"/>
      <c r="AH197" s="93">
        <f>AF197+(H197*'Economic Model'!C$30*'Economic Model'!C$34/1000)+('Economic Model'!K$63/100)</f>
        <v>5.0089631638418073</v>
      </c>
      <c r="AI197" s="93">
        <f>AH197+('Economic Model'!K$60/100)</f>
        <v>5.5682642983872617</v>
      </c>
      <c r="AJ197" s="120"/>
      <c r="AK197" s="91">
        <f t="shared" si="57"/>
        <v>1.5770196347676624E-2</v>
      </c>
      <c r="AL197" s="91">
        <f t="shared" si="58"/>
        <v>-0.54353093819777776</v>
      </c>
      <c r="AM197" s="91">
        <f t="shared" si="59"/>
        <v>-8.4283970962924393E-2</v>
      </c>
      <c r="AN197" s="91">
        <f t="shared" si="60"/>
        <v>-0.45924696723485381</v>
      </c>
      <c r="AO197" s="52"/>
    </row>
    <row r="198" spans="1:41" x14ac:dyDescent="0.2">
      <c r="A198" s="182">
        <v>44105</v>
      </c>
      <c r="B198" s="52"/>
      <c r="C198" s="53"/>
      <c r="D198" s="118">
        <f>'Returns per Gal.'!C198</f>
        <v>1.3699999792235238</v>
      </c>
      <c r="E198" s="119">
        <f>'Returns per Gal.'!D198</f>
        <v>156.33333333333334</v>
      </c>
      <c r="F198" s="316">
        <f>'Returns per Gal.'!E198</f>
        <v>0.2944</v>
      </c>
      <c r="G198" s="118">
        <f>'Returns per Gal.'!F198</f>
        <v>3.8160714166504994</v>
      </c>
      <c r="H198" s="118">
        <f>'Returns per Gal.'!G198</f>
        <v>4.5599999999999996</v>
      </c>
      <c r="I198" s="297"/>
      <c r="J198" s="27"/>
      <c r="K198" s="93">
        <f>D198*'Economic Model'!C$30</f>
        <v>3.9044999407870429</v>
      </c>
      <c r="L198" s="93">
        <f>E198/2000*'Economic Model'!C$32</f>
        <v>1.2819333333333334</v>
      </c>
      <c r="M198" s="319">
        <f>F198*'Economic Model'!C$33</f>
        <v>0.19136</v>
      </c>
      <c r="N198" s="93">
        <f t="shared" si="53"/>
        <v>5.3777932741203767</v>
      </c>
      <c r="O198" s="93">
        <f t="shared" si="54"/>
        <v>3.8033221395749224</v>
      </c>
      <c r="P198" s="105"/>
      <c r="Q198" s="94"/>
      <c r="R198" s="93">
        <f>G198+(H198*'Economic Model'!C$30*'Economic Model'!C$34/1000)+('Economic Model'!K$63/100)</f>
        <v>4.8312414166504993</v>
      </c>
      <c r="S198" s="93">
        <f>R198+('Economic Model'!K$60/100)</f>
        <v>5.3905425511959537</v>
      </c>
      <c r="T198" s="121"/>
      <c r="U198" s="94"/>
      <c r="V198" s="93">
        <f t="shared" si="55"/>
        <v>0.54655185746987733</v>
      </c>
      <c r="W198" s="93">
        <f t="shared" si="56"/>
        <v>-1.2749277075577048E-2</v>
      </c>
      <c r="X198" s="105"/>
      <c r="Y198" s="120"/>
      <c r="Z198" s="147">
        <f>W198/('Economic Model'!H$14*(1-'Economic Model'!C$25/100))</f>
        <v>-3.8823222800145937E-3</v>
      </c>
      <c r="AA198" s="52"/>
      <c r="AB198" s="52"/>
      <c r="AC198" s="27"/>
      <c r="AD198" s="17">
        <v>1.2542372881355932</v>
      </c>
      <c r="AE198" s="17">
        <f t="shared" si="48"/>
        <v>2.7104858757062145</v>
      </c>
      <c r="AF198" s="17">
        <v>3.9647231638418079</v>
      </c>
      <c r="AG198" s="27"/>
      <c r="AH198" s="93">
        <f>AF198+(H198*'Economic Model'!C$30*'Economic Model'!C$34/1000)+('Economic Model'!K$63/100)</f>
        <v>4.9798931638418074</v>
      </c>
      <c r="AI198" s="93">
        <f>AH198+('Economic Model'!K$60/100)</f>
        <v>5.5391942983872617</v>
      </c>
      <c r="AJ198" s="120"/>
      <c r="AK198" s="91">
        <f t="shared" si="57"/>
        <v>0.39790011027856931</v>
      </c>
      <c r="AL198" s="91">
        <f t="shared" si="58"/>
        <v>-0.16140102426688507</v>
      </c>
      <c r="AM198" s="91">
        <f t="shared" si="59"/>
        <v>-1.2749277075577048E-2</v>
      </c>
      <c r="AN198" s="91">
        <f t="shared" si="60"/>
        <v>-0.14865174719130847</v>
      </c>
      <c r="AO198" s="52"/>
    </row>
    <row r="199" spans="1:41" x14ac:dyDescent="0.2">
      <c r="A199" s="182">
        <v>44136</v>
      </c>
      <c r="B199" s="52"/>
      <c r="C199" s="53"/>
      <c r="D199" s="118">
        <f>'Returns per Gal.'!C199</f>
        <v>1.3832352967823254</v>
      </c>
      <c r="E199" s="119">
        <f>'Returns per Gal.'!D199</f>
        <v>183.76470588235293</v>
      </c>
      <c r="F199" s="316">
        <f>'Returns per Gal.'!E199</f>
        <v>0.32530000000000003</v>
      </c>
      <c r="G199" s="118">
        <f>'Returns per Gal.'!F199</f>
        <v>4.0791776180267334</v>
      </c>
      <c r="H199" s="118">
        <f>'Returns per Gal.'!G199</f>
        <v>5.65</v>
      </c>
      <c r="I199" s="297"/>
      <c r="J199" s="27"/>
      <c r="K199" s="93">
        <f>D199*'Economic Model'!C$30</f>
        <v>3.9422205958296272</v>
      </c>
      <c r="L199" s="93">
        <f>E199/2000*'Economic Model'!C$32</f>
        <v>1.506870588235294</v>
      </c>
      <c r="M199" s="319">
        <f>F199*'Economic Model'!C$33</f>
        <v>0.21144500000000002</v>
      </c>
      <c r="N199" s="93">
        <f t="shared" si="53"/>
        <v>5.6605361840649211</v>
      </c>
      <c r="O199" s="93">
        <f t="shared" si="54"/>
        <v>3.9928700495194667</v>
      </c>
      <c r="P199" s="105"/>
      <c r="Q199" s="94"/>
      <c r="R199" s="93">
        <f>G199+(H199*'Economic Model'!C$30*'Economic Model'!C$34/1000)+('Economic Model'!K$63/100)</f>
        <v>5.1875426180267334</v>
      </c>
      <c r="S199" s="93">
        <f>R199+('Economic Model'!K$60/100)</f>
        <v>5.7468437525721878</v>
      </c>
      <c r="T199" s="121"/>
      <c r="U199" s="94"/>
      <c r="V199" s="93">
        <f t="shared" si="55"/>
        <v>0.47299356603818765</v>
      </c>
      <c r="W199" s="93">
        <f t="shared" si="56"/>
        <v>-8.630756850726673E-2</v>
      </c>
      <c r="X199" s="105"/>
      <c r="Y199" s="120"/>
      <c r="Z199" s="147">
        <f>W199/('Economic Model'!H$14*(1-'Economic Model'!C$25/100))</f>
        <v>-2.6281787913412468E-2</v>
      </c>
      <c r="AA199" s="52"/>
      <c r="AB199" s="52"/>
      <c r="AC199" s="27"/>
      <c r="AD199" s="17">
        <v>1.2542372881355932</v>
      </c>
      <c r="AE199" s="17">
        <f t="shared" si="48"/>
        <v>2.7104858757062145</v>
      </c>
      <c r="AF199" s="17">
        <v>3.9647231638418079</v>
      </c>
      <c r="AG199" s="27"/>
      <c r="AH199" s="93">
        <f>AF199+(H199*'Economic Model'!C$30*'Economic Model'!C$34/1000)+('Economic Model'!K$63/100)</f>
        <v>5.0730881638418079</v>
      </c>
      <c r="AI199" s="93">
        <f>AH199+('Economic Model'!K$60/100)</f>
        <v>5.6323892983872623</v>
      </c>
      <c r="AJ199" s="120"/>
      <c r="AK199" s="91">
        <f t="shared" si="57"/>
        <v>0.58744802022311315</v>
      </c>
      <c r="AL199" s="91">
        <f t="shared" si="58"/>
        <v>2.8146885677658773E-2</v>
      </c>
      <c r="AM199" s="91">
        <f t="shared" si="59"/>
        <v>-8.630756850726673E-2</v>
      </c>
      <c r="AN199" s="91">
        <f t="shared" si="60"/>
        <v>0.1144544541849255</v>
      </c>
      <c r="AO199" s="52"/>
    </row>
    <row r="200" spans="1:41" x14ac:dyDescent="0.2">
      <c r="A200" s="68">
        <v>44166</v>
      </c>
      <c r="B200" s="64"/>
      <c r="C200" s="56"/>
      <c r="D200" s="128">
        <f>'Returns per Gal.'!C200</f>
        <v>1.2119047499838329</v>
      </c>
      <c r="E200" s="129">
        <f>'Returns per Gal.'!D200</f>
        <v>204.0595238095238</v>
      </c>
      <c r="F200" s="317">
        <f>'Returns per Gal.'!E200</f>
        <v>0.34770000000000001</v>
      </c>
      <c r="G200" s="128">
        <f>'Returns per Gal.'!F200</f>
        <v>4.254047603834243</v>
      </c>
      <c r="H200" s="128">
        <f>'Returns per Gal.'!G200</f>
        <v>5.16</v>
      </c>
      <c r="I200" s="304"/>
      <c r="J200" s="29"/>
      <c r="K200" s="97">
        <f>D200*'Economic Model'!C$30</f>
        <v>3.4539285374539239</v>
      </c>
      <c r="L200" s="97">
        <f>E200/2000*'Economic Model'!C$32</f>
        <v>1.6732880952380951</v>
      </c>
      <c r="M200" s="320">
        <f>F200*'Economic Model'!C$33</f>
        <v>0.22600500000000001</v>
      </c>
      <c r="N200" s="97">
        <f t="shared" si="53"/>
        <v>5.3532216326920183</v>
      </c>
      <c r="O200" s="97">
        <f t="shared" si="54"/>
        <v>3.7274504981465642</v>
      </c>
      <c r="P200" s="107"/>
      <c r="Q200" s="98"/>
      <c r="R200" s="97">
        <f>G200+(H200*'Economic Model'!C$30*'Economic Model'!C$34/1000)+('Economic Model'!K$63/100)</f>
        <v>5.3205176038342428</v>
      </c>
      <c r="S200" s="97">
        <f>R200+('Economic Model'!K$60/100)</f>
        <v>5.8798187383796972</v>
      </c>
      <c r="T200" s="131"/>
      <c r="U200" s="98"/>
      <c r="V200" s="97">
        <f t="shared" si="55"/>
        <v>3.2704028857775569E-2</v>
      </c>
      <c r="W200" s="97">
        <f t="shared" si="56"/>
        <v>-0.52659710568767881</v>
      </c>
      <c r="X200" s="107"/>
      <c r="Y200" s="130"/>
      <c r="Z200" s="148">
        <f>W200/('Economic Model'!H$14*(1-'Economic Model'!C$25/100))</f>
        <v>-0.16035573341792339</v>
      </c>
      <c r="AA200" s="64"/>
      <c r="AB200" s="64"/>
      <c r="AC200" s="29"/>
      <c r="AD200" s="65">
        <v>1.2542372881355932</v>
      </c>
      <c r="AE200" s="65">
        <f t="shared" si="48"/>
        <v>2.7104858757062145</v>
      </c>
      <c r="AF200" s="65">
        <v>3.9647231638418079</v>
      </c>
      <c r="AG200" s="29"/>
      <c r="AH200" s="97">
        <f>AF200+(H200*'Economic Model'!C$30*'Economic Model'!C$34/1000)+('Economic Model'!K$63/100)</f>
        <v>5.0311931638418077</v>
      </c>
      <c r="AI200" s="97">
        <f>AH200+('Economic Model'!K$60/100)</f>
        <v>5.5904942983872621</v>
      </c>
      <c r="AJ200" s="130"/>
      <c r="AK200" s="92">
        <f t="shared" si="57"/>
        <v>0.32202846885021064</v>
      </c>
      <c r="AL200" s="92">
        <f t="shared" si="58"/>
        <v>-0.23727266569524375</v>
      </c>
      <c r="AM200" s="92">
        <f t="shared" si="59"/>
        <v>-0.52659710568767881</v>
      </c>
      <c r="AN200" s="92">
        <f t="shared" si="60"/>
        <v>0.28932443999243507</v>
      </c>
      <c r="AO200" s="64"/>
    </row>
    <row r="201" spans="1:41" x14ac:dyDescent="0.2">
      <c r="A201" s="292">
        <v>44197</v>
      </c>
      <c r="B201" s="62"/>
      <c r="C201" s="287"/>
      <c r="D201" s="141">
        <f>'Returns per Gal.'!C201</f>
        <v>1.3913157976301094</v>
      </c>
      <c r="E201" s="142">
        <f>'Returns per Gal.'!D201</f>
        <v>216.55263157894737</v>
      </c>
      <c r="F201" s="318">
        <f>'Returns per Gal.'!E201</f>
        <v>0.39390000000000003</v>
      </c>
      <c r="G201" s="141">
        <f>'Returns per Gal.'!F201</f>
        <v>4.9731578990032794</v>
      </c>
      <c r="H201" s="141">
        <f>'Returns per Gal.'!G201</f>
        <v>4.47</v>
      </c>
      <c r="I201" s="295"/>
      <c r="J201" s="183"/>
      <c r="K201" s="101">
        <f>D201*'Economic Model'!C$30</f>
        <v>3.9652500232458117</v>
      </c>
      <c r="L201" s="101">
        <f>E201/2000*'Economic Model'!C$32</f>
        <v>1.7757315789473682</v>
      </c>
      <c r="M201" s="321">
        <f>F201*'Economic Model'!C$33</f>
        <v>0.25603500000000001</v>
      </c>
      <c r="N201" s="101">
        <f t="shared" si="53"/>
        <v>5.9970166021931801</v>
      </c>
      <c r="O201" s="101">
        <f t="shared" si="54"/>
        <v>4.4302404676477263</v>
      </c>
      <c r="P201" s="116"/>
      <c r="Q201" s="102"/>
      <c r="R201" s="101">
        <f>G201+(H201*'Economic Model'!C$30*'Economic Model'!C$34/1000)+('Economic Model'!K$63/100)</f>
        <v>5.9806328990032789</v>
      </c>
      <c r="S201" s="101">
        <f>R201+('Economic Model'!K$60/100)</f>
        <v>6.5399340335487333</v>
      </c>
      <c r="T201" s="144"/>
      <c r="U201" s="102"/>
      <c r="V201" s="101">
        <f t="shared" si="55"/>
        <v>1.6383703189901233E-2</v>
      </c>
      <c r="W201" s="101">
        <f t="shared" si="56"/>
        <v>-0.54291743135555315</v>
      </c>
      <c r="X201" s="116"/>
      <c r="Y201" s="145"/>
      <c r="Z201" s="149">
        <f>W201/('Economic Model'!H$14*(1-'Economic Model'!C$25/100))</f>
        <v>-0.1653254868856599</v>
      </c>
      <c r="AA201" s="62"/>
      <c r="AB201" s="62"/>
      <c r="AC201" s="183"/>
      <c r="AD201" s="288">
        <v>1.2542372881355932</v>
      </c>
      <c r="AE201" s="288">
        <f t="shared" si="48"/>
        <v>2.7104858757062145</v>
      </c>
      <c r="AF201" s="288">
        <v>3.9647231638418079</v>
      </c>
      <c r="AG201" s="183"/>
      <c r="AH201" s="101">
        <f>AF201+(H201*'Economic Model'!C$30*'Economic Model'!C$34/1000)+('Economic Model'!K$63/100)</f>
        <v>4.9721981638418074</v>
      </c>
      <c r="AI201" s="101">
        <f>AH201+('Economic Model'!K$60/100)</f>
        <v>5.5314992983872617</v>
      </c>
      <c r="AJ201" s="145"/>
      <c r="AK201" s="289">
        <f t="shared" si="57"/>
        <v>1.0248184383513728</v>
      </c>
      <c r="AL201" s="289">
        <f t="shared" si="58"/>
        <v>0.46551730380591838</v>
      </c>
      <c r="AM201" s="289">
        <f t="shared" si="59"/>
        <v>-0.54291743135555315</v>
      </c>
      <c r="AN201" s="289">
        <f t="shared" si="60"/>
        <v>1.0084347351614715</v>
      </c>
      <c r="AO201" s="290"/>
    </row>
    <row r="202" spans="1:41" x14ac:dyDescent="0.2">
      <c r="A202" s="182">
        <v>44228</v>
      </c>
      <c r="B202" s="52"/>
      <c r="C202" s="53"/>
      <c r="D202" s="118">
        <f>'Returns per Gal.'!C202</f>
        <v>1.5415789359494259</v>
      </c>
      <c r="E202" s="119">
        <f>'Returns per Gal.'!D202</f>
        <v>230.19736842105263</v>
      </c>
      <c r="F202" s="316">
        <f>'Returns per Gal.'!E202</f>
        <v>0.43180000000000002</v>
      </c>
      <c r="G202" s="118">
        <f>'Returns per Gal.'!F202</f>
        <v>5.3529276283163769</v>
      </c>
      <c r="H202" s="118">
        <f>'Returns per Gal.'!G202</f>
        <v>7.38</v>
      </c>
      <c r="I202" s="296">
        <v>8.44</v>
      </c>
      <c r="J202" s="27"/>
      <c r="K202" s="93">
        <f>D202*'Economic Model'!C$30</f>
        <v>4.3934999674558641</v>
      </c>
      <c r="L202" s="93">
        <f>E202/2000*'Economic Model'!C$32</f>
        <v>1.8876184210526314</v>
      </c>
      <c r="M202" s="319">
        <f>F202*'Economic Model'!C$33</f>
        <v>0.28067000000000003</v>
      </c>
      <c r="N202" s="93">
        <f t="shared" si="53"/>
        <v>6.5617883885084956</v>
      </c>
      <c r="O202" s="93">
        <f t="shared" si="54"/>
        <v>4.7462072539630418</v>
      </c>
      <c r="P202" s="105"/>
      <c r="Q202" s="94"/>
      <c r="R202" s="93">
        <f>G202+(H202*'Economic Model'!C$30*'Economic Model'!C$34/1000)+('Economic Model'!K$63/100)</f>
        <v>6.6092076283163763</v>
      </c>
      <c r="S202" s="93">
        <f>R202+('Economic Model'!K$60/100)</f>
        <v>7.1685087628618307</v>
      </c>
      <c r="T202" s="121"/>
      <c r="U202" s="94"/>
      <c r="V202" s="93">
        <f t="shared" si="55"/>
        <v>-4.7419239807880764E-2</v>
      </c>
      <c r="W202" s="93">
        <f t="shared" si="56"/>
        <v>-0.60672037435333515</v>
      </c>
      <c r="X202" s="105"/>
      <c r="Y202" s="120"/>
      <c r="Z202" s="147">
        <f>W202/('Economic Model'!H$14*(1-'Economic Model'!C$25/100))</f>
        <v>-0.18475432082364843</v>
      </c>
      <c r="AA202" s="52"/>
      <c r="AB202" s="52"/>
      <c r="AC202" s="27"/>
      <c r="AD202" s="17">
        <v>1.2542372881355932</v>
      </c>
      <c r="AE202" s="17">
        <f t="shared" si="48"/>
        <v>2.7104858757062145</v>
      </c>
      <c r="AF202" s="17">
        <v>3.9647231638418079</v>
      </c>
      <c r="AG202" s="27"/>
      <c r="AH202" s="93">
        <f>AF202+(H202*'Economic Model'!C$30*'Economic Model'!C$34/1000)+('Economic Model'!K$63/100)</f>
        <v>5.2210031638418073</v>
      </c>
      <c r="AI202" s="93">
        <f>AH202+('Economic Model'!K$60/100)</f>
        <v>5.7803042983872617</v>
      </c>
      <c r="AJ202" s="120"/>
      <c r="AK202" s="91">
        <f t="shared" si="57"/>
        <v>1.3407852246666883</v>
      </c>
      <c r="AL202" s="91">
        <f t="shared" si="58"/>
        <v>0.78148409012123388</v>
      </c>
      <c r="AM202" s="91">
        <f t="shared" si="59"/>
        <v>-0.60672037435333515</v>
      </c>
      <c r="AN202" s="91">
        <f t="shared" si="60"/>
        <v>1.388204464474569</v>
      </c>
      <c r="AO202" s="264"/>
    </row>
    <row r="203" spans="1:41" x14ac:dyDescent="0.2">
      <c r="A203" s="182">
        <v>44256</v>
      </c>
      <c r="B203" s="52"/>
      <c r="C203" s="53"/>
      <c r="D203" s="118">
        <f>'Returns per Gal.'!C203</f>
        <v>1.7289130506308183</v>
      </c>
      <c r="E203" s="119">
        <f>'Returns per Gal.'!D203</f>
        <v>222.41304347826087</v>
      </c>
      <c r="F203" s="316">
        <f>'Returns per Gal.'!E203</f>
        <v>0.50340000000000007</v>
      </c>
      <c r="G203" s="118">
        <f>'Returns per Gal.'!F203</f>
        <v>5.3846739115922349</v>
      </c>
      <c r="H203" s="118">
        <f>'Returns per Gal.'!G203</f>
        <v>6.37</v>
      </c>
      <c r="I203" s="297"/>
      <c r="J203" s="27"/>
      <c r="K203" s="93">
        <f>D203*'Economic Model'!C$30</f>
        <v>4.9274021942978328</v>
      </c>
      <c r="L203" s="93">
        <f>E203/2000*'Economic Model'!C$32</f>
        <v>1.8237869565217391</v>
      </c>
      <c r="M203" s="319">
        <f>F203*'Economic Model'!C$33</f>
        <v>0.32721000000000006</v>
      </c>
      <c r="N203" s="93">
        <f t="shared" si="53"/>
        <v>7.078399150819572</v>
      </c>
      <c r="O203" s="93">
        <f t="shared" si="54"/>
        <v>5.3491730162741176</v>
      </c>
      <c r="P203" s="105"/>
      <c r="Q203" s="94"/>
      <c r="R203" s="93">
        <f>G203+(H203*'Economic Model'!C$30*'Economic Model'!C$34/1000)+('Economic Model'!K$63/100)</f>
        <v>6.554598911592235</v>
      </c>
      <c r="S203" s="93">
        <f>R203+('Economic Model'!K$60/100)</f>
        <v>7.1139000461376893</v>
      </c>
      <c r="T203" s="121"/>
      <c r="U203" s="94"/>
      <c r="V203" s="93">
        <f t="shared" si="55"/>
        <v>0.52380023922733709</v>
      </c>
      <c r="W203" s="93">
        <f t="shared" si="56"/>
        <v>-3.5500895318117287E-2</v>
      </c>
      <c r="X203" s="105"/>
      <c r="Y203" s="120"/>
      <c r="Z203" s="147">
        <f>W203/('Economic Model'!H$14*(1-'Economic Model'!C$25/100))</f>
        <v>-1.0810488785910581E-2</v>
      </c>
      <c r="AA203" s="52"/>
      <c r="AB203" s="52"/>
      <c r="AC203" s="27"/>
      <c r="AD203" s="17">
        <v>1.2542372881355932</v>
      </c>
      <c r="AE203" s="17">
        <f t="shared" si="48"/>
        <v>2.7104858757062145</v>
      </c>
      <c r="AF203" s="17">
        <v>3.9647231638418079</v>
      </c>
      <c r="AG203" s="27"/>
      <c r="AH203" s="93">
        <f>AF203+(H203*'Economic Model'!C$30*'Economic Model'!C$34/1000)+('Economic Model'!K$63/100)</f>
        <v>5.134648163841808</v>
      </c>
      <c r="AI203" s="93">
        <f>AH203+('Economic Model'!K$60/100)</f>
        <v>5.6939492983872624</v>
      </c>
      <c r="AJ203" s="120"/>
      <c r="AK203" s="91">
        <f t="shared" si="57"/>
        <v>1.9437509869777641</v>
      </c>
      <c r="AL203" s="91">
        <f t="shared" si="58"/>
        <v>1.3844498524323097</v>
      </c>
      <c r="AM203" s="91">
        <f t="shared" si="59"/>
        <v>-3.5500895318117287E-2</v>
      </c>
      <c r="AN203" s="91">
        <f t="shared" si="60"/>
        <v>1.419950747750427</v>
      </c>
      <c r="AO203" s="264"/>
    </row>
    <row r="204" spans="1:41" x14ac:dyDescent="0.2">
      <c r="A204" s="182">
        <v>44287</v>
      </c>
      <c r="B204" s="52"/>
      <c r="C204" s="53"/>
      <c r="D204" s="118">
        <f>'Returns per Gal.'!C204</f>
        <v>1.978095219248817</v>
      </c>
      <c r="E204" s="119">
        <f>'Returns per Gal.'!D204</f>
        <v>203.77380952380952</v>
      </c>
      <c r="F204" s="316">
        <f>'Returns per Gal.'!E204</f>
        <v>0.52139999999999997</v>
      </c>
      <c r="G204" s="118">
        <f>'Returns per Gal.'!F204</f>
        <v>6.0182440564745949</v>
      </c>
      <c r="H204" s="118">
        <f>'Returns per Gal.'!G204</f>
        <v>5.88</v>
      </c>
      <c r="I204" s="297"/>
      <c r="J204" s="27"/>
      <c r="K204" s="93">
        <f>D204*'Economic Model'!C$30</f>
        <v>5.637571374859129</v>
      </c>
      <c r="L204" s="93">
        <f>E204/2000*'Economic Model'!C$32</f>
        <v>1.6709452380952379</v>
      </c>
      <c r="M204" s="319">
        <f>F204*'Economic Model'!C$33</f>
        <v>0.33890999999999999</v>
      </c>
      <c r="N204" s="93">
        <f t="shared" si="53"/>
        <v>7.6474266129543675</v>
      </c>
      <c r="O204" s="93">
        <f t="shared" si="54"/>
        <v>5.9600954784089133</v>
      </c>
      <c r="P204" s="105"/>
      <c r="Q204" s="94"/>
      <c r="R204" s="93">
        <f>G204+(H204*'Economic Model'!C$30*'Economic Model'!C$34/1000)+('Economic Model'!K$63/100)</f>
        <v>7.1462740564745948</v>
      </c>
      <c r="S204" s="93">
        <f>R204+('Economic Model'!K$60/100)</f>
        <v>7.7055751910200492</v>
      </c>
      <c r="T204" s="121"/>
      <c r="U204" s="94"/>
      <c r="V204" s="93">
        <f t="shared" si="55"/>
        <v>0.50115255647977275</v>
      </c>
      <c r="W204" s="93">
        <f t="shared" si="56"/>
        <v>-5.8148578065681633E-2</v>
      </c>
      <c r="X204" s="105"/>
      <c r="Y204" s="120"/>
      <c r="Z204" s="147">
        <f>W204/('Economic Model'!H$14*(1-'Economic Model'!C$25/100))</f>
        <v>-1.770700556881151E-2</v>
      </c>
      <c r="AA204" s="52"/>
      <c r="AB204" s="52"/>
      <c r="AC204" s="27"/>
      <c r="AD204" s="17">
        <v>1.2542372881355932</v>
      </c>
      <c r="AE204" s="17">
        <f t="shared" si="48"/>
        <v>2.7104858757062145</v>
      </c>
      <c r="AF204" s="17">
        <v>3.9647231638418079</v>
      </c>
      <c r="AG204" s="27"/>
      <c r="AH204" s="93">
        <f>AF204+(H204*'Economic Model'!C$30*'Economic Model'!C$34/1000)+('Economic Model'!K$63/100)</f>
        <v>5.0927531638418078</v>
      </c>
      <c r="AI204" s="93">
        <f>AH204+('Economic Model'!K$60/100)</f>
        <v>5.6520542983872621</v>
      </c>
      <c r="AJ204" s="120"/>
      <c r="AK204" s="91">
        <f t="shared" si="57"/>
        <v>2.5546734491125598</v>
      </c>
      <c r="AL204" s="91">
        <f t="shared" si="58"/>
        <v>1.9953723145671054</v>
      </c>
      <c r="AM204" s="91">
        <f t="shared" si="59"/>
        <v>-5.8148578065681633E-2</v>
      </c>
      <c r="AN204" s="91">
        <f t="shared" si="60"/>
        <v>2.053520892632787</v>
      </c>
      <c r="AO204" s="264"/>
    </row>
    <row r="205" spans="1:41" x14ac:dyDescent="0.2">
      <c r="A205" s="182">
        <v>44317</v>
      </c>
      <c r="B205" s="52"/>
      <c r="C205" s="53"/>
      <c r="D205" s="118">
        <f>'Returns per Gal.'!C205</f>
        <v>2.4390000283718107</v>
      </c>
      <c r="E205" s="119">
        <f>'Returns per Gal.'!D205</f>
        <v>233.57499999999999</v>
      </c>
      <c r="F205" s="316">
        <f>'Returns per Gal.'!E205</f>
        <v>0.51840000000000008</v>
      </c>
      <c r="G205" s="118">
        <f>'Returns per Gal.'!F205</f>
        <v>7.0493750095367433</v>
      </c>
      <c r="H205" s="118">
        <f>'Returns per Gal.'!G205</f>
        <v>5.97</v>
      </c>
      <c r="I205" s="297"/>
      <c r="J205" s="27"/>
      <c r="K205" s="93">
        <f>D205*'Economic Model'!C$30</f>
        <v>6.9511500808596605</v>
      </c>
      <c r="L205" s="93">
        <f>E205/2000*'Economic Model'!C$32</f>
        <v>1.9153149999999997</v>
      </c>
      <c r="M205" s="319">
        <f>F205*'Economic Model'!C$33</f>
        <v>0.33696000000000009</v>
      </c>
      <c r="N205" s="93">
        <f t="shared" si="53"/>
        <v>9.2034250808596596</v>
      </c>
      <c r="O205" s="93">
        <f t="shared" si="54"/>
        <v>7.5083989463142045</v>
      </c>
      <c r="P205" s="105"/>
      <c r="Q205" s="94"/>
      <c r="R205" s="93">
        <f>G205+(H205*'Economic Model'!C$30*'Economic Model'!C$34/1000)+('Economic Model'!K$63/100)</f>
        <v>8.1851000095367432</v>
      </c>
      <c r="S205" s="93">
        <f>R205+('Economic Model'!K$60/100)</f>
        <v>8.7444011440821985</v>
      </c>
      <c r="T205" s="121"/>
      <c r="U205" s="94"/>
      <c r="V205" s="93">
        <f t="shared" si="55"/>
        <v>1.0183250713229164</v>
      </c>
      <c r="W205" s="93">
        <f t="shared" si="56"/>
        <v>0.45902393677746112</v>
      </c>
      <c r="X205" s="105"/>
      <c r="Y205" s="120"/>
      <c r="Z205" s="147">
        <f>W205/('Economic Model'!H$14*(1-'Economic Model'!C$25/100))</f>
        <v>0.13977881618283744</v>
      </c>
      <c r="AA205" s="52"/>
      <c r="AB205" s="52"/>
      <c r="AC205" s="27"/>
      <c r="AD205" s="17">
        <v>1.2542372881355932</v>
      </c>
      <c r="AE205" s="17">
        <f t="shared" si="48"/>
        <v>2.7104858757062145</v>
      </c>
      <c r="AF205" s="17">
        <v>3.9647231638418079</v>
      </c>
      <c r="AG205" s="27"/>
      <c r="AH205" s="93">
        <f>AF205+(H205*'Economic Model'!C$30*'Economic Model'!C$34/1000)+('Economic Model'!K$63/100)</f>
        <v>5.1004481638418078</v>
      </c>
      <c r="AI205" s="93">
        <f>AH205+('Economic Model'!K$60/100)</f>
        <v>5.6597492983872622</v>
      </c>
      <c r="AJ205" s="120"/>
      <c r="AK205" s="91">
        <f t="shared" si="57"/>
        <v>4.1029769170178518</v>
      </c>
      <c r="AL205" s="91">
        <f t="shared" si="58"/>
        <v>3.5436757824723975</v>
      </c>
      <c r="AM205" s="91">
        <f t="shared" si="59"/>
        <v>0.45902393677746112</v>
      </c>
      <c r="AN205" s="91">
        <f t="shared" si="60"/>
        <v>3.0846518456949354</v>
      </c>
      <c r="AO205" s="264"/>
    </row>
    <row r="206" spans="1:41" x14ac:dyDescent="0.2">
      <c r="A206" s="182">
        <v>44348</v>
      </c>
      <c r="B206" s="52"/>
      <c r="C206" s="53"/>
      <c r="D206" s="118">
        <f>'Returns per Gal.'!C206</f>
        <v>2.3145454688505693</v>
      </c>
      <c r="E206" s="119">
        <f>'Returns per Gal.'!D206</f>
        <v>198.52272727272728</v>
      </c>
      <c r="F206" s="316">
        <f>'Returns per Gal.'!E206</f>
        <v>0.55889999999999995</v>
      </c>
      <c r="G206" s="118">
        <f>'Returns per Gal.'!F206</f>
        <v>6.8402556885372512</v>
      </c>
      <c r="H206" s="118">
        <f>'Returns per Gal.'!G206</f>
        <v>5.92</v>
      </c>
      <c r="I206" s="297"/>
      <c r="J206" s="27"/>
      <c r="K206" s="93">
        <f>D206*'Economic Model'!C$30</f>
        <v>6.5964545862241231</v>
      </c>
      <c r="L206" s="93">
        <f>E206/2000*'Economic Model'!C$32</f>
        <v>1.6278863636363634</v>
      </c>
      <c r="M206" s="319">
        <f>F206*'Economic Model'!C$33</f>
        <v>0.36328499999999997</v>
      </c>
      <c r="N206" s="93">
        <f t="shared" si="53"/>
        <v>8.5876259498604863</v>
      </c>
      <c r="O206" s="93">
        <f t="shared" si="54"/>
        <v>6.8968748153150319</v>
      </c>
      <c r="P206" s="105"/>
      <c r="Q206" s="94"/>
      <c r="R206" s="93">
        <f>G206+(H206*'Economic Model'!C$30*'Economic Model'!C$34/1000)+('Economic Model'!K$63/100)</f>
        <v>7.9717056885372504</v>
      </c>
      <c r="S206" s="93">
        <f>R206+('Economic Model'!K$60/100)</f>
        <v>8.5310068230827056</v>
      </c>
      <c r="T206" s="121"/>
      <c r="U206" s="94"/>
      <c r="V206" s="93">
        <f t="shared" si="55"/>
        <v>0.61592026132323596</v>
      </c>
      <c r="W206" s="93">
        <f t="shared" si="56"/>
        <v>5.6619126777780693E-2</v>
      </c>
      <c r="X206" s="105"/>
      <c r="Y206" s="120"/>
      <c r="Z206" s="147">
        <f>W206/('Economic Model'!H$14*(1-'Economic Model'!C$25/100))</f>
        <v>1.7241267568451509E-2</v>
      </c>
      <c r="AA206" s="52"/>
      <c r="AB206" s="52"/>
      <c r="AC206" s="27"/>
      <c r="AD206" s="17">
        <v>1.2542372881355932</v>
      </c>
      <c r="AE206" s="17">
        <f t="shared" si="48"/>
        <v>2.7104858757062145</v>
      </c>
      <c r="AF206" s="17">
        <v>3.9647231638418079</v>
      </c>
      <c r="AG206" s="27"/>
      <c r="AH206" s="93">
        <f>AF206+(H206*'Economic Model'!C$30*'Economic Model'!C$34/1000)+('Economic Model'!K$63/100)</f>
        <v>5.096173163841808</v>
      </c>
      <c r="AI206" s="93">
        <f>AH206+('Economic Model'!K$60/100)</f>
        <v>5.6554742983872623</v>
      </c>
      <c r="AJ206" s="120"/>
      <c r="AK206" s="91">
        <f t="shared" si="57"/>
        <v>3.4914527860186784</v>
      </c>
      <c r="AL206" s="91">
        <f t="shared" si="58"/>
        <v>2.932151651473224</v>
      </c>
      <c r="AM206" s="91">
        <f t="shared" si="59"/>
        <v>5.6619126777780693E-2</v>
      </c>
      <c r="AN206" s="91">
        <f t="shared" si="60"/>
        <v>2.8755325246954433</v>
      </c>
      <c r="AO206" s="264"/>
    </row>
    <row r="207" spans="1:41" x14ac:dyDescent="0.2">
      <c r="A207" s="182">
        <v>44378</v>
      </c>
      <c r="B207" s="52"/>
      <c r="C207" s="53"/>
      <c r="D207" s="118">
        <f>'Returns per Gal.'!C207</f>
        <v>2.1787500143051148</v>
      </c>
      <c r="E207" s="119">
        <f>'Returns per Gal.'!D207</f>
        <v>159.53947368421052</v>
      </c>
      <c r="F207" s="316">
        <f>'Returns per Gal.'!E207</f>
        <v>0.59089999999999998</v>
      </c>
      <c r="G207" s="118">
        <f>'Returns per Gal.'!F207</f>
        <v>6.4829999983310698</v>
      </c>
      <c r="H207" s="118">
        <f>'Returns per Gal.'!G207</f>
        <v>6.29</v>
      </c>
      <c r="I207" s="297"/>
      <c r="J207" s="27"/>
      <c r="K207" s="93">
        <f>D207*'Economic Model'!C$30</f>
        <v>6.2094375407695779</v>
      </c>
      <c r="L207" s="93">
        <f>E207/2000*'Economic Model'!C$32</f>
        <v>1.3082236842105261</v>
      </c>
      <c r="M207" s="319">
        <f>F207*'Economic Model'!C$33</f>
        <v>0.38408500000000001</v>
      </c>
      <c r="N207" s="93">
        <f t="shared" si="53"/>
        <v>7.901746224980104</v>
      </c>
      <c r="O207" s="93">
        <f t="shared" si="54"/>
        <v>6.1793600904346491</v>
      </c>
      <c r="P207" s="105"/>
      <c r="Q207" s="94"/>
      <c r="R207" s="93">
        <f>G207+(H207*'Economic Model'!C$30*'Economic Model'!C$34/1000)+('Economic Model'!K$63/100)</f>
        <v>7.6460849983310695</v>
      </c>
      <c r="S207" s="93">
        <f>R207+('Economic Model'!K$60/100)</f>
        <v>8.2053861328765247</v>
      </c>
      <c r="T207" s="121"/>
      <c r="U207" s="94"/>
      <c r="V207" s="93">
        <f t="shared" si="55"/>
        <v>0.25566122664903457</v>
      </c>
      <c r="W207" s="93">
        <f t="shared" si="56"/>
        <v>-0.3036399078964207</v>
      </c>
      <c r="X207" s="105"/>
      <c r="Y207" s="120"/>
      <c r="Z207" s="147">
        <f>W207/('Economic Model'!H$14*(1-'Economic Model'!C$25/100))</f>
        <v>-9.2462339043996186E-2</v>
      </c>
      <c r="AA207" s="52"/>
      <c r="AB207" s="52"/>
      <c r="AC207" s="27"/>
      <c r="AD207" s="17">
        <v>1.2542372881355932</v>
      </c>
      <c r="AE207" s="17">
        <f t="shared" si="48"/>
        <v>2.7104858757062145</v>
      </c>
      <c r="AF207" s="17">
        <v>3.9647231638418079</v>
      </c>
      <c r="AG207" s="27"/>
      <c r="AH207" s="93">
        <f>AF207+(H207*'Economic Model'!C$30*'Economic Model'!C$34/1000)+('Economic Model'!K$63/100)</f>
        <v>5.1278081638418076</v>
      </c>
      <c r="AI207" s="93">
        <f>AH207+('Economic Model'!K$60/100)</f>
        <v>5.687109298387262</v>
      </c>
      <c r="AJ207" s="120"/>
      <c r="AK207" s="91">
        <f t="shared" si="57"/>
        <v>2.7739380611382964</v>
      </c>
      <c r="AL207" s="91">
        <f t="shared" si="58"/>
        <v>2.2146369265928421</v>
      </c>
      <c r="AM207" s="91">
        <f t="shared" si="59"/>
        <v>-0.3036399078964207</v>
      </c>
      <c r="AN207" s="91">
        <f t="shared" si="60"/>
        <v>2.5182768344892619</v>
      </c>
      <c r="AO207" s="264"/>
    </row>
    <row r="208" spans="1:41" x14ac:dyDescent="0.2">
      <c r="A208" s="182">
        <v>44409</v>
      </c>
      <c r="B208" s="52"/>
      <c r="C208" s="53"/>
      <c r="D208" s="118">
        <f>'Returns per Gal.'!C208</f>
        <v>2.1522727012634277</v>
      </c>
      <c r="E208" s="119">
        <f>'Returns per Gal.'!D208</f>
        <v>185.90909090909091</v>
      </c>
      <c r="F208" s="316">
        <f>'Returns per Gal.'!E208</f>
        <v>0.63890000000000002</v>
      </c>
      <c r="G208" s="118">
        <f>'Returns per Gal.'!F208</f>
        <v>6.3334659121253276</v>
      </c>
      <c r="H208" s="118">
        <f>'Returns per Gal.'!G208</f>
        <v>7.23</v>
      </c>
      <c r="I208" s="297"/>
      <c r="J208" s="27"/>
      <c r="K208" s="93">
        <f>D208*'Economic Model'!C$30</f>
        <v>6.1339771986007694</v>
      </c>
      <c r="L208" s="93">
        <f>E208/2000*'Economic Model'!C$32</f>
        <v>1.5244545454545453</v>
      </c>
      <c r="M208" s="319">
        <f>F208*'Economic Model'!C$33</f>
        <v>0.41528500000000002</v>
      </c>
      <c r="N208" s="93">
        <f t="shared" si="53"/>
        <v>8.0737167440553144</v>
      </c>
      <c r="O208" s="93">
        <f t="shared" si="54"/>
        <v>6.2709606095098591</v>
      </c>
      <c r="P208" s="105"/>
      <c r="Q208" s="94"/>
      <c r="R208" s="93">
        <f>G208+(H208*'Economic Model'!C$30*'Economic Model'!C$34/1000)+('Economic Model'!K$63/100)</f>
        <v>7.5769209121253276</v>
      </c>
      <c r="S208" s="93">
        <f>R208+('Economic Model'!K$60/100)</f>
        <v>8.1362220466707829</v>
      </c>
      <c r="T208" s="121"/>
      <c r="U208" s="94"/>
      <c r="V208" s="93">
        <f t="shared" si="55"/>
        <v>0.49679583192998678</v>
      </c>
      <c r="W208" s="93">
        <f t="shared" si="56"/>
        <v>-6.2505302615468494E-2</v>
      </c>
      <c r="X208" s="105"/>
      <c r="Y208" s="120"/>
      <c r="Z208" s="147">
        <f>W208/('Economic Model'!H$14*(1-'Economic Model'!C$25/100))</f>
        <v>-1.9033685402284228E-2</v>
      </c>
      <c r="AA208" s="52"/>
      <c r="AB208" s="52"/>
      <c r="AC208" s="27"/>
      <c r="AD208" s="17">
        <v>1.2542372881355932</v>
      </c>
      <c r="AE208" s="17">
        <f t="shared" si="48"/>
        <v>2.7104858757062145</v>
      </c>
      <c r="AF208" s="17">
        <v>3.9647231638418079</v>
      </c>
      <c r="AG208" s="27"/>
      <c r="AH208" s="93">
        <f>AF208+(H208*'Economic Model'!C$30*'Economic Model'!C$34/1000)+('Economic Model'!K$63/100)</f>
        <v>5.2081781638418079</v>
      </c>
      <c r="AI208" s="93">
        <f>AH208+('Economic Model'!K$60/100)</f>
        <v>5.7674792983872623</v>
      </c>
      <c r="AJ208" s="120"/>
      <c r="AK208" s="91">
        <f t="shared" si="57"/>
        <v>2.8655385802135065</v>
      </c>
      <c r="AL208" s="91">
        <f t="shared" si="58"/>
        <v>2.3062374456680521</v>
      </c>
      <c r="AM208" s="91">
        <f t="shared" si="59"/>
        <v>-6.2505302615468494E-2</v>
      </c>
      <c r="AN208" s="91">
        <f t="shared" si="60"/>
        <v>2.3687427482835197</v>
      </c>
      <c r="AO208" s="264"/>
    </row>
    <row r="209" spans="1:41" x14ac:dyDescent="0.2">
      <c r="A209" s="182">
        <v>44440</v>
      </c>
      <c r="B209" s="52"/>
      <c r="C209" s="53"/>
      <c r="D209" s="118">
        <f>'Returns per Gal.'!C209</f>
        <v>2.2902380795705888</v>
      </c>
      <c r="E209" s="119">
        <f>'Returns per Gal.'!D209</f>
        <v>194.3452380952381</v>
      </c>
      <c r="F209" s="316">
        <f>'Returns per Gal.'!E209</f>
        <v>0.5786</v>
      </c>
      <c r="G209" s="118">
        <f>'Returns per Gal.'!F209</f>
        <v>5.5563987890879316</v>
      </c>
      <c r="H209" s="118">
        <f>'Returns per Gal.'!G209</f>
        <v>7.34</v>
      </c>
      <c r="I209" s="297"/>
      <c r="J209" s="27"/>
      <c r="K209" s="93">
        <f>D209*'Economic Model'!C$30</f>
        <v>6.5271785267761784</v>
      </c>
      <c r="L209" s="93">
        <f>E209/2000*'Economic Model'!C$32</f>
        <v>1.5936309523809522</v>
      </c>
      <c r="M209" s="319">
        <f>F209*'Economic Model'!C$33</f>
        <v>0.37609000000000004</v>
      </c>
      <c r="N209" s="93">
        <f t="shared" si="53"/>
        <v>8.4968994791571308</v>
      </c>
      <c r="O209" s="93">
        <f t="shared" si="54"/>
        <v>6.6847383446116764</v>
      </c>
      <c r="P209" s="105"/>
      <c r="Q209" s="94"/>
      <c r="R209" s="93">
        <f>G209+(H209*'Economic Model'!C$30*'Economic Model'!C$34/1000)+('Economic Model'!K$63/100)</f>
        <v>6.8092587890879317</v>
      </c>
      <c r="S209" s="93">
        <f>R209+('Economic Model'!K$60/100)</f>
        <v>7.3685599236333861</v>
      </c>
      <c r="T209" s="121"/>
      <c r="U209" s="94"/>
      <c r="V209" s="93">
        <f t="shared" si="55"/>
        <v>1.6876406900691991</v>
      </c>
      <c r="W209" s="93">
        <f t="shared" si="56"/>
        <v>1.1283395555237448</v>
      </c>
      <c r="X209" s="105"/>
      <c r="Y209" s="120"/>
      <c r="Z209" s="147">
        <f>W209/('Economic Model'!H$14*(1-'Economic Model'!C$25/100))</f>
        <v>0.34359421086103642</v>
      </c>
      <c r="AA209" s="52"/>
      <c r="AB209" s="52"/>
      <c r="AC209" s="27"/>
      <c r="AD209" s="17">
        <v>1.1372549019607843</v>
      </c>
      <c r="AE209" s="17">
        <f t="shared" si="48"/>
        <v>2.4508823529411763</v>
      </c>
      <c r="AF209" s="17">
        <v>3.5881372549019606</v>
      </c>
      <c r="AG209" s="27"/>
      <c r="AH209" s="93">
        <f>AF209+(H209*'Economic Model'!C$30*'Economic Model'!C$34/1000)+('Economic Model'!K$63/100)</f>
        <v>4.8409972549019606</v>
      </c>
      <c r="AI209" s="93">
        <f>AH209+('Economic Model'!K$60/100)</f>
        <v>5.400298389447415</v>
      </c>
      <c r="AJ209" s="120"/>
      <c r="AK209" s="91">
        <f t="shared" si="57"/>
        <v>3.6559022242551702</v>
      </c>
      <c r="AL209" s="91">
        <f t="shared" si="58"/>
        <v>3.0966010897097158</v>
      </c>
      <c r="AM209" s="91">
        <f t="shared" si="59"/>
        <v>1.1283395555237448</v>
      </c>
      <c r="AN209" s="91">
        <f t="shared" si="60"/>
        <v>1.9682615341859711</v>
      </c>
      <c r="AO209" s="52"/>
    </row>
    <row r="210" spans="1:41" x14ac:dyDescent="0.2">
      <c r="A210" s="182">
        <v>44470</v>
      </c>
      <c r="B210" s="52"/>
      <c r="C210" s="53"/>
      <c r="D210" s="118">
        <f>'Returns per Gal.'!C210</f>
        <v>2.4010000467300414</v>
      </c>
      <c r="E210" s="119">
        <f>'Returns per Gal.'!D210</f>
        <v>180.95</v>
      </c>
      <c r="F210" s="316">
        <f>'Returns per Gal.'!E210</f>
        <v>0.61229999999999996</v>
      </c>
      <c r="G210" s="118">
        <f>'Returns per Gal.'!F210</f>
        <v>5.302375012636185</v>
      </c>
      <c r="H210" s="118">
        <f>'Returns per Gal.'!G210</f>
        <v>7.88</v>
      </c>
      <c r="I210" s="297"/>
      <c r="J210" s="27"/>
      <c r="K210" s="93">
        <f>D210*'Economic Model'!C$30</f>
        <v>6.842850133180618</v>
      </c>
      <c r="L210" s="93">
        <f>E210/2000*'Economic Model'!C$32</f>
        <v>1.4837899999999999</v>
      </c>
      <c r="M210" s="319">
        <f>F210*'Economic Model'!C$33</f>
        <v>0.39799499999999999</v>
      </c>
      <c r="N210" s="93">
        <f t="shared" si="53"/>
        <v>8.7246351331806178</v>
      </c>
      <c r="O210" s="93">
        <f t="shared" si="54"/>
        <v>6.8663039986351633</v>
      </c>
      <c r="P210" s="105"/>
      <c r="Q210" s="94"/>
      <c r="R210" s="93">
        <f>G210+(H210*'Economic Model'!C$30*'Economic Model'!C$34/1000)+('Economic Model'!K$63/100)</f>
        <v>6.6014050126361852</v>
      </c>
      <c r="S210" s="93">
        <f>R210+('Economic Model'!K$60/100)</f>
        <v>7.1607061471816396</v>
      </c>
      <c r="T210" s="121"/>
      <c r="U210" s="94"/>
      <c r="V210" s="93">
        <f t="shared" si="55"/>
        <v>2.1232301205444326</v>
      </c>
      <c r="W210" s="93">
        <f t="shared" si="56"/>
        <v>1.5639289859989782</v>
      </c>
      <c r="X210" s="105"/>
      <c r="Y210" s="120"/>
      <c r="Z210" s="147">
        <f>W210/('Economic Model'!H$14*(1-'Economic Model'!C$25/100))</f>
        <v>0.47623691215681369</v>
      </c>
      <c r="AA210" s="52"/>
      <c r="AB210" s="52"/>
      <c r="AC210" s="27"/>
      <c r="AD210" s="17">
        <v>1.1372549019607843</v>
      </c>
      <c r="AE210" s="17">
        <f t="shared" si="48"/>
        <v>2.4508823529411763</v>
      </c>
      <c r="AF210" s="17">
        <v>3.5881372549019606</v>
      </c>
      <c r="AG210" s="27"/>
      <c r="AH210" s="93">
        <f>AF210+(H210*'Economic Model'!C$30*'Economic Model'!C$34/1000)+('Economic Model'!K$63/100)</f>
        <v>4.8871672549019607</v>
      </c>
      <c r="AI210" s="93">
        <f>AH210+('Economic Model'!K$60/100)</f>
        <v>5.4464683894474151</v>
      </c>
      <c r="AJ210" s="120"/>
      <c r="AK210" s="91">
        <f t="shared" si="57"/>
        <v>3.8374678782786571</v>
      </c>
      <c r="AL210" s="91">
        <f t="shared" si="58"/>
        <v>3.2781667437332027</v>
      </c>
      <c r="AM210" s="91">
        <f t="shared" si="59"/>
        <v>1.5639289859989782</v>
      </c>
      <c r="AN210" s="91">
        <f t="shared" si="60"/>
        <v>1.7142377577342245</v>
      </c>
      <c r="AO210" s="52"/>
    </row>
    <row r="211" spans="1:41" x14ac:dyDescent="0.2">
      <c r="A211" s="182">
        <v>44501</v>
      </c>
      <c r="B211" s="52"/>
      <c r="C211" s="53"/>
      <c r="D211" s="118">
        <f>'Returns per Gal.'!C211</f>
        <v>3.1180000007152557</v>
      </c>
      <c r="E211" s="119">
        <f>'Returns per Gal.'!D211</f>
        <v>163.96250000000001</v>
      </c>
      <c r="F211" s="316">
        <f>'Returns per Gal.'!E211</f>
        <v>0.6079</v>
      </c>
      <c r="G211" s="118">
        <f>'Returns per Gal.'!F211</f>
        <v>5.6642624855041506</v>
      </c>
      <c r="H211" s="118">
        <f>'Returns per Gal.'!G211</f>
        <v>8.75</v>
      </c>
      <c r="I211" s="297"/>
      <c r="J211" s="27"/>
      <c r="K211" s="93">
        <f>D211*'Economic Model'!C$30</f>
        <v>8.8863000020384799</v>
      </c>
      <c r="L211" s="93">
        <f>E211/2000*'Economic Model'!C$32</f>
        <v>1.3444924999999999</v>
      </c>
      <c r="M211" s="319">
        <f>F211*'Economic Model'!C$33</f>
        <v>0.39513500000000001</v>
      </c>
      <c r="N211" s="93">
        <f t="shared" si="53"/>
        <v>10.625927502038479</v>
      </c>
      <c r="O211" s="93">
        <f t="shared" si="54"/>
        <v>8.6932113674930243</v>
      </c>
      <c r="P211" s="105"/>
      <c r="Q211" s="94"/>
      <c r="R211" s="93">
        <f>G211+(H211*'Economic Model'!C$30*'Economic Model'!C$34/1000)+('Economic Model'!K$63/100)</f>
        <v>7.0376774855041502</v>
      </c>
      <c r="S211" s="93">
        <f>R211+('Economic Model'!K$60/100)</f>
        <v>7.5969786200496046</v>
      </c>
      <c r="T211" s="121"/>
      <c r="U211" s="94"/>
      <c r="V211" s="93">
        <f t="shared" si="55"/>
        <v>3.588250016534329</v>
      </c>
      <c r="W211" s="93">
        <f t="shared" si="56"/>
        <v>3.0289488819888746</v>
      </c>
      <c r="X211" s="105"/>
      <c r="Y211" s="120"/>
      <c r="Z211" s="147">
        <f>W211/('Economic Model'!H$14*(1-'Economic Model'!C$25/100))</f>
        <v>0.9223547076325862</v>
      </c>
      <c r="AA211" s="52"/>
      <c r="AB211" s="52"/>
      <c r="AC211" s="27"/>
      <c r="AD211" s="17">
        <v>1.1372549019607843</v>
      </c>
      <c r="AE211" s="17">
        <f t="shared" si="48"/>
        <v>2.4508823529411763</v>
      </c>
      <c r="AF211" s="17">
        <v>3.5881372549019606</v>
      </c>
      <c r="AG211" s="27"/>
      <c r="AH211" s="93">
        <f>AF211+(H211*'Economic Model'!C$30*'Economic Model'!C$34/1000)+('Economic Model'!K$63/100)</f>
        <v>4.9615522549019602</v>
      </c>
      <c r="AI211" s="93">
        <f>AH211+('Economic Model'!K$60/100)</f>
        <v>5.5208533894474145</v>
      </c>
      <c r="AJ211" s="120"/>
      <c r="AK211" s="91">
        <f t="shared" si="57"/>
        <v>5.664375247136519</v>
      </c>
      <c r="AL211" s="91">
        <f t="shared" si="58"/>
        <v>5.1050741125910646</v>
      </c>
      <c r="AM211" s="91">
        <f t="shared" si="59"/>
        <v>3.0289488819888737</v>
      </c>
      <c r="AN211" s="91">
        <f t="shared" si="60"/>
        <v>2.07612523060219</v>
      </c>
      <c r="AO211" s="52"/>
    </row>
    <row r="212" spans="1:41" x14ac:dyDescent="0.2">
      <c r="A212" s="68">
        <v>44531</v>
      </c>
      <c r="B212" s="64"/>
      <c r="C212" s="56"/>
      <c r="D212" s="128">
        <f>'Returns per Gal.'!C212</f>
        <v>3.0957142852601551</v>
      </c>
      <c r="E212" s="129">
        <f>'Returns per Gal.'!D212</f>
        <v>171.3452380952381</v>
      </c>
      <c r="F212" s="317">
        <f>'Returns per Gal.'!E212</f>
        <v>0.5494</v>
      </c>
      <c r="G212" s="128">
        <f>'Returns per Gal.'!F212</f>
        <v>5.9232142823083063</v>
      </c>
      <c r="H212" s="128">
        <f>'Returns per Gal.'!G212</f>
        <v>9.9499999999999993</v>
      </c>
      <c r="I212" s="304"/>
      <c r="J212" s="29"/>
      <c r="K212" s="97">
        <f>D212*'Economic Model'!C$30</f>
        <v>8.8227857129914415</v>
      </c>
      <c r="L212" s="97">
        <f>E212/2000*'Economic Model'!C$32</f>
        <v>1.4050309523809523</v>
      </c>
      <c r="M212" s="320">
        <f>F212*'Economic Model'!C$33</f>
        <v>0.35711000000000004</v>
      </c>
      <c r="N212" s="97">
        <f t="shared" si="53"/>
        <v>10.584926665372395</v>
      </c>
      <c r="O212" s="97">
        <f t="shared" si="54"/>
        <v>8.549610530826941</v>
      </c>
      <c r="P212" s="107"/>
      <c r="Q212" s="98"/>
      <c r="R212" s="97">
        <f>G212+(H212*'Economic Model'!C$30*'Economic Model'!C$34/1000)+('Economic Model'!K$63/100)</f>
        <v>7.3992292823083057</v>
      </c>
      <c r="S212" s="97">
        <f>R212+('Economic Model'!K$60/100)</f>
        <v>7.9585304168537601</v>
      </c>
      <c r="T212" s="131"/>
      <c r="U212" s="98"/>
      <c r="V212" s="97">
        <f t="shared" si="55"/>
        <v>3.1856973830640891</v>
      </c>
      <c r="W212" s="97">
        <f t="shared" si="56"/>
        <v>2.6263962485186347</v>
      </c>
      <c r="X212" s="107"/>
      <c r="Y212" s="130"/>
      <c r="Z212" s="148">
        <f>W212/('Economic Model'!H$14*(1-'Economic Model'!C$25/100))</f>
        <v>0.79977214483034798</v>
      </c>
      <c r="AA212" s="64"/>
      <c r="AB212" s="64"/>
      <c r="AC212" s="29"/>
      <c r="AD212" s="65">
        <v>1.1372549019607843</v>
      </c>
      <c r="AE212" s="65">
        <f t="shared" si="48"/>
        <v>2.4508823529411763</v>
      </c>
      <c r="AF212" s="65">
        <v>3.5881372549019606</v>
      </c>
      <c r="AG212" s="29"/>
      <c r="AH212" s="97">
        <f>AF212+(H212*'Economic Model'!C$30*'Economic Model'!C$34/1000)+('Economic Model'!K$63/100)</f>
        <v>5.06415225490196</v>
      </c>
      <c r="AI212" s="97">
        <f>AH212+('Economic Model'!K$60/100)</f>
        <v>5.6234533894474144</v>
      </c>
      <c r="AJ212" s="130"/>
      <c r="AK212" s="92">
        <f t="shared" si="57"/>
        <v>5.5207744104704348</v>
      </c>
      <c r="AL212" s="92">
        <f t="shared" si="58"/>
        <v>4.9614732759249804</v>
      </c>
      <c r="AM212" s="92">
        <f t="shared" si="59"/>
        <v>2.6263962485186347</v>
      </c>
      <c r="AN212" s="92">
        <f t="shared" si="60"/>
        <v>2.3350770274063457</v>
      </c>
      <c r="AO212" s="64"/>
    </row>
    <row r="213" spans="1:41" x14ac:dyDescent="0.2">
      <c r="A213" s="292">
        <v>44562</v>
      </c>
      <c r="B213" s="62"/>
      <c r="C213" s="287"/>
      <c r="D213" s="141">
        <f>'Returns per Gal.'!C213</f>
        <v>2.2252499729394914</v>
      </c>
      <c r="E213" s="142">
        <f>'Returns per Gal.'!D213</f>
        <v>193.65</v>
      </c>
      <c r="F213" s="318">
        <f>'Returns per Gal.'!E213</f>
        <v>0.59549999999999992</v>
      </c>
      <c r="G213" s="141">
        <f>'Returns per Gal.'!F213</f>
        <v>6.0421250224113461</v>
      </c>
      <c r="H213" s="141">
        <f>'Returns per Gal.'!G213</f>
        <v>8.42</v>
      </c>
      <c r="I213" s="295"/>
      <c r="J213" s="183"/>
      <c r="K213" s="101">
        <f>D213*'Economic Model'!C$30</f>
        <v>6.3419624228775504</v>
      </c>
      <c r="L213" s="101">
        <f>E213/2000*'Economic Model'!C$32</f>
        <v>1.5879300000000001</v>
      </c>
      <c r="M213" s="321">
        <f>F213*'Economic Model'!C$33</f>
        <v>0.38707499999999995</v>
      </c>
      <c r="N213" s="101">
        <f t="shared" si="53"/>
        <v>8.3169674228775499</v>
      </c>
      <c r="O213" s="101">
        <f t="shared" si="54"/>
        <v>6.4124662883320962</v>
      </c>
      <c r="P213" s="116"/>
      <c r="Q213" s="102"/>
      <c r="R213" s="101">
        <f>G213+(H213*'Economic Model'!C$30*'Economic Model'!C$34/1000)+('Economic Model'!K$63/100)</f>
        <v>7.3873250224113454</v>
      </c>
      <c r="S213" s="101">
        <f>R213+('Economic Model'!K$60/100)</f>
        <v>7.9466261569567997</v>
      </c>
      <c r="T213" s="144"/>
      <c r="U213" s="102"/>
      <c r="V213" s="101">
        <f t="shared" si="55"/>
        <v>0.9296424004662045</v>
      </c>
      <c r="W213" s="101">
        <f t="shared" si="56"/>
        <v>0.37034126592075012</v>
      </c>
      <c r="X213" s="116"/>
      <c r="Y213" s="145"/>
      <c r="Z213" s="149">
        <f>W213/('Economic Model'!H$14*(1-'Economic Model'!C$25/100))</f>
        <v>0.11277377841659793</v>
      </c>
      <c r="AA213" s="62"/>
      <c r="AB213" s="62"/>
      <c r="AC213" s="183"/>
      <c r="AD213" s="288">
        <v>1.1372549019607843</v>
      </c>
      <c r="AE213" s="288">
        <f t="shared" si="48"/>
        <v>2.4508823529411763</v>
      </c>
      <c r="AF213" s="288">
        <v>3.5881372549019606</v>
      </c>
      <c r="AG213" s="183"/>
      <c r="AH213" s="101">
        <f>AF213+(H213*'Economic Model'!C$30*'Economic Model'!C$34/1000)+('Economic Model'!K$63/100)</f>
        <v>4.9333372549019598</v>
      </c>
      <c r="AI213" s="101">
        <f>AH213+('Economic Model'!K$60/100)</f>
        <v>5.4926383894474142</v>
      </c>
      <c r="AJ213" s="145"/>
      <c r="AK213" s="289">
        <f t="shared" si="57"/>
        <v>3.38363016797559</v>
      </c>
      <c r="AL213" s="289">
        <f t="shared" si="58"/>
        <v>2.8243290334301356</v>
      </c>
      <c r="AM213" s="289">
        <f t="shared" si="59"/>
        <v>0.37034126592075012</v>
      </c>
      <c r="AN213" s="289">
        <f t="shared" si="60"/>
        <v>2.4539877675093855</v>
      </c>
      <c r="AO213" s="290"/>
    </row>
    <row r="214" spans="1:41" x14ac:dyDescent="0.2">
      <c r="A214" s="182">
        <v>44593</v>
      </c>
      <c r="B214" s="52"/>
      <c r="C214" s="53"/>
      <c r="D214" s="118">
        <f>'Returns per Gal.'!C214</f>
        <v>2.0268421204466569</v>
      </c>
      <c r="E214" s="119">
        <f>'Returns per Gal.'!D214</f>
        <v>227.30263157894737</v>
      </c>
      <c r="F214" s="316">
        <f>'Returns per Gal.'!E214</f>
        <v>0.71239999999999992</v>
      </c>
      <c r="G214" s="118">
        <f>'Returns per Gal.'!F214</f>
        <v>6.3834539338162068</v>
      </c>
      <c r="H214" s="118">
        <f>'Returns per Gal.'!G214</f>
        <v>8.76</v>
      </c>
      <c r="I214" s="296">
        <v>9.44</v>
      </c>
      <c r="J214" s="27"/>
      <c r="K214" s="93">
        <f>D214*'Economic Model'!C$30</f>
        <v>5.7765000432729723</v>
      </c>
      <c r="L214" s="93">
        <f>E214/2000*'Economic Model'!C$32</f>
        <v>1.8638815789473682</v>
      </c>
      <c r="M214" s="319">
        <f>F214*'Economic Model'!C$33</f>
        <v>0.46305999999999997</v>
      </c>
      <c r="N214" s="93">
        <f t="shared" si="53"/>
        <v>8.1034416222203411</v>
      </c>
      <c r="O214" s="93">
        <f t="shared" si="54"/>
        <v>6.1698704876748858</v>
      </c>
      <c r="P214" s="105"/>
      <c r="Q214" s="94"/>
      <c r="R214" s="93">
        <f>G214+(H214*'Economic Model'!C$30*'Economic Model'!C$34/1000)+('Economic Model'!K$63/100)</f>
        <v>7.757723933816207</v>
      </c>
      <c r="S214" s="93">
        <f>R214+('Economic Model'!K$60/100)</f>
        <v>8.3170250683616622</v>
      </c>
      <c r="T214" s="121"/>
      <c r="U214" s="94"/>
      <c r="V214" s="93">
        <f t="shared" si="55"/>
        <v>0.34571768840413419</v>
      </c>
      <c r="W214" s="93">
        <f t="shared" si="56"/>
        <v>-0.21358344614132108</v>
      </c>
      <c r="X214" s="105"/>
      <c r="Y214" s="120"/>
      <c r="Z214" s="147">
        <f>W214/('Economic Model'!H$14*(1-'Economic Model'!C$25/100))</f>
        <v>-6.5038963909976613E-2</v>
      </c>
      <c r="AA214" s="52"/>
      <c r="AB214" s="52"/>
      <c r="AC214" s="27"/>
      <c r="AD214" s="17">
        <v>1.1372549019607843</v>
      </c>
      <c r="AE214" s="17">
        <f t="shared" si="48"/>
        <v>2.4508823529411763</v>
      </c>
      <c r="AF214" s="17">
        <v>3.5881372549019606</v>
      </c>
      <c r="AG214" s="27"/>
      <c r="AH214" s="93">
        <f>AF214+(H214*'Economic Model'!C$30*'Economic Model'!C$34/1000)+('Economic Model'!K$63/100)</f>
        <v>4.9624072549019598</v>
      </c>
      <c r="AI214" s="93">
        <f>AH214+('Economic Model'!K$60/100)</f>
        <v>5.5217083894474142</v>
      </c>
      <c r="AJ214" s="120"/>
      <c r="AK214" s="91">
        <f t="shared" si="57"/>
        <v>3.1410343673183814</v>
      </c>
      <c r="AL214" s="91">
        <f t="shared" si="58"/>
        <v>2.581733232772927</v>
      </c>
      <c r="AM214" s="91">
        <f t="shared" si="59"/>
        <v>-0.21358344614132108</v>
      </c>
      <c r="AN214" s="91">
        <f t="shared" si="60"/>
        <v>2.7953166789142463</v>
      </c>
      <c r="AO214" s="264"/>
    </row>
    <row r="215" spans="1:41" x14ac:dyDescent="0.2">
      <c r="A215" s="182">
        <v>44621</v>
      </c>
      <c r="B215" s="52"/>
      <c r="C215" s="53"/>
      <c r="D215" s="118">
        <f>'Returns per Gal.'!C215</f>
        <v>2.3513043393259463</v>
      </c>
      <c r="E215" s="119">
        <f>'Returns per Gal.'!D215</f>
        <v>262.71739130434781</v>
      </c>
      <c r="F215" s="316">
        <f>'Returns per Gal.'!E215</f>
        <v>0.8175</v>
      </c>
      <c r="G215" s="118">
        <f>'Returns per Gal.'!F215</f>
        <v>7.1393478538679043</v>
      </c>
      <c r="H215" s="118">
        <f>'Returns per Gal.'!G215</f>
        <v>9.42</v>
      </c>
      <c r="I215" s="297">
        <v>10.44</v>
      </c>
      <c r="J215" s="27"/>
      <c r="K215" s="93">
        <f>D215*'Economic Model'!C$30</f>
        <v>6.7012173670789474</v>
      </c>
      <c r="L215" s="93">
        <f>E215/2000*'Economic Model'!C$32</f>
        <v>2.1542826086956519</v>
      </c>
      <c r="M215" s="319">
        <f>F215*'Economic Model'!C$33</f>
        <v>0.53137500000000004</v>
      </c>
      <c r="N215" s="93">
        <f t="shared" ref="N215:N222" si="61">K215+L215+M215</f>
        <v>9.3868749757745995</v>
      </c>
      <c r="O215" s="93">
        <f t="shared" ref="O215:O222" si="62">N215-S215+G215</f>
        <v>7.3968738412291435</v>
      </c>
      <c r="P215" s="105"/>
      <c r="Q215" s="94"/>
      <c r="R215" s="93">
        <f>G215+(H215*'Economic Model'!C$30*'Economic Model'!C$34/1000)+('Economic Model'!K$63/100)</f>
        <v>8.570047853867905</v>
      </c>
      <c r="S215" s="93">
        <f>R215+('Economic Model'!K$60/100)</f>
        <v>9.1293489884133603</v>
      </c>
      <c r="T215" s="121"/>
      <c r="U215" s="94"/>
      <c r="V215" s="93">
        <f t="shared" ref="V215:V223" si="63">N215-R215</f>
        <v>0.81682712190669449</v>
      </c>
      <c r="W215" s="93">
        <f t="shared" ref="W215:W222" si="64">N215-S215</f>
        <v>0.25752598736123922</v>
      </c>
      <c r="X215" s="105"/>
      <c r="Y215" s="120"/>
      <c r="Z215" s="147">
        <f>W215/('Economic Model'!H$14*(1-'Economic Model'!C$25/100))</f>
        <v>7.8420044720068457E-2</v>
      </c>
      <c r="AA215" s="52"/>
      <c r="AB215" s="52"/>
      <c r="AC215" s="27"/>
      <c r="AD215" s="17">
        <v>1.1372549019607843</v>
      </c>
      <c r="AE215" s="17">
        <f t="shared" si="48"/>
        <v>2.4508823529411763</v>
      </c>
      <c r="AF215" s="17">
        <v>3.5881372549019606</v>
      </c>
      <c r="AG215" s="27"/>
      <c r="AH215" s="93">
        <f>AF215+(H215*'Economic Model'!C$30*'Economic Model'!C$34/1000)+('Economic Model'!K$63/100)</f>
        <v>5.0188372549019604</v>
      </c>
      <c r="AI215" s="93">
        <f>AH215+('Economic Model'!K$60/100)</f>
        <v>5.5781383894474148</v>
      </c>
      <c r="AJ215" s="120"/>
      <c r="AK215" s="91">
        <f t="shared" ref="AK215:AK223" si="65">N215-AH215</f>
        <v>4.3680377208726391</v>
      </c>
      <c r="AL215" s="91">
        <f t="shared" ref="AL215:AL223" si="66">N215-AI215</f>
        <v>3.8087365863271847</v>
      </c>
      <c r="AM215" s="91">
        <f t="shared" ref="AM215:AM223" si="67">O215-G215</f>
        <v>0.25752598736123922</v>
      </c>
      <c r="AN215" s="91">
        <f t="shared" ref="AN215:AN223" si="68">G215-AF215</f>
        <v>3.5512105989659437</v>
      </c>
      <c r="AO215" s="264"/>
    </row>
    <row r="216" spans="1:41" x14ac:dyDescent="0.2">
      <c r="A216" s="182">
        <v>44652</v>
      </c>
      <c r="B216" s="52"/>
      <c r="C216" s="53"/>
      <c r="D216" s="118">
        <f>'Returns per Gal.'!C216</f>
        <v>2.5026190848577592</v>
      </c>
      <c r="E216" s="119">
        <f>'Returns per Gal.'!D216</f>
        <v>286.07142857142856</v>
      </c>
      <c r="F216" s="316">
        <f>'Returns per Gal.'!E216</f>
        <v>0.80559999999999998</v>
      </c>
      <c r="G216" s="118">
        <f>'Returns per Gal.'!F216</f>
        <v>7.7159226281302313</v>
      </c>
      <c r="H216" s="118">
        <f>'Returns per Gal.'!G216</f>
        <v>8.58</v>
      </c>
      <c r="I216" s="297">
        <v>11.44</v>
      </c>
      <c r="J216" s="27"/>
      <c r="K216" s="93">
        <f>D216*'Economic Model'!C$30</f>
        <v>7.1324643918446142</v>
      </c>
      <c r="L216" s="93">
        <f>E216/2000*'Economic Model'!C$32</f>
        <v>2.3457857142857139</v>
      </c>
      <c r="M216" s="319">
        <f>F216*'Economic Model'!C$33</f>
        <v>0.52363999999999999</v>
      </c>
      <c r="N216" s="93">
        <f t="shared" si="61"/>
        <v>10.001890106130329</v>
      </c>
      <c r="O216" s="93">
        <f t="shared" si="62"/>
        <v>8.0837089715848744</v>
      </c>
      <c r="P216" s="105"/>
      <c r="Q216" s="94"/>
      <c r="R216" s="93">
        <f>G216+(H216*'Economic Model'!C$30*'Economic Model'!C$34/1000)+('Economic Model'!K$63/100)</f>
        <v>9.0748026281302305</v>
      </c>
      <c r="S216" s="93">
        <f>R216+('Economic Model'!K$60/100)</f>
        <v>9.6341037626756858</v>
      </c>
      <c r="T216" s="121"/>
      <c r="U216" s="94"/>
      <c r="V216" s="93">
        <f t="shared" si="63"/>
        <v>0.92708747800009839</v>
      </c>
      <c r="W216" s="93">
        <f t="shared" si="64"/>
        <v>0.36778634345464312</v>
      </c>
      <c r="X216" s="105"/>
      <c r="Y216" s="120"/>
      <c r="Z216" s="147">
        <f>W216/('Economic Model'!H$14*(1-'Economic Model'!C$25/100))</f>
        <v>0.11199577097703271</v>
      </c>
      <c r="AA216" s="52"/>
      <c r="AB216" s="52"/>
      <c r="AC216" s="27"/>
      <c r="AD216" s="17">
        <v>1.1372549019607843</v>
      </c>
      <c r="AE216" s="17">
        <f t="shared" si="48"/>
        <v>2.4508823529411763</v>
      </c>
      <c r="AF216" s="17">
        <v>3.5881372549019606</v>
      </c>
      <c r="AG216" s="27"/>
      <c r="AH216" s="93">
        <f>AF216+(H216*'Economic Model'!C$30*'Economic Model'!C$34/1000)+('Economic Model'!K$63/100)</f>
        <v>4.9470172549019606</v>
      </c>
      <c r="AI216" s="93">
        <f>AH216+('Economic Model'!K$60/100)</f>
        <v>5.506318389447415</v>
      </c>
      <c r="AJ216" s="120"/>
      <c r="AK216" s="91">
        <f t="shared" si="65"/>
        <v>5.0548728512283683</v>
      </c>
      <c r="AL216" s="91">
        <f t="shared" si="66"/>
        <v>4.4955717166829139</v>
      </c>
      <c r="AM216" s="91">
        <f t="shared" si="67"/>
        <v>0.36778634345464312</v>
      </c>
      <c r="AN216" s="91">
        <f t="shared" si="68"/>
        <v>4.1277853732282708</v>
      </c>
      <c r="AO216" s="264"/>
    </row>
    <row r="217" spans="1:41" x14ac:dyDescent="0.2">
      <c r="A217" s="182">
        <v>44682</v>
      </c>
      <c r="B217" s="52"/>
      <c r="C217" s="53"/>
      <c r="D217" s="118">
        <f>'Returns per Gal.'!C217</f>
        <v>2.7110526122544942</v>
      </c>
      <c r="E217" s="119">
        <f>'Returns per Gal.'!D217</f>
        <v>276.75</v>
      </c>
      <c r="F217" s="316">
        <f>'Returns per Gal.'!E217</f>
        <v>0.82869999999999999</v>
      </c>
      <c r="G217" s="118">
        <f>'Returns per Gal.'!F217</f>
        <v>7.7598059213764614</v>
      </c>
      <c r="H217" s="118">
        <f>'Returns per Gal.'!G217</f>
        <v>8.92</v>
      </c>
      <c r="I217" s="297">
        <v>12.44</v>
      </c>
      <c r="J217" s="27"/>
      <c r="K217" s="93">
        <f>D217*'Economic Model'!C$30</f>
        <v>7.7264999449253091</v>
      </c>
      <c r="L217" s="93">
        <f>E217/2000*'Economic Model'!C$32</f>
        <v>2.2693499999999998</v>
      </c>
      <c r="M217" s="319">
        <f>F217*'Economic Model'!C$33</f>
        <v>0.53865499999999999</v>
      </c>
      <c r="N217" s="93">
        <f t="shared" si="61"/>
        <v>10.53450494492531</v>
      </c>
      <c r="O217" s="93">
        <f t="shared" si="62"/>
        <v>8.5872538103798544</v>
      </c>
      <c r="P217" s="105"/>
      <c r="Q217" s="94"/>
      <c r="R217" s="93">
        <f>G217+(H217*'Economic Model'!C$30*'Economic Model'!C$34/1000)+('Economic Model'!K$63/100)</f>
        <v>9.1477559213764614</v>
      </c>
      <c r="S217" s="93">
        <f>R217+('Economic Model'!K$60/100)</f>
        <v>9.7070570559219167</v>
      </c>
      <c r="T217" s="121"/>
      <c r="U217" s="94"/>
      <c r="V217" s="93">
        <f t="shared" si="63"/>
        <v>1.3867490235488482</v>
      </c>
      <c r="W217" s="93">
        <f t="shared" si="64"/>
        <v>0.82744788900339294</v>
      </c>
      <c r="X217" s="105"/>
      <c r="Y217" s="120"/>
      <c r="Z217" s="147">
        <f>W217/('Economic Model'!H$14*(1-'Economic Model'!C$25/100))</f>
        <v>0.25196874740315556</v>
      </c>
      <c r="AA217" s="52"/>
      <c r="AB217" s="52"/>
      <c r="AC217" s="27"/>
      <c r="AD217" s="17">
        <v>1.1372549019607843</v>
      </c>
      <c r="AE217" s="17">
        <f t="shared" si="48"/>
        <v>2.4508823529411763</v>
      </c>
      <c r="AF217" s="17">
        <v>3.5881372549019606</v>
      </c>
      <c r="AG217" s="27"/>
      <c r="AH217" s="93">
        <f>AF217+(H217*'Economic Model'!C$30*'Economic Model'!C$34/1000)+('Economic Model'!K$63/100)</f>
        <v>4.9760872549019606</v>
      </c>
      <c r="AI217" s="93">
        <f>AH217+('Economic Model'!K$60/100)</f>
        <v>5.535388389447415</v>
      </c>
      <c r="AJ217" s="120"/>
      <c r="AK217" s="91">
        <f t="shared" si="65"/>
        <v>5.5584176900233491</v>
      </c>
      <c r="AL217" s="91">
        <f t="shared" si="66"/>
        <v>4.9991165554778947</v>
      </c>
      <c r="AM217" s="91">
        <f t="shared" si="67"/>
        <v>0.82744788900339294</v>
      </c>
      <c r="AN217" s="91">
        <f t="shared" si="68"/>
        <v>4.1716686664745009</v>
      </c>
      <c r="AO217" s="264"/>
    </row>
    <row r="218" spans="1:41" x14ac:dyDescent="0.2">
      <c r="A218" s="182">
        <v>44713</v>
      </c>
      <c r="B218" s="52"/>
      <c r="C218" s="53"/>
      <c r="D218" s="118">
        <f>'Returns per Gal.'!C218</f>
        <v>2.6997500002384185</v>
      </c>
      <c r="E218" s="119">
        <f>'Returns per Gal.'!D218</f>
        <v>230.3125</v>
      </c>
      <c r="F218" s="316">
        <f>'Returns per Gal.'!E218</f>
        <v>0.76430000000000009</v>
      </c>
      <c r="G218" s="118">
        <f>'Returns per Gal.'!F218</f>
        <v>7.8222812652587894</v>
      </c>
      <c r="H218" s="118">
        <f>'Returns per Gal.'!G218</f>
        <v>9.19</v>
      </c>
      <c r="I218" s="297">
        <v>13.44</v>
      </c>
      <c r="J218" s="27"/>
      <c r="K218" s="93">
        <f>D218*'Economic Model'!C$30</f>
        <v>7.6942875006794926</v>
      </c>
      <c r="L218" s="93">
        <f>E218/2000*'Economic Model'!C$32</f>
        <v>1.8885624999999999</v>
      </c>
      <c r="M218" s="319">
        <f>F218*'Economic Model'!C$33</f>
        <v>0.4967950000000001</v>
      </c>
      <c r="N218" s="93">
        <f t="shared" si="61"/>
        <v>10.079645000679493</v>
      </c>
      <c r="O218" s="93">
        <f t="shared" si="62"/>
        <v>8.1093088661340378</v>
      </c>
      <c r="P218" s="105"/>
      <c r="Q218" s="94"/>
      <c r="R218" s="93">
        <f>G218+(H218*'Economic Model'!C$30*'Economic Model'!C$34/1000)+('Economic Model'!K$63/100)</f>
        <v>9.2333162652587895</v>
      </c>
      <c r="S218" s="93">
        <f>R218+('Economic Model'!K$60/100)</f>
        <v>9.7926173998042447</v>
      </c>
      <c r="T218" s="121"/>
      <c r="U218" s="94"/>
      <c r="V218" s="93">
        <f t="shared" si="63"/>
        <v>0.84632873542070364</v>
      </c>
      <c r="W218" s="93">
        <f t="shared" si="64"/>
        <v>0.28702760087524837</v>
      </c>
      <c r="X218" s="105"/>
      <c r="Y218" s="120"/>
      <c r="Z218" s="147">
        <f>W218/('Economic Model'!H$14*(1-'Economic Model'!C$25/100))</f>
        <v>8.7403673420179157E-2</v>
      </c>
      <c r="AA218" s="52"/>
      <c r="AB218" s="52"/>
      <c r="AC218" s="27"/>
      <c r="AD218" s="17">
        <v>1.1372549019607843</v>
      </c>
      <c r="AE218" s="17">
        <f t="shared" si="48"/>
        <v>2.4508823529411763</v>
      </c>
      <c r="AF218" s="17">
        <v>3.5881372549019606</v>
      </c>
      <c r="AG218" s="27"/>
      <c r="AH218" s="93">
        <f>AF218+(H218*'Economic Model'!C$30*'Economic Model'!C$34/1000)+('Economic Model'!K$63/100)</f>
        <v>4.9991722549019606</v>
      </c>
      <c r="AI218" s="93">
        <f>AH218+('Economic Model'!K$60/100)</f>
        <v>5.558473389447415</v>
      </c>
      <c r="AJ218" s="120"/>
      <c r="AK218" s="91">
        <f t="shared" si="65"/>
        <v>5.0804727457775325</v>
      </c>
      <c r="AL218" s="91">
        <f t="shared" si="66"/>
        <v>4.5211716112320781</v>
      </c>
      <c r="AM218" s="91">
        <f t="shared" si="67"/>
        <v>0.28702760087524837</v>
      </c>
      <c r="AN218" s="91">
        <f t="shared" si="68"/>
        <v>4.2341440103568289</v>
      </c>
      <c r="AO218" s="264"/>
    </row>
    <row r="219" spans="1:41" x14ac:dyDescent="0.2">
      <c r="A219" s="182">
        <v>44743</v>
      </c>
      <c r="B219" s="52"/>
      <c r="C219" s="53"/>
      <c r="D219" s="118">
        <f>'Returns per Gal.'!C219</f>
        <v>2.5071428428377422</v>
      </c>
      <c r="E219" s="119">
        <f>'Returns per Gal.'!D219</f>
        <v>204.827</v>
      </c>
      <c r="F219" s="316">
        <f>'Returns per Gal.'!E219</f>
        <v>0.68400000000000005</v>
      </c>
      <c r="G219" s="118">
        <f>'Returns per Gal.'!F219</f>
        <v>7.2395816596730533</v>
      </c>
      <c r="H219" s="118">
        <f>'Returns per Gal.'!G219</f>
        <v>7.85</v>
      </c>
      <c r="I219" s="297">
        <v>14.44</v>
      </c>
      <c r="J219" s="27"/>
      <c r="K219" s="93">
        <f>D219*'Economic Model'!C$30</f>
        <v>7.1453571020875657</v>
      </c>
      <c r="L219" s="93">
        <f>E219/2000*'Economic Model'!C$32</f>
        <v>1.6795814</v>
      </c>
      <c r="M219" s="319">
        <f>F219*'Economic Model'!C$33</f>
        <v>0.44460000000000005</v>
      </c>
      <c r="N219" s="93">
        <f t="shared" si="61"/>
        <v>9.2695385020875651</v>
      </c>
      <c r="O219" s="93">
        <f t="shared" si="62"/>
        <v>7.4137723675421103</v>
      </c>
      <c r="P219" s="105"/>
      <c r="Q219" s="94"/>
      <c r="R219" s="93">
        <f>G219+(H219*'Economic Model'!C$30*'Economic Model'!C$34/1000)+('Economic Model'!K$63/100)</f>
        <v>8.5360466596730529</v>
      </c>
      <c r="S219" s="93">
        <f>R219+('Economic Model'!K$60/100)</f>
        <v>9.0953477942185081</v>
      </c>
      <c r="T219" s="121"/>
      <c r="U219" s="94"/>
      <c r="V219" s="93">
        <f t="shared" si="63"/>
        <v>0.73349184241451226</v>
      </c>
      <c r="W219" s="93">
        <f t="shared" si="64"/>
        <v>0.17419070786905699</v>
      </c>
      <c r="X219" s="105"/>
      <c r="Y219" s="120"/>
      <c r="Z219" s="147">
        <f>W219/('Economic Model'!H$14*(1-'Economic Model'!C$25/100))</f>
        <v>5.3043357840816617E-2</v>
      </c>
      <c r="AA219" s="52"/>
      <c r="AB219" s="52"/>
      <c r="AC219" s="27"/>
      <c r="AD219" s="17">
        <v>1.1372549019607843</v>
      </c>
      <c r="AE219" s="17">
        <f t="shared" si="48"/>
        <v>2.4508823529411763</v>
      </c>
      <c r="AF219" s="17">
        <v>3.5881372549019606</v>
      </c>
      <c r="AG219" s="27"/>
      <c r="AH219" s="93">
        <f>AF219+(H219*'Economic Model'!C$30*'Economic Model'!C$34/1000)+('Economic Model'!K$63/100)</f>
        <v>4.8846022549019601</v>
      </c>
      <c r="AI219" s="93">
        <f>AH219+('Economic Model'!K$60/100)</f>
        <v>5.4439033894474145</v>
      </c>
      <c r="AJ219" s="120"/>
      <c r="AK219" s="91">
        <f t="shared" si="65"/>
        <v>4.384936247185605</v>
      </c>
      <c r="AL219" s="91">
        <f t="shared" si="66"/>
        <v>3.8256351126401507</v>
      </c>
      <c r="AM219" s="91">
        <f t="shared" si="67"/>
        <v>0.17419070786905699</v>
      </c>
      <c r="AN219" s="91">
        <f t="shared" si="68"/>
        <v>3.6514444047710928</v>
      </c>
      <c r="AO219" s="264"/>
    </row>
    <row r="220" spans="1:41" x14ac:dyDescent="0.2">
      <c r="A220" s="182">
        <v>44774</v>
      </c>
      <c r="B220" s="52"/>
      <c r="C220" s="53"/>
      <c r="D220" s="118">
        <f>'Returns per Gal.'!C220</f>
        <v>2.4648714285714286</v>
      </c>
      <c r="E220" s="119">
        <f>'Returns per Gal.'!D220</f>
        <v>225.14249999999998</v>
      </c>
      <c r="F220" s="316">
        <f>'Returns per Gal.'!E220</f>
        <v>0.70909999999999995</v>
      </c>
      <c r="G220" s="118">
        <f>'Returns per Gal.'!F220</f>
        <v>7.3412826086956509</v>
      </c>
      <c r="H220" s="118">
        <f>'Returns per Gal.'!G220</f>
        <v>8.19</v>
      </c>
      <c r="I220" s="297">
        <v>15.44</v>
      </c>
      <c r="J220" s="27"/>
      <c r="K220" s="93">
        <f>D220*'Economic Model'!C$30</f>
        <v>7.024883571428572</v>
      </c>
      <c r="L220" s="93">
        <f>E220/2000*'Economic Model'!C$32</f>
        <v>1.8461684999999999</v>
      </c>
      <c r="M220" s="319">
        <f>F220*'Economic Model'!C$33</f>
        <v>0.46091499999999996</v>
      </c>
      <c r="N220" s="93">
        <f t="shared" si="61"/>
        <v>9.3319670714285721</v>
      </c>
      <c r="O220" s="93">
        <f t="shared" si="62"/>
        <v>7.4471309368831173</v>
      </c>
      <c r="P220" s="105"/>
      <c r="Q220" s="94"/>
      <c r="R220" s="93">
        <f>G220+(H220*'Economic Model'!C$30*'Economic Model'!C$34/1000)+('Economic Model'!K$63/100)</f>
        <v>8.6668176086956503</v>
      </c>
      <c r="S220" s="93">
        <f>R220+('Economic Model'!K$60/100)</f>
        <v>9.2261187432411056</v>
      </c>
      <c r="T220" s="121"/>
      <c r="U220" s="94"/>
      <c r="V220" s="93">
        <f t="shared" si="63"/>
        <v>0.66514946273292175</v>
      </c>
      <c r="W220" s="93">
        <f t="shared" si="64"/>
        <v>0.10584832818746648</v>
      </c>
      <c r="X220" s="105"/>
      <c r="Y220" s="120"/>
      <c r="Z220" s="147">
        <f>W220/('Economic Model'!H$14*(1-'Economic Model'!C$25/100))</f>
        <v>3.2232205825356443E-2</v>
      </c>
      <c r="AA220" s="52"/>
      <c r="AB220" s="52"/>
      <c r="AC220" s="27"/>
      <c r="AD220" s="17">
        <v>1.1372549019607843</v>
      </c>
      <c r="AE220" s="17">
        <f t="shared" si="48"/>
        <v>2.4508823529411763</v>
      </c>
      <c r="AF220" s="17">
        <v>3.5881372549019606</v>
      </c>
      <c r="AG220" s="27"/>
      <c r="AH220" s="93">
        <f>AF220+(H220*'Economic Model'!C$30*'Economic Model'!C$34/1000)+('Economic Model'!K$63/100)</f>
        <v>4.91367225490196</v>
      </c>
      <c r="AI220" s="93">
        <f>AH220+('Economic Model'!K$60/100)</f>
        <v>5.4729733894474144</v>
      </c>
      <c r="AJ220" s="120"/>
      <c r="AK220" s="91">
        <f t="shared" si="65"/>
        <v>4.418294816526612</v>
      </c>
      <c r="AL220" s="91">
        <f t="shared" si="66"/>
        <v>3.8589936819811577</v>
      </c>
      <c r="AM220" s="91">
        <f t="shared" si="67"/>
        <v>0.10584832818746648</v>
      </c>
      <c r="AN220" s="91">
        <f t="shared" si="68"/>
        <v>3.7531453537936903</v>
      </c>
      <c r="AO220" s="264"/>
    </row>
    <row r="221" spans="1:41" x14ac:dyDescent="0.2">
      <c r="A221" s="182">
        <v>44805</v>
      </c>
      <c r="B221" s="52"/>
      <c r="C221" s="53"/>
      <c r="D221" s="118">
        <f>'Returns per Gal.'!C221</f>
        <v>2.3894600000000001</v>
      </c>
      <c r="E221" s="119">
        <f>'Returns per Gal.'!D221</f>
        <v>251.84200000000001</v>
      </c>
      <c r="F221" s="316">
        <f>'Returns per Gal.'!E221</f>
        <v>0.73181999999999992</v>
      </c>
      <c r="G221" s="118">
        <f>'Returns per Gal.'!F221</f>
        <v>7.3726690476190493</v>
      </c>
      <c r="H221" s="118">
        <f>'Returns per Gal.'!G221</f>
        <v>9.5299999999999994</v>
      </c>
      <c r="I221" s="297">
        <v>16.440000000000001</v>
      </c>
      <c r="J221" s="27"/>
      <c r="K221" s="93">
        <f>D221*'Economic Model'!C$30</f>
        <v>6.8099610000000004</v>
      </c>
      <c r="L221" s="93">
        <f>E221/2000*'Economic Model'!C$32</f>
        <v>2.0651044000000001</v>
      </c>
      <c r="M221" s="319">
        <f>F221*'Economic Model'!C$33</f>
        <v>0.47568299999999997</v>
      </c>
      <c r="N221" s="93">
        <f t="shared" si="61"/>
        <v>9.3507484000000005</v>
      </c>
      <c r="O221" s="93">
        <f t="shared" si="62"/>
        <v>7.3513422654545453</v>
      </c>
      <c r="P221" s="105"/>
      <c r="Q221" s="94"/>
      <c r="R221" s="93">
        <f>G221+(H221*'Economic Model'!C$30*'Economic Model'!C$34/1000)+('Economic Model'!K$63/100)</f>
        <v>8.8127740476190493</v>
      </c>
      <c r="S221" s="93">
        <f>R221+('Economic Model'!K$60/100)</f>
        <v>9.3720751821645045</v>
      </c>
      <c r="T221" s="121"/>
      <c r="U221" s="94"/>
      <c r="V221" s="93">
        <f t="shared" si="63"/>
        <v>0.53797435238095126</v>
      </c>
      <c r="W221" s="93">
        <f t="shared" si="64"/>
        <v>-2.132678216450401E-2</v>
      </c>
      <c r="X221" s="105"/>
      <c r="Y221" s="120"/>
      <c r="Z221" s="147">
        <f>W221/('Economic Model'!H$14*(1-'Economic Model'!C$25/100))</f>
        <v>-6.4942852106400131E-3</v>
      </c>
      <c r="AA221" s="52"/>
      <c r="AB221" s="52"/>
      <c r="AC221" s="27"/>
      <c r="AD221" s="17">
        <v>1.28</v>
      </c>
      <c r="AE221" s="17">
        <f t="shared" si="48"/>
        <v>3.2319250000000004</v>
      </c>
      <c r="AF221" s="17">
        <v>4.5119250000000006</v>
      </c>
      <c r="AG221" s="27"/>
      <c r="AH221" s="93">
        <f>AF221+(H221*'Economic Model'!C$30*'Economic Model'!C$34/1000)+('Economic Model'!K$63/100)</f>
        <v>5.9520300000000006</v>
      </c>
      <c r="AI221" s="93">
        <f>AH221+('Economic Model'!K$60/100)</f>
        <v>6.511331134545455</v>
      </c>
      <c r="AJ221" s="120"/>
      <c r="AK221" s="91">
        <f t="shared" si="65"/>
        <v>3.3987183999999999</v>
      </c>
      <c r="AL221" s="91">
        <f t="shared" si="66"/>
        <v>2.8394172654545455</v>
      </c>
      <c r="AM221" s="91">
        <f t="shared" si="67"/>
        <v>-2.132678216450401E-2</v>
      </c>
      <c r="AN221" s="91">
        <f t="shared" si="68"/>
        <v>2.8607440476190487</v>
      </c>
      <c r="AO221" s="52"/>
    </row>
    <row r="222" spans="1:41" x14ac:dyDescent="0.2">
      <c r="A222" s="182">
        <v>44835</v>
      </c>
      <c r="B222" s="52"/>
      <c r="C222" s="53"/>
      <c r="D222" s="118">
        <f>'Returns per Gal.'!C222</f>
        <v>2.33474</v>
      </c>
      <c r="E222" s="119">
        <f>'Returns per Gal.'!D222</f>
        <v>245.07750000000001</v>
      </c>
      <c r="F222" s="316">
        <f>'Returns per Gal.'!E222</f>
        <v>0.73180000000000001</v>
      </c>
      <c r="G222" s="118">
        <f>'Returns per Gal.'!F222</f>
        <v>6.8905924999999995</v>
      </c>
      <c r="H222" s="118">
        <f>'Returns per Gal.'!G222</f>
        <v>8.19</v>
      </c>
      <c r="I222" s="297">
        <v>17.440000000000001</v>
      </c>
      <c r="J222" s="27"/>
      <c r="K222" s="93">
        <f>D222*'Economic Model'!C$30</f>
        <v>6.6540090000000003</v>
      </c>
      <c r="L222" s="93">
        <f>E222/2000*'Economic Model'!C$32</f>
        <v>2.0096354999999999</v>
      </c>
      <c r="M222" s="319">
        <f>F222*'Economic Model'!C$33</f>
        <v>0.47567000000000004</v>
      </c>
      <c r="N222" s="93">
        <f t="shared" si="61"/>
        <v>9.1393145000000011</v>
      </c>
      <c r="O222" s="93">
        <f t="shared" si="62"/>
        <v>7.2544783654545464</v>
      </c>
      <c r="P222" s="105"/>
      <c r="Q222" s="94"/>
      <c r="R222" s="93">
        <f>G222+(H222*'Economic Model'!C$30*'Economic Model'!C$34/1000)+('Economic Model'!K$63/100)</f>
        <v>8.2161274999999989</v>
      </c>
      <c r="S222" s="93">
        <f>R222+('Economic Model'!K$60/100)</f>
        <v>8.7754286345454542</v>
      </c>
      <c r="T222" s="121"/>
      <c r="U222" s="94"/>
      <c r="V222" s="93">
        <f t="shared" si="63"/>
        <v>0.9231870000000022</v>
      </c>
      <c r="W222" s="93">
        <f t="shared" si="64"/>
        <v>0.36388586545454693</v>
      </c>
      <c r="X222" s="105"/>
      <c r="Y222" s="120"/>
      <c r="Z222" s="147">
        <f>W222/('Economic Model'!H$14*(1-'Economic Model'!C$25/100))</f>
        <v>0.11080802420890509</v>
      </c>
      <c r="AA222" s="52"/>
      <c r="AB222" s="52"/>
      <c r="AC222" s="27"/>
      <c r="AD222" s="17">
        <v>1.28</v>
      </c>
      <c r="AE222" s="17">
        <f t="shared" si="48"/>
        <v>3.2319250000000004</v>
      </c>
      <c r="AF222" s="17">
        <v>4.5119250000000006</v>
      </c>
      <c r="AG222" s="27"/>
      <c r="AH222" s="93">
        <f>AF222+(H222*'Economic Model'!C$30*'Economic Model'!C$34/1000)+('Economic Model'!K$63/100)</f>
        <v>5.8374600000000001</v>
      </c>
      <c r="AI222" s="93">
        <f>AH222+('Economic Model'!K$60/100)</f>
        <v>6.3967611345454545</v>
      </c>
      <c r="AJ222" s="120"/>
      <c r="AK222" s="91">
        <f t="shared" si="65"/>
        <v>3.301854500000001</v>
      </c>
      <c r="AL222" s="91">
        <f t="shared" si="66"/>
        <v>2.7425533654545466</v>
      </c>
      <c r="AM222" s="91">
        <f t="shared" si="67"/>
        <v>0.36388586545454693</v>
      </c>
      <c r="AN222" s="91">
        <f t="shared" si="68"/>
        <v>2.3786674999999988</v>
      </c>
      <c r="AO222" s="52"/>
    </row>
    <row r="223" spans="1:41" x14ac:dyDescent="0.2">
      <c r="A223" s="182">
        <v>44866</v>
      </c>
      <c r="B223" s="52"/>
      <c r="C223" s="53"/>
      <c r="D223" s="118">
        <f>'Returns per Gal.'!C223</f>
        <v>2.4573428571428573</v>
      </c>
      <c r="E223" s="119">
        <f>'Returns per Gal.'!D223</f>
        <v>220.80124999999998</v>
      </c>
      <c r="F223" s="316">
        <f>'Returns per Gal.'!E223</f>
        <v>0.77570000000000006</v>
      </c>
      <c r="G223" s="118">
        <f>'Returns per Gal.'!F223</f>
        <v>6.8072833333333325</v>
      </c>
      <c r="H223" s="118">
        <f>'Returns per Gal.'!G223</f>
        <v>7.8</v>
      </c>
      <c r="I223" s="297">
        <v>18.440000000000001</v>
      </c>
      <c r="J223" s="27"/>
      <c r="K223" s="93">
        <f>D223*'Economic Model'!C$30</f>
        <v>7.0034271428571433</v>
      </c>
      <c r="L223" s="93">
        <f>E223/2000*'Economic Model'!C$32</f>
        <v>1.8105702499999996</v>
      </c>
      <c r="M223" s="319">
        <f>F223*'Economic Model'!C$33</f>
        <v>0.50420500000000001</v>
      </c>
      <c r="N223" s="93">
        <f>K223+L223+M223</f>
        <v>9.3182023928571436</v>
      </c>
      <c r="O223" s="93">
        <f>N223-S223+G223</f>
        <v>7.4667112583116886</v>
      </c>
      <c r="P223" s="105"/>
      <c r="Q223" s="94"/>
      <c r="R223" s="93">
        <f>G223+(H223*'Economic Model'!C$30*'Economic Model'!C$34/1000)+('Economic Model'!K$63/100)</f>
        <v>8.0994733333333322</v>
      </c>
      <c r="S223" s="93">
        <f>R223+('Economic Model'!K$60/100)</f>
        <v>8.6587744678787875</v>
      </c>
      <c r="T223" s="121"/>
      <c r="U223" s="94"/>
      <c r="V223" s="93">
        <f t="shared" si="63"/>
        <v>1.2187290595238114</v>
      </c>
      <c r="W223" s="93">
        <f>N223-S223</f>
        <v>0.65942792497835612</v>
      </c>
      <c r="X223" s="105"/>
      <c r="Y223" s="120"/>
      <c r="Z223" s="147">
        <f>W223/('Economic Model'!H$14*(1-'Economic Model'!C$25/100))</f>
        <v>0.20080446209075664</v>
      </c>
      <c r="AA223" s="52"/>
      <c r="AB223" s="52"/>
      <c r="AC223" s="27"/>
      <c r="AD223" s="17">
        <v>1.28</v>
      </c>
      <c r="AE223" s="17">
        <f t="shared" si="48"/>
        <v>3.2319250000000004</v>
      </c>
      <c r="AF223" s="17">
        <v>4.5119250000000006</v>
      </c>
      <c r="AG223" s="27"/>
      <c r="AH223" s="93">
        <f>AF223+(H223*'Economic Model'!C$30*'Economic Model'!C$34/1000)+('Economic Model'!K$63/100)</f>
        <v>5.8041150000000004</v>
      </c>
      <c r="AI223" s="93">
        <f>AH223+('Economic Model'!K$60/100)</f>
        <v>6.3634161345454547</v>
      </c>
      <c r="AJ223" s="120"/>
      <c r="AK223" s="91">
        <f t="shared" si="65"/>
        <v>3.5140873928571432</v>
      </c>
      <c r="AL223" s="91">
        <f t="shared" si="66"/>
        <v>2.9547862583116888</v>
      </c>
      <c r="AM223" s="91">
        <f t="shared" si="67"/>
        <v>0.65942792497835612</v>
      </c>
      <c r="AN223" s="91">
        <f t="shared" si="68"/>
        <v>2.2953583333333318</v>
      </c>
      <c r="AO223" s="52"/>
    </row>
    <row r="224" spans="1:41" x14ac:dyDescent="0.2">
      <c r="A224" s="68">
        <v>44896</v>
      </c>
      <c r="B224" s="64"/>
      <c r="C224" s="56"/>
      <c r="D224" s="118">
        <f>'Returns per Gal.'!C224</f>
        <v>2.1183999999999998</v>
      </c>
      <c r="E224" s="119">
        <f>'Returns per Gal.'!D224</f>
        <v>244.79000000000002</v>
      </c>
      <c r="F224" s="316">
        <f>'Returns per Gal.'!E224</f>
        <v>0.68745999999999996</v>
      </c>
      <c r="G224" s="118">
        <f>'Returns per Gal.'!F224</f>
        <v>6.760990476190476</v>
      </c>
      <c r="H224" s="128">
        <f>'Returns per Gal.'!G224</f>
        <v>9.25</v>
      </c>
      <c r="I224" s="304"/>
      <c r="J224" s="29"/>
      <c r="K224" s="97">
        <f>D224*'Economic Model'!C$30</f>
        <v>6.0374400000000001</v>
      </c>
      <c r="L224" s="97">
        <f>E224/2000*'Economic Model'!C$32</f>
        <v>2.0072779999999999</v>
      </c>
      <c r="M224" s="320">
        <f>F224*'Economic Model'!C$33</f>
        <v>0.446849</v>
      </c>
      <c r="N224" s="97">
        <f>K224+L224+M224</f>
        <v>8.4915669999999999</v>
      </c>
      <c r="O224" s="97">
        <f>N224-S224+G224</f>
        <v>6.5161008654545443</v>
      </c>
      <c r="P224" s="107"/>
      <c r="Q224" s="98"/>
      <c r="R224" s="97">
        <f>G224+(H224*'Economic Model'!C$30*'Economic Model'!C$34/1000)+('Economic Model'!K$63/100)</f>
        <v>8.1771554761904763</v>
      </c>
      <c r="S224" s="97">
        <f>R224+('Economic Model'!K$60/100)</f>
        <v>8.7364566107359316</v>
      </c>
      <c r="T224" s="131"/>
      <c r="U224" s="98"/>
      <c r="V224" s="97">
        <f t="shared" ref="V224:V226" si="69">N224-R224</f>
        <v>0.31441152380952353</v>
      </c>
      <c r="W224" s="97">
        <f>N224-S224</f>
        <v>-0.24488961073593174</v>
      </c>
      <c r="X224" s="107"/>
      <c r="Y224" s="130"/>
      <c r="Z224" s="148">
        <f>W224/('Economic Model'!H$14*(1-'Economic Model'!C$25/100))</f>
        <v>-7.4572102109654495E-2</v>
      </c>
      <c r="AA224" s="64"/>
      <c r="AB224" s="64"/>
      <c r="AC224" s="29"/>
      <c r="AD224" s="65">
        <v>1.28</v>
      </c>
      <c r="AE224" s="65">
        <f t="shared" si="48"/>
        <v>3.2319250000000004</v>
      </c>
      <c r="AF224" s="65">
        <v>4.5119250000000006</v>
      </c>
      <c r="AG224" s="29"/>
      <c r="AH224" s="97">
        <f>AF224+(H224*'Economic Model'!C$30*'Economic Model'!C$34/1000)+('Economic Model'!K$63/100)</f>
        <v>5.9280900000000001</v>
      </c>
      <c r="AI224" s="97">
        <f>AH224+('Economic Model'!K$60/100)</f>
        <v>6.4873911345454545</v>
      </c>
      <c r="AJ224" s="130"/>
      <c r="AK224" s="92">
        <f t="shared" ref="AK224:AK226" si="70">N224-AH224</f>
        <v>2.5634769999999998</v>
      </c>
      <c r="AL224" s="92">
        <f t="shared" ref="AL224:AL226" si="71">N224-AI224</f>
        <v>2.0041758654545454</v>
      </c>
      <c r="AM224" s="92">
        <f t="shared" ref="AM224:AM226" si="72">O224-G224</f>
        <v>-0.24488961073593174</v>
      </c>
      <c r="AN224" s="92">
        <f t="shared" ref="AN224:AN226" si="73">G224-AF224</f>
        <v>2.2490654761904754</v>
      </c>
      <c r="AO224" s="64"/>
    </row>
    <row r="225" spans="1:41" x14ac:dyDescent="0.2">
      <c r="A225" s="292">
        <v>44927</v>
      </c>
      <c r="B225" s="62"/>
      <c r="C225" s="287"/>
      <c r="D225" s="141">
        <f>'Returns per Gal.'!C225</f>
        <v>2.1330333333333336</v>
      </c>
      <c r="E225" s="142">
        <f>'Returns per Gal.'!D225</f>
        <v>274.33375000000001</v>
      </c>
      <c r="F225" s="318">
        <f>'Returns per Gal.'!E225</f>
        <v>0.68020000000000003</v>
      </c>
      <c r="G225" s="141">
        <f>'Returns per Gal.'!F225</f>
        <v>6.8669299999999991</v>
      </c>
      <c r="H225" s="141">
        <f>'Returns per Gal.'!G225</f>
        <v>10.84</v>
      </c>
      <c r="I225" s="295"/>
      <c r="J225" s="183"/>
      <c r="K225" s="101">
        <f>D225*'Economic Model'!C$30</f>
        <v>6.0791450000000005</v>
      </c>
      <c r="L225" s="101">
        <f>E225/2000*'Economic Model'!C$32</f>
        <v>2.2495367499999999</v>
      </c>
      <c r="M225" s="321">
        <f>F225*'Economic Model'!C$33</f>
        <v>0.44213000000000002</v>
      </c>
      <c r="N225" s="101">
        <f t="shared" ref="N225:N226" si="74">K225+L225+M225</f>
        <v>8.7708117500000018</v>
      </c>
      <c r="O225" s="101">
        <f t="shared" ref="O225:O226" si="75">N225-S225+G225</f>
        <v>6.6594006154545466</v>
      </c>
      <c r="P225" s="116"/>
      <c r="Q225" s="102"/>
      <c r="R225" s="101">
        <f>G225+(H225*'Economic Model'!C$30*'Economic Model'!C$34/1000)+('Economic Model'!K$63/100)</f>
        <v>8.419039999999999</v>
      </c>
      <c r="S225" s="101">
        <f>R225+('Economic Model'!K$60/100)</f>
        <v>8.9783411345454542</v>
      </c>
      <c r="T225" s="144"/>
      <c r="U225" s="102"/>
      <c r="V225" s="101">
        <f t="shared" si="69"/>
        <v>0.35177175000000283</v>
      </c>
      <c r="W225" s="101">
        <f>N225-S225</f>
        <v>-0.20752938454545244</v>
      </c>
      <c r="X225" s="116"/>
      <c r="Y225" s="145"/>
      <c r="Z225" s="149">
        <f>W225/('Economic Model'!H$14*(1-'Economic Model'!C$25/100))</f>
        <v>-6.3195422658273312E-2</v>
      </c>
      <c r="AA225" s="62"/>
      <c r="AB225" s="62"/>
      <c r="AC225" s="183"/>
      <c r="AD225" s="288">
        <v>1.28</v>
      </c>
      <c r="AE225" s="288">
        <f t="shared" si="48"/>
        <v>3.2319250000000004</v>
      </c>
      <c r="AF225" s="288">
        <v>4.5119250000000006</v>
      </c>
      <c r="AG225" s="183"/>
      <c r="AH225" s="101">
        <f>AF225+(H225*'Economic Model'!C$30*'Economic Model'!C$34/1000)+('Economic Model'!K$63/100)</f>
        <v>6.0640350000000005</v>
      </c>
      <c r="AI225" s="101">
        <f>AH225+('Economic Model'!K$60/100)</f>
        <v>6.6233361345454549</v>
      </c>
      <c r="AJ225" s="145"/>
      <c r="AK225" s="289">
        <f t="shared" si="70"/>
        <v>2.7067767500000013</v>
      </c>
      <c r="AL225" s="289">
        <f t="shared" si="71"/>
        <v>2.1474756154545469</v>
      </c>
      <c r="AM225" s="289">
        <f t="shared" si="72"/>
        <v>-0.20752938454545244</v>
      </c>
      <c r="AN225" s="289">
        <f t="shared" si="73"/>
        <v>2.3550049999999985</v>
      </c>
      <c r="AO225" s="290"/>
    </row>
    <row r="226" spans="1:41" x14ac:dyDescent="0.2">
      <c r="A226" s="182">
        <v>44958</v>
      </c>
      <c r="B226" s="52"/>
      <c r="C226" s="53"/>
      <c r="D226" s="118">
        <f>'Returns per Gal.'!C226</f>
        <v>2.0254249999999998</v>
      </c>
      <c r="E226" s="119">
        <f>'Returns per Gal.'!D226</f>
        <v>268.04124999999999</v>
      </c>
      <c r="F226" s="316">
        <f>'Returns per Gal.'!E226</f>
        <v>0.63124999999999998</v>
      </c>
      <c r="G226" s="118">
        <f>'Returns per Gal.'!F226</f>
        <v>6.8781421052631577</v>
      </c>
      <c r="H226" s="118">
        <f>'Returns per Gal.'!G226</f>
        <v>9.7799999999999994</v>
      </c>
      <c r="I226" s="296">
        <v>19.440000000000001</v>
      </c>
      <c r="J226" s="27"/>
      <c r="K226" s="93">
        <f>D226*'Economic Model'!C$30</f>
        <v>5.7724612499999992</v>
      </c>
      <c r="L226" s="93">
        <f>E226/2000*'Economic Model'!C$32</f>
        <v>2.19793825</v>
      </c>
      <c r="M226" s="319">
        <f>F226*'Economic Model'!C$33</f>
        <v>0.41031250000000002</v>
      </c>
      <c r="N226" s="93">
        <f t="shared" si="74"/>
        <v>8.3807119999999991</v>
      </c>
      <c r="O226" s="93">
        <f t="shared" si="75"/>
        <v>6.359930865454543</v>
      </c>
      <c r="P226" s="105"/>
      <c r="Q226" s="94"/>
      <c r="R226" s="93">
        <f>G226+(H226*'Economic Model'!C$30*'Economic Model'!C$34/1000)+('Economic Model'!K$63/100)</f>
        <v>8.3396221052631585</v>
      </c>
      <c r="S226" s="93">
        <f>R226+('Economic Model'!K$60/100)</f>
        <v>8.8989232398086138</v>
      </c>
      <c r="T226" s="121"/>
      <c r="U226" s="94"/>
      <c r="V226" s="93">
        <f t="shared" si="69"/>
        <v>4.1089894736840549E-2</v>
      </c>
      <c r="W226" s="93">
        <f t="shared" ref="W226" si="76">N226-S226</f>
        <v>-0.51821123980861472</v>
      </c>
      <c r="X226" s="105"/>
      <c r="Y226" s="120"/>
      <c r="Z226" s="147">
        <f>W226/('Economic Model'!H$14*(1-'Economic Model'!C$25/100))</f>
        <v>-0.15780212714311184</v>
      </c>
      <c r="AA226" s="52"/>
      <c r="AB226" s="52"/>
      <c r="AC226" s="27"/>
      <c r="AD226" s="17">
        <v>1.28</v>
      </c>
      <c r="AE226" s="17">
        <f t="shared" si="48"/>
        <v>3.2319250000000004</v>
      </c>
      <c r="AF226" s="17">
        <v>4.5119250000000006</v>
      </c>
      <c r="AG226" s="27"/>
      <c r="AH226" s="93">
        <f>AF226+(H226*'Economic Model'!C$30*'Economic Model'!C$34/1000)+('Economic Model'!K$63/100)</f>
        <v>5.9734050000000005</v>
      </c>
      <c r="AI226" s="93">
        <f>AH226+('Economic Model'!K$60/100)</f>
        <v>6.5327061345454549</v>
      </c>
      <c r="AJ226" s="120"/>
      <c r="AK226" s="91">
        <f t="shared" si="70"/>
        <v>2.4073069999999985</v>
      </c>
      <c r="AL226" s="91">
        <f t="shared" si="71"/>
        <v>1.8480058654545441</v>
      </c>
      <c r="AM226" s="91">
        <f t="shared" si="72"/>
        <v>-0.51821123980861472</v>
      </c>
      <c r="AN226" s="91">
        <f t="shared" si="73"/>
        <v>2.3662171052631571</v>
      </c>
      <c r="AO226" s="264"/>
    </row>
    <row r="227" spans="1:41" x14ac:dyDescent="0.2">
      <c r="A227" s="182">
        <v>44986</v>
      </c>
      <c r="B227" s="52"/>
      <c r="C227" s="53"/>
      <c r="D227" s="118">
        <f>'Returns per Gal.'!C227</f>
        <v>2.1003999999999996</v>
      </c>
      <c r="E227" s="119">
        <f>'Returns per Gal.'!D227</f>
        <v>249.227</v>
      </c>
      <c r="F227" s="316">
        <f>'Returns per Gal.'!E227</f>
        <v>0.55728</v>
      </c>
      <c r="G227" s="118">
        <f>'Returns per Gal.'!F227</f>
        <v>6.567354347826087</v>
      </c>
      <c r="H227" s="118">
        <f>'Returns per Gal.'!G227</f>
        <v>7.62</v>
      </c>
      <c r="I227" s="297">
        <v>20.440000000000001</v>
      </c>
      <c r="J227" s="27"/>
      <c r="K227" s="93">
        <f>D227*'Economic Model'!C$30</f>
        <v>5.9861399999999989</v>
      </c>
      <c r="L227" s="93">
        <f>E227/2000*'Economic Model'!C$32</f>
        <v>2.0436614</v>
      </c>
      <c r="M227" s="319">
        <f>F227*'Economic Model'!C$33</f>
        <v>0.362232</v>
      </c>
      <c r="N227" s="93">
        <f t="shared" ref="N227:N228" si="77">K227+L227+M227</f>
        <v>8.392033399999999</v>
      </c>
      <c r="O227" s="93">
        <f t="shared" ref="O227:O228" si="78">N227-S227+G227</f>
        <v>6.5559322654545449</v>
      </c>
      <c r="P227" s="105"/>
      <c r="Q227" s="94"/>
      <c r="R227" s="93">
        <f>G227+(H227*'Economic Model'!C$30*'Economic Model'!C$34/1000)+('Economic Model'!K$63/100)</f>
        <v>7.8441543478260867</v>
      </c>
      <c r="S227" s="93">
        <f>R227+('Economic Model'!K$60/100)</f>
        <v>8.4034554823715411</v>
      </c>
      <c r="T227" s="121"/>
      <c r="U227" s="94"/>
      <c r="V227" s="93">
        <f t="shared" ref="V227:V228" si="79">N227-R227</f>
        <v>0.54787905217391231</v>
      </c>
      <c r="W227" s="93">
        <f t="shared" ref="W227:W228" si="80">N227-S227</f>
        <v>-1.1422082371542075E-2</v>
      </c>
      <c r="X227" s="105"/>
      <c r="Y227" s="120"/>
      <c r="Z227" s="147">
        <f>W227/('Economic Model'!H$14*(1-'Economic Model'!C$25/100))</f>
        <v>-3.4781740652689245E-3</v>
      </c>
      <c r="AA227" s="52"/>
      <c r="AB227" s="52"/>
      <c r="AC227" s="27"/>
      <c r="AD227" s="17">
        <v>1.28</v>
      </c>
      <c r="AE227" s="17">
        <f t="shared" si="48"/>
        <v>3.2319250000000004</v>
      </c>
      <c r="AF227" s="17">
        <v>4.5119250000000006</v>
      </c>
      <c r="AG227" s="27"/>
      <c r="AH227" s="93">
        <f>AF227+(H227*'Economic Model'!C$30*'Economic Model'!C$34/1000)+('Economic Model'!K$63/100)</f>
        <v>5.7887250000000003</v>
      </c>
      <c r="AI227" s="93">
        <f>AH227+('Economic Model'!K$60/100)</f>
        <v>6.3480261345454547</v>
      </c>
      <c r="AJ227" s="120"/>
      <c r="AK227" s="91">
        <f t="shared" ref="AK227:AK228" si="81">N227-AH227</f>
        <v>2.6033083999999986</v>
      </c>
      <c r="AL227" s="91">
        <f t="shared" ref="AL227:AL228" si="82">N227-AI227</f>
        <v>2.0440072654545443</v>
      </c>
      <c r="AM227" s="91">
        <f t="shared" ref="AM227:AM228" si="83">O227-G227</f>
        <v>-1.1422082371542075E-2</v>
      </c>
      <c r="AN227" s="91">
        <f t="shared" ref="AN227:AN228" si="84">G227-AF227</f>
        <v>2.0554293478260863</v>
      </c>
      <c r="AO227" s="264"/>
    </row>
    <row r="228" spans="1:41" x14ac:dyDescent="0.2">
      <c r="A228" s="182">
        <v>45017</v>
      </c>
      <c r="B228" s="52"/>
      <c r="C228" s="53"/>
      <c r="D228" s="118">
        <f>'Returns per Gal.'!C228</f>
        <v>2.3316833333333333</v>
      </c>
      <c r="E228" s="119">
        <f>'Returns per Gal.'!D228</f>
        <v>245.10375000000002</v>
      </c>
      <c r="F228" s="316">
        <f>'Returns per Gal.'!E228</f>
        <v>0.53957500000000003</v>
      </c>
      <c r="G228" s="118">
        <f>'Returns per Gal.'!F228</f>
        <v>6.7493999999999987</v>
      </c>
      <c r="H228" s="118">
        <f>'Returns per Gal.'!G228</f>
        <v>6.17</v>
      </c>
      <c r="I228" s="297">
        <v>21.44</v>
      </c>
      <c r="J228" s="27"/>
      <c r="K228" s="93">
        <f>D228*'Economic Model'!C$30</f>
        <v>6.6452974999999999</v>
      </c>
      <c r="L228" s="93">
        <f>E228/2000*'Economic Model'!C$32</f>
        <v>2.00985075</v>
      </c>
      <c r="M228" s="319">
        <f>F228*'Economic Model'!C$33</f>
        <v>0.35072375000000006</v>
      </c>
      <c r="N228" s="93">
        <f t="shared" si="77"/>
        <v>9.0058720000000001</v>
      </c>
      <c r="O228" s="93">
        <f t="shared" si="78"/>
        <v>7.2937458654545457</v>
      </c>
      <c r="P228" s="105"/>
      <c r="Q228" s="94"/>
      <c r="R228" s="93">
        <f>G228+(H228*'Economic Model'!C$30*'Economic Model'!C$34/1000)+('Economic Model'!K$63/100)</f>
        <v>7.9022249999999987</v>
      </c>
      <c r="S228" s="93">
        <f>R228+('Economic Model'!K$60/100)</f>
        <v>8.4615261345454531</v>
      </c>
      <c r="T228" s="121"/>
      <c r="U228" s="94"/>
      <c r="V228" s="93">
        <f t="shared" si="79"/>
        <v>1.1036470000000014</v>
      </c>
      <c r="W228" s="93">
        <f t="shared" si="80"/>
        <v>0.544345865454547</v>
      </c>
      <c r="X228" s="105"/>
      <c r="Y228" s="120"/>
      <c r="Z228" s="147">
        <f>W228/('Economic Model'!H$14*(1-'Economic Model'!C$25/100))</f>
        <v>0.16576046382554302</v>
      </c>
      <c r="AA228" s="52"/>
      <c r="AB228" s="52"/>
      <c r="AC228" s="27"/>
      <c r="AD228" s="17">
        <v>1.28</v>
      </c>
      <c r="AE228" s="17">
        <f t="shared" si="48"/>
        <v>3.2319250000000004</v>
      </c>
      <c r="AF228" s="17">
        <v>4.5119250000000006</v>
      </c>
      <c r="AG228" s="27"/>
      <c r="AH228" s="93">
        <f>AF228+(H228*'Economic Model'!C$30*'Economic Model'!C$34/1000)+('Economic Model'!K$63/100)</f>
        <v>5.6647500000000006</v>
      </c>
      <c r="AI228" s="93">
        <f>AH228+('Economic Model'!K$60/100)</f>
        <v>6.224051134545455</v>
      </c>
      <c r="AJ228" s="120"/>
      <c r="AK228" s="91">
        <f t="shared" si="81"/>
        <v>3.3411219999999995</v>
      </c>
      <c r="AL228" s="91">
        <f t="shared" si="82"/>
        <v>2.7818208654545451</v>
      </c>
      <c r="AM228" s="91">
        <f t="shared" si="83"/>
        <v>0.544345865454547</v>
      </c>
      <c r="AN228" s="91">
        <f t="shared" si="84"/>
        <v>2.2374749999999981</v>
      </c>
      <c r="AO228" s="264"/>
    </row>
    <row r="229" spans="1:41" x14ac:dyDescent="0.2">
      <c r="A229" s="182">
        <v>45047</v>
      </c>
      <c r="B229" s="52"/>
      <c r="C229" s="53"/>
      <c r="D229" s="118">
        <f>'Returns per Gal.'!C229</f>
        <v>2.3174333333333332</v>
      </c>
      <c r="E229" s="119">
        <f>'Returns per Gal.'!D229</f>
        <v>229.10124999999999</v>
      </c>
      <c r="F229" s="316">
        <f>'Returns per Gal.'!E229</f>
        <v>0.55210000000000004</v>
      </c>
      <c r="G229" s="118">
        <f>'Returns per Gal.'!F229</f>
        <v>6.3973863636363628</v>
      </c>
      <c r="H229" s="118">
        <f>'Returns per Gal.'!G229</f>
        <v>5.93</v>
      </c>
      <c r="I229" s="297">
        <v>22.44</v>
      </c>
      <c r="J229" s="27"/>
      <c r="K229" s="93">
        <f>D229*'Economic Model'!C$30</f>
        <v>6.6046849999999999</v>
      </c>
      <c r="L229" s="93">
        <f>E229/2000*'Economic Model'!C$32</f>
        <v>1.8786302499999998</v>
      </c>
      <c r="M229" s="319">
        <f>F229*'Economic Model'!C$33</f>
        <v>0.35886500000000005</v>
      </c>
      <c r="N229" s="93">
        <f t="shared" ref="N229:N230" si="85">K229+L229+M229</f>
        <v>8.8421802500000002</v>
      </c>
      <c r="O229" s="93">
        <f t="shared" ref="O229:O230" si="86">N229-S229+G229</f>
        <v>7.1505741154545461</v>
      </c>
      <c r="P229" s="105"/>
      <c r="Q229" s="94"/>
      <c r="R229" s="93">
        <f>G229+(H229*'Economic Model'!C$30*'Economic Model'!C$34/1000)+('Economic Model'!K$63/100)</f>
        <v>7.5296913636363625</v>
      </c>
      <c r="S229" s="93">
        <f>R229+('Economic Model'!K$60/100)</f>
        <v>8.0889924981818169</v>
      </c>
      <c r="T229" s="121"/>
      <c r="U229" s="94"/>
      <c r="V229" s="93">
        <f t="shared" ref="V229:V230" si="87">N229-R229</f>
        <v>1.3124888863636377</v>
      </c>
      <c r="W229" s="93">
        <f t="shared" ref="W229:W230" si="88">N229-S229</f>
        <v>0.75318775181818332</v>
      </c>
      <c r="X229" s="105"/>
      <c r="Y229" s="120"/>
      <c r="Z229" s="147">
        <f>W229/('Economic Model'!H$14*(1-'Economic Model'!C$25/100))</f>
        <v>0.22935556052188835</v>
      </c>
      <c r="AA229" s="52"/>
      <c r="AB229" s="52"/>
      <c r="AC229" s="27"/>
      <c r="AD229" s="17">
        <v>1.28</v>
      </c>
      <c r="AE229" s="17">
        <f t="shared" si="48"/>
        <v>3.2319250000000004</v>
      </c>
      <c r="AF229" s="17">
        <v>4.5119250000000006</v>
      </c>
      <c r="AG229" s="27"/>
      <c r="AH229" s="93">
        <f>AF229+(H229*'Economic Model'!C$30*'Economic Model'!C$34/1000)+('Economic Model'!K$63/100)</f>
        <v>5.6442300000000003</v>
      </c>
      <c r="AI229" s="93">
        <f>AH229+('Economic Model'!K$60/100)</f>
        <v>6.2035311345454547</v>
      </c>
      <c r="AJ229" s="120"/>
      <c r="AK229" s="91">
        <f t="shared" ref="AK229:AK230" si="89">N229-AH229</f>
        <v>3.1979502499999999</v>
      </c>
      <c r="AL229" s="91">
        <f t="shared" ref="AL229:AL230" si="90">N229-AI229</f>
        <v>2.6386491154545455</v>
      </c>
      <c r="AM229" s="91">
        <f t="shared" ref="AM229:AM230" si="91">O229-G229</f>
        <v>0.75318775181818332</v>
      </c>
      <c r="AN229" s="91">
        <f t="shared" ref="AN229:AN230" si="92">G229-AF229</f>
        <v>1.8854613636363622</v>
      </c>
      <c r="AO229" s="264"/>
    </row>
    <row r="230" spans="1:41" x14ac:dyDescent="0.2">
      <c r="A230" s="182">
        <v>45078</v>
      </c>
      <c r="B230" s="52"/>
      <c r="C230" s="53"/>
      <c r="D230" s="118">
        <f>'Returns per Gal.'!C230</f>
        <v>2.3866142857142854</v>
      </c>
      <c r="E230" s="119">
        <f>'Returns per Gal.'!D230</f>
        <v>199.54599999999999</v>
      </c>
      <c r="F230" s="316">
        <f>'Returns per Gal.'!E230</f>
        <v>0.57003999999999999</v>
      </c>
      <c r="G230" s="118">
        <f>'Returns per Gal.'!F230</f>
        <v>6.5461833333333352</v>
      </c>
      <c r="H230" s="118">
        <f>'Returns per Gal.'!G230</f>
        <v>5.97</v>
      </c>
      <c r="I230" s="297">
        <v>23.44</v>
      </c>
      <c r="J230" s="27"/>
      <c r="K230" s="93">
        <f>D230*'Economic Model'!C$30</f>
        <v>6.8018507142857132</v>
      </c>
      <c r="L230" s="93">
        <f>E230/2000*'Economic Model'!C$32</f>
        <v>1.6362771999999999</v>
      </c>
      <c r="M230" s="319">
        <f>F230*'Economic Model'!C$33</f>
        <v>0.37052600000000002</v>
      </c>
      <c r="N230" s="93">
        <f t="shared" si="85"/>
        <v>8.8086539142857134</v>
      </c>
      <c r="O230" s="93">
        <f t="shared" si="86"/>
        <v>7.1136277797402592</v>
      </c>
      <c r="P230" s="105"/>
      <c r="Q230" s="94"/>
      <c r="R230" s="93">
        <f>G230+(H230*'Economic Model'!C$30*'Economic Model'!C$34/1000)+('Economic Model'!K$63/100)</f>
        <v>7.6819083333333351</v>
      </c>
      <c r="S230" s="93">
        <f>R230+('Economic Model'!K$60/100)</f>
        <v>8.2412094678787895</v>
      </c>
      <c r="T230" s="121"/>
      <c r="U230" s="94"/>
      <c r="V230" s="93">
        <f t="shared" si="87"/>
        <v>1.1267455809523783</v>
      </c>
      <c r="W230" s="93">
        <f t="shared" si="88"/>
        <v>0.56744444640692393</v>
      </c>
      <c r="X230" s="105"/>
      <c r="Y230" s="120"/>
      <c r="Z230" s="147">
        <f>W230/('Economic Model'!H$14*(1-'Economic Model'!C$25/100))</f>
        <v>0.17279428503254465</v>
      </c>
      <c r="AA230" s="52"/>
      <c r="AB230" s="52"/>
      <c r="AC230" s="27"/>
      <c r="AD230" s="17">
        <v>1.28</v>
      </c>
      <c r="AE230" s="17">
        <f t="shared" si="48"/>
        <v>3.2319250000000004</v>
      </c>
      <c r="AF230" s="17">
        <v>4.5119250000000006</v>
      </c>
      <c r="AG230" s="27"/>
      <c r="AH230" s="93">
        <f>AF230+(H230*'Economic Model'!C$30*'Economic Model'!C$34/1000)+('Economic Model'!K$63/100)</f>
        <v>5.6476500000000005</v>
      </c>
      <c r="AI230" s="93">
        <f>AH230+('Economic Model'!K$60/100)</f>
        <v>6.2069511345454549</v>
      </c>
      <c r="AJ230" s="120"/>
      <c r="AK230" s="91">
        <f t="shared" si="89"/>
        <v>3.1610039142857129</v>
      </c>
      <c r="AL230" s="91">
        <f t="shared" si="90"/>
        <v>2.6017027797402585</v>
      </c>
      <c r="AM230" s="91">
        <f t="shared" si="91"/>
        <v>0.56744444640692393</v>
      </c>
      <c r="AN230" s="91">
        <f t="shared" si="92"/>
        <v>2.0342583333333346</v>
      </c>
      <c r="AO230" s="264"/>
    </row>
    <row r="231" spans="1:41" x14ac:dyDescent="0.2">
      <c r="A231" s="182">
        <v>45108</v>
      </c>
      <c r="B231" s="52"/>
      <c r="C231" s="53"/>
      <c r="D231" s="118">
        <f>'Returns per Gal.'!C231</f>
        <v>2.368525</v>
      </c>
      <c r="E231" s="119">
        <f>'Returns per Gal.'!D231</f>
        <v>191.92875000000001</v>
      </c>
      <c r="F231" s="316">
        <f>'Returns per Gal.'!E231</f>
        <v>0.650725</v>
      </c>
      <c r="G231" s="118">
        <f>'Returns per Gal.'!F231</f>
        <v>5.9301549999999992</v>
      </c>
      <c r="H231" s="118">
        <f>'Returns per Gal.'!G231</f>
        <v>6.26</v>
      </c>
      <c r="I231" s="297">
        <v>24.44</v>
      </c>
      <c r="J231" s="27"/>
      <c r="K231" s="93">
        <f>D231*'Economic Model'!C$30</f>
        <v>6.7502962499999999</v>
      </c>
      <c r="L231" s="93">
        <f>E231/2000*'Economic Model'!C$32</f>
        <v>1.5738157499999998</v>
      </c>
      <c r="M231" s="319">
        <f>F231*'Economic Model'!C$33</f>
        <v>0.42297125000000002</v>
      </c>
      <c r="N231" s="93">
        <f t="shared" ref="N231:N232" si="93">K231+L231+M231</f>
        <v>8.7470832499999993</v>
      </c>
      <c r="O231" s="93">
        <f t="shared" ref="O231:O232" si="94">N231-S231+G231</f>
        <v>7.0272621154545449</v>
      </c>
      <c r="P231" s="105"/>
      <c r="Q231" s="94"/>
      <c r="R231" s="93">
        <f>G231+(H231*'Economic Model'!C$30*'Economic Model'!C$34/1000)+('Economic Model'!K$63/100)</f>
        <v>7.0906749999999992</v>
      </c>
      <c r="S231" s="93">
        <f>R231+('Economic Model'!K$60/100)</f>
        <v>7.6499761345454536</v>
      </c>
      <c r="T231" s="121"/>
      <c r="U231" s="94"/>
      <c r="V231" s="93">
        <f t="shared" ref="V231:V232" si="95">N231-R231</f>
        <v>1.6564082500000001</v>
      </c>
      <c r="W231" s="93">
        <f t="shared" ref="W231:W232" si="96">N231-S231</f>
        <v>1.0971071154545458</v>
      </c>
      <c r="X231" s="105"/>
      <c r="Y231" s="120"/>
      <c r="Z231" s="147">
        <f>W231/('Economic Model'!H$14*(1-'Economic Model'!C$25/100))</f>
        <v>0.33408352274742165</v>
      </c>
      <c r="AA231" s="52"/>
      <c r="AB231" s="52"/>
      <c r="AC231" s="27"/>
      <c r="AD231" s="17">
        <v>1.28</v>
      </c>
      <c r="AE231" s="17">
        <f t="shared" si="48"/>
        <v>3.2319250000000004</v>
      </c>
      <c r="AF231" s="17">
        <v>4.5119250000000006</v>
      </c>
      <c r="AG231" s="27"/>
      <c r="AH231" s="93">
        <f>AF231+(H231*'Economic Model'!C$30*'Economic Model'!C$34/1000)+('Economic Model'!K$63/100)</f>
        <v>5.6724450000000006</v>
      </c>
      <c r="AI231" s="93">
        <f>AH231+('Economic Model'!K$60/100)</f>
        <v>6.231746134545455</v>
      </c>
      <c r="AJ231" s="120"/>
      <c r="AK231" s="91">
        <f t="shared" ref="AK231:AK232" si="97">N231-AH231</f>
        <v>3.0746382499999987</v>
      </c>
      <c r="AL231" s="91">
        <f t="shared" ref="AL231:AL232" si="98">N231-AI231</f>
        <v>2.5153371154545443</v>
      </c>
      <c r="AM231" s="91">
        <f t="shared" ref="AM231:AM232" si="99">O231-G231</f>
        <v>1.0971071154545458</v>
      </c>
      <c r="AN231" s="91">
        <f t="shared" ref="AN231:AN232" si="100">G231-AF231</f>
        <v>1.4182299999999985</v>
      </c>
      <c r="AO231" s="264"/>
    </row>
    <row r="232" spans="1:41" x14ac:dyDescent="0.2">
      <c r="A232" s="182">
        <v>45139</v>
      </c>
      <c r="B232" s="52"/>
      <c r="C232" s="53"/>
      <c r="D232" s="118">
        <f>'Returns per Gal.'!C232</f>
        <v>2.1169799999999999</v>
      </c>
      <c r="E232" s="119">
        <f>'Returns per Gal.'!D232</f>
        <v>190.86374999999998</v>
      </c>
      <c r="F232" s="316">
        <f>'Returns per Gal.'!E232</f>
        <v>0.68402499999999988</v>
      </c>
      <c r="G232" s="118">
        <f>'Returns per Gal.'!F232</f>
        <v>5.5886043478260872</v>
      </c>
      <c r="H232" s="118">
        <f>'Returns per Gal.'!G232</f>
        <v>6.05</v>
      </c>
      <c r="I232" s="297">
        <v>25.44</v>
      </c>
      <c r="J232" s="27"/>
      <c r="K232" s="93">
        <f>D232*'Economic Model'!C$30</f>
        <v>6.0333930000000002</v>
      </c>
      <c r="L232" s="93">
        <f>E232/2000*'Economic Model'!C$32</f>
        <v>1.5650827499999995</v>
      </c>
      <c r="M232" s="319">
        <f>F232*'Economic Model'!C$33</f>
        <v>0.44461624999999994</v>
      </c>
      <c r="N232" s="93">
        <f t="shared" si="93"/>
        <v>8.0430919999999997</v>
      </c>
      <c r="O232" s="93">
        <f t="shared" si="94"/>
        <v>6.3412258654545459</v>
      </c>
      <c r="P232" s="105"/>
      <c r="Q232" s="94"/>
      <c r="R232" s="93">
        <f>G232+(H232*'Economic Model'!C$30*'Economic Model'!C$34/1000)+('Economic Model'!K$63/100)</f>
        <v>6.7311693478260866</v>
      </c>
      <c r="S232" s="93">
        <f>R232+('Economic Model'!K$60/100)</f>
        <v>7.2904704823715409</v>
      </c>
      <c r="T232" s="121"/>
      <c r="U232" s="94"/>
      <c r="V232" s="93">
        <f t="shared" si="95"/>
        <v>1.3119226521739131</v>
      </c>
      <c r="W232" s="93">
        <f t="shared" si="96"/>
        <v>0.75262151762845875</v>
      </c>
      <c r="X232" s="105"/>
      <c r="Y232" s="120"/>
      <c r="Z232" s="147">
        <f>W232/('Economic Model'!H$14*(1-'Economic Model'!C$25/100))</f>
        <v>0.22918313477590743</v>
      </c>
      <c r="AA232" s="52"/>
      <c r="AB232" s="52"/>
      <c r="AC232" s="27"/>
      <c r="AD232" s="17">
        <v>1.28</v>
      </c>
      <c r="AE232" s="17">
        <f t="shared" si="48"/>
        <v>3.2319250000000004</v>
      </c>
      <c r="AF232" s="17">
        <v>4.5119250000000006</v>
      </c>
      <c r="AG232" s="27"/>
      <c r="AH232" s="93">
        <f>AF232+(H232*'Economic Model'!C$30*'Economic Model'!C$34/1000)+('Economic Model'!K$63/100)</f>
        <v>5.65449</v>
      </c>
      <c r="AI232" s="93">
        <f>AH232+('Economic Model'!K$60/100)</f>
        <v>6.2137911345454544</v>
      </c>
      <c r="AJ232" s="120"/>
      <c r="AK232" s="91">
        <f t="shared" si="97"/>
        <v>2.3886019999999997</v>
      </c>
      <c r="AL232" s="91">
        <f t="shared" si="98"/>
        <v>1.8293008654545453</v>
      </c>
      <c r="AM232" s="91">
        <f t="shared" si="99"/>
        <v>0.75262151762845875</v>
      </c>
      <c r="AN232" s="91">
        <f t="shared" si="100"/>
        <v>1.0766793478260865</v>
      </c>
      <c r="AO232" s="264"/>
    </row>
    <row r="233" spans="1:41" x14ac:dyDescent="0.2">
      <c r="A233" s="182">
        <v>45170</v>
      </c>
      <c r="B233" s="52"/>
      <c r="C233" s="53"/>
      <c r="D233" s="118">
        <f>'Returns per Gal.'!C233</f>
        <v>2.205888888888889</v>
      </c>
      <c r="E233" s="119">
        <f>'Returns per Gal.'!D233</f>
        <v>189.80699999999999</v>
      </c>
      <c r="F233" s="316">
        <f>'Returns per Gal.'!E233</f>
        <v>0.6765000000000001</v>
      </c>
      <c r="G233" s="118">
        <f>'Returns per Gal.'!F233</f>
        <v>4.8854025000000005</v>
      </c>
      <c r="H233" s="118">
        <f>'Returns per Gal.'!G233</f>
        <v>5.1100000000000003</v>
      </c>
      <c r="I233" s="297">
        <v>26.44</v>
      </c>
      <c r="J233" s="27"/>
      <c r="K233" s="93">
        <f>D233*'Economic Model'!C$30</f>
        <v>6.2867833333333341</v>
      </c>
      <c r="L233" s="93">
        <f>E233/2000*'Economic Model'!C$32</f>
        <v>1.5564173999999997</v>
      </c>
      <c r="M233" s="319">
        <f>F233*'Economic Model'!C$33</f>
        <v>0.43972500000000009</v>
      </c>
      <c r="N233" s="93">
        <f t="shared" ref="N233:N235" si="101">K233+L233+M233</f>
        <v>8.2829257333333342</v>
      </c>
      <c r="O233" s="93">
        <f t="shared" ref="O233:O235" si="102">N233-S233+G233</f>
        <v>6.6614295987878798</v>
      </c>
      <c r="P233" s="105"/>
      <c r="Q233" s="94"/>
      <c r="R233" s="93">
        <f>G233+(H233*'Economic Model'!C$30*'Economic Model'!C$34/1000)+('Economic Model'!K$63/100)</f>
        <v>5.9475975000000005</v>
      </c>
      <c r="S233" s="93">
        <f>R233+('Economic Model'!K$60/100)</f>
        <v>6.5068986345454549</v>
      </c>
      <c r="T233" s="121"/>
      <c r="U233" s="94"/>
      <c r="V233" s="93">
        <f t="shared" ref="V233:V235" si="103">N233-R233</f>
        <v>2.3353282333333336</v>
      </c>
      <c r="W233" s="93">
        <f t="shared" ref="W233:W235" si="104">N233-S233</f>
        <v>1.7760270987878792</v>
      </c>
      <c r="X233" s="105"/>
      <c r="Y233" s="120"/>
      <c r="Z233" s="147">
        <f>W233/('Economic Model'!H$14*(1-'Economic Model'!C$25/100))</f>
        <v>0.5408235725570959</v>
      </c>
      <c r="AA233" s="52"/>
      <c r="AB233" s="52"/>
      <c r="AC233" s="27"/>
      <c r="AD233" s="17">
        <v>1.4684210526315788</v>
      </c>
      <c r="AE233" s="17">
        <f t="shared" ref="AE233:AE244" si="105">AF233-AD233</f>
        <v>3.8641631578947364</v>
      </c>
      <c r="AF233" s="17">
        <v>5.3325842105263153</v>
      </c>
      <c r="AG233" s="27"/>
      <c r="AH233" s="93">
        <f>AF233+(H233*'Economic Model'!C$30*'Economic Model'!C$34/1000)+('Economic Model'!K$63/100)</f>
        <v>6.3947792105263153</v>
      </c>
      <c r="AI233" s="93">
        <f>AH233+('Economic Model'!K$60/100)</f>
        <v>6.9540803450717696</v>
      </c>
      <c r="AJ233" s="120"/>
      <c r="AK233" s="91">
        <f t="shared" ref="AK233:AK235" si="106">N233-AH233</f>
        <v>1.8881465228070189</v>
      </c>
      <c r="AL233" s="91">
        <f t="shared" ref="AL233:AL235" si="107">N233-AI233</f>
        <v>1.3288453882615645</v>
      </c>
      <c r="AM233" s="91">
        <f t="shared" ref="AM233:AM235" si="108">O233-G233</f>
        <v>1.7760270987878792</v>
      </c>
      <c r="AN233" s="91">
        <f t="shared" ref="AN233:AN235" si="109">G233-AF233</f>
        <v>-0.44718171052631472</v>
      </c>
      <c r="AO233" s="52"/>
    </row>
    <row r="234" spans="1:41" x14ac:dyDescent="0.2">
      <c r="A234" s="182">
        <v>45200</v>
      </c>
      <c r="B234" s="52"/>
      <c r="C234" s="53"/>
      <c r="D234" s="118">
        <f>'Returns per Gal.'!C234</f>
        <v>2.160425</v>
      </c>
      <c r="E234" s="119">
        <f>'Returns per Gal.'!D234</f>
        <v>183.35124999999999</v>
      </c>
      <c r="F234" s="316">
        <f>'Returns per Gal.'!E234</f>
        <v>0.623475</v>
      </c>
      <c r="G234" s="118">
        <f>'Returns per Gal.'!F234</f>
        <v>4.7835357142857138</v>
      </c>
      <c r="H234" s="118">
        <f>'Returns per Gal.'!G234</f>
        <v>4.83</v>
      </c>
      <c r="I234" s="297">
        <v>27.44</v>
      </c>
      <c r="J234" s="27"/>
      <c r="K234" s="93">
        <f>D234*'Economic Model'!C$30</f>
        <v>6.1572112500000005</v>
      </c>
      <c r="L234" s="93">
        <f>E234/2000*'Economic Model'!C$32</f>
        <v>1.5034802499999997</v>
      </c>
      <c r="M234" s="319">
        <f>F234*'Economic Model'!C$33</f>
        <v>0.40525875</v>
      </c>
      <c r="N234" s="93">
        <f t="shared" si="101"/>
        <v>8.0659502500000002</v>
      </c>
      <c r="O234" s="93">
        <f t="shared" si="102"/>
        <v>6.4683941154545463</v>
      </c>
      <c r="P234" s="105"/>
      <c r="Q234" s="94"/>
      <c r="R234" s="93">
        <f>G234+(H234*'Economic Model'!C$30*'Economic Model'!C$34/1000)+('Economic Model'!K$63/100)</f>
        <v>5.8217907142857133</v>
      </c>
      <c r="S234" s="93">
        <f>R234+('Economic Model'!K$60/100)</f>
        <v>6.3810918488311676</v>
      </c>
      <c r="T234" s="121"/>
      <c r="U234" s="94"/>
      <c r="V234" s="93">
        <f t="shared" si="103"/>
        <v>2.2441595357142869</v>
      </c>
      <c r="W234" s="93">
        <f t="shared" si="104"/>
        <v>1.6848584011688326</v>
      </c>
      <c r="X234" s="105"/>
      <c r="Y234" s="120"/>
      <c r="Z234" s="147">
        <f>W234/('Economic Model'!H$14*(1-'Economic Model'!C$25/100))</f>
        <v>0.51306150699775765</v>
      </c>
      <c r="AA234" s="52"/>
      <c r="AB234" s="52"/>
      <c r="AC234" s="27"/>
      <c r="AD234" s="17">
        <v>1.4684210526315788</v>
      </c>
      <c r="AE234" s="17">
        <f t="shared" si="105"/>
        <v>3.8641631578947364</v>
      </c>
      <c r="AF234" s="17">
        <v>5.3325842105263153</v>
      </c>
      <c r="AG234" s="27"/>
      <c r="AH234" s="93">
        <f>AF234+(H234*'Economic Model'!C$30*'Economic Model'!C$34/1000)+('Economic Model'!K$63/100)</f>
        <v>6.3708392105263147</v>
      </c>
      <c r="AI234" s="93">
        <f>AH234+('Economic Model'!K$60/100)</f>
        <v>6.9301403450717691</v>
      </c>
      <c r="AJ234" s="120"/>
      <c r="AK234" s="91">
        <f t="shared" si="106"/>
        <v>1.6951110394736855</v>
      </c>
      <c r="AL234" s="91">
        <f t="shared" si="107"/>
        <v>1.1358099049282311</v>
      </c>
      <c r="AM234" s="91">
        <f t="shared" si="108"/>
        <v>1.6848584011688326</v>
      </c>
      <c r="AN234" s="91">
        <f t="shared" si="109"/>
        <v>-0.54904849624060148</v>
      </c>
      <c r="AO234" s="52"/>
    </row>
    <row r="235" spans="1:41" x14ac:dyDescent="0.2">
      <c r="A235" s="182">
        <v>45231</v>
      </c>
      <c r="B235" s="52"/>
      <c r="C235" s="53"/>
      <c r="D235" s="118">
        <f>'Returns per Gal.'!C235</f>
        <v>1.8783000000000001</v>
      </c>
      <c r="E235" s="119">
        <f>'Returns per Gal.'!D235</f>
        <v>194.29833333333332</v>
      </c>
      <c r="F235" s="316">
        <f>'Returns per Gal.'!E235</f>
        <v>0.5534</v>
      </c>
      <c r="G235" s="118">
        <f>'Returns per Gal.'!F235</f>
        <v>4.7615249999999989</v>
      </c>
      <c r="H235" s="118">
        <f>'Returns per Gal.'!G235</f>
        <v>5.49</v>
      </c>
      <c r="I235" s="297">
        <v>28.44</v>
      </c>
      <c r="J235" s="27"/>
      <c r="K235" s="93">
        <f>D235*'Economic Model'!C$30</f>
        <v>5.3531550000000001</v>
      </c>
      <c r="L235" s="93">
        <f>E235/2000*'Economic Model'!C$32</f>
        <v>1.5932463333333331</v>
      </c>
      <c r="M235" s="319">
        <f>F235*'Economic Model'!C$33</f>
        <v>0.35971000000000003</v>
      </c>
      <c r="N235" s="93">
        <f t="shared" si="101"/>
        <v>7.306111333333333</v>
      </c>
      <c r="O235" s="93">
        <f t="shared" si="102"/>
        <v>5.6521251987878784</v>
      </c>
      <c r="P235" s="105"/>
      <c r="Q235" s="94"/>
      <c r="R235" s="93">
        <f>G235+(H235*'Economic Model'!C$30*'Economic Model'!C$34/1000)+('Economic Model'!K$63/100)</f>
        <v>5.856209999999999</v>
      </c>
      <c r="S235" s="93">
        <f>R235+('Economic Model'!K$60/100)</f>
        <v>6.4155111345454534</v>
      </c>
      <c r="T235" s="121"/>
      <c r="U235" s="94"/>
      <c r="V235" s="93">
        <f t="shared" si="103"/>
        <v>1.4499013333333339</v>
      </c>
      <c r="W235" s="93">
        <f t="shared" si="104"/>
        <v>0.89060019878787955</v>
      </c>
      <c r="X235" s="105"/>
      <c r="Y235" s="120"/>
      <c r="Z235" s="147">
        <f>W235/('Economic Model'!H$14*(1-'Economic Model'!C$25/100))</f>
        <v>0.27119945498424397</v>
      </c>
      <c r="AA235" s="52"/>
      <c r="AB235" s="52"/>
      <c r="AC235" s="27"/>
      <c r="AD235" s="17">
        <v>1.4684210526315788</v>
      </c>
      <c r="AE235" s="17">
        <f t="shared" si="105"/>
        <v>3.8641631578947364</v>
      </c>
      <c r="AF235" s="17">
        <v>5.3325842105263153</v>
      </c>
      <c r="AG235" s="27"/>
      <c r="AH235" s="93">
        <f>AF235+(H235*'Economic Model'!C$30*'Economic Model'!C$34/1000)+('Economic Model'!K$63/100)</f>
        <v>6.4272692105263154</v>
      </c>
      <c r="AI235" s="93">
        <f>AH235+('Economic Model'!K$60/100)</f>
        <v>6.9865703450717698</v>
      </c>
      <c r="AJ235" s="120"/>
      <c r="AK235" s="91">
        <f t="shared" si="106"/>
        <v>0.87884212280701757</v>
      </c>
      <c r="AL235" s="91">
        <f t="shared" si="107"/>
        <v>0.31954098826156319</v>
      </c>
      <c r="AM235" s="91">
        <f t="shared" si="108"/>
        <v>0.89060019878787955</v>
      </c>
      <c r="AN235" s="91">
        <f t="shared" si="109"/>
        <v>-0.57105921052631636</v>
      </c>
      <c r="AO235" s="52"/>
    </row>
    <row r="236" spans="1:41" x14ac:dyDescent="0.2">
      <c r="A236" s="68">
        <v>45261</v>
      </c>
      <c r="B236" s="64"/>
      <c r="C236" s="56"/>
      <c r="D236" s="118">
        <f>'Returns per Gal.'!C236</f>
        <v>1.5902000000000003</v>
      </c>
      <c r="E236" s="119">
        <f>'Returns per Gal.'!D236</f>
        <v>209.66499999999999</v>
      </c>
      <c r="F236" s="316">
        <f>'Returns per Gal.'!E236</f>
        <v>0.52507499999999996</v>
      </c>
      <c r="G236" s="118">
        <f>'Returns per Gal.'!F236</f>
        <v>4.8121174999999994</v>
      </c>
      <c r="H236" s="128">
        <f>'Returns per Gal.'!G236</f>
        <v>5.79</v>
      </c>
      <c r="I236" s="304">
        <v>29.44</v>
      </c>
      <c r="J236" s="29"/>
      <c r="K236" s="97">
        <f>D236*'Economic Model'!C$30</f>
        <v>4.5320700000000009</v>
      </c>
      <c r="L236" s="97">
        <f>E236/2000*'Economic Model'!C$32</f>
        <v>1.7192529999999997</v>
      </c>
      <c r="M236" s="320">
        <f>F236*'Economic Model'!C$33</f>
        <v>0.34129874999999998</v>
      </c>
      <c r="N236" s="97">
        <f t="shared" ref="N236:N238" si="110">K236+L236+M236</f>
        <v>6.5926217500000011</v>
      </c>
      <c r="O236" s="97">
        <f t="shared" ref="O236:O238" si="111">N236-S236+G236</f>
        <v>4.9129856154545468</v>
      </c>
      <c r="P236" s="107"/>
      <c r="Q236" s="98"/>
      <c r="R236" s="97">
        <f>G236+(H236*'Economic Model'!C$30*'Economic Model'!C$34/1000)+('Economic Model'!K$63/100)</f>
        <v>5.9324524999999992</v>
      </c>
      <c r="S236" s="97">
        <f>R236+('Economic Model'!K$60/100)</f>
        <v>6.4917536345454536</v>
      </c>
      <c r="T236" s="131"/>
      <c r="U236" s="98"/>
      <c r="V236" s="97">
        <f t="shared" ref="V236:V238" si="112">N236-R236</f>
        <v>0.66016925000000182</v>
      </c>
      <c r="W236" s="97">
        <f t="shared" ref="W236:W238" si="113">N236-S236</f>
        <v>0.10086811545454744</v>
      </c>
      <c r="X236" s="107"/>
      <c r="Y236" s="130"/>
      <c r="Z236" s="148">
        <f>W236/('Economic Model'!H$14*(1-'Economic Model'!C$25/100))</f>
        <v>3.0715665653109157E-2</v>
      </c>
      <c r="AA236" s="64"/>
      <c r="AB236" s="64"/>
      <c r="AC236" s="29"/>
      <c r="AD236" s="65">
        <v>1.4684210526315788</v>
      </c>
      <c r="AE236" s="65">
        <f t="shared" si="105"/>
        <v>3.8641631578947364</v>
      </c>
      <c r="AF236" s="65">
        <v>5.3325842105263153</v>
      </c>
      <c r="AG236" s="29"/>
      <c r="AH236" s="97">
        <f>AF236+(H236*'Economic Model'!C$30*'Economic Model'!C$34/1000)+('Economic Model'!K$63/100)</f>
        <v>6.4529192105263151</v>
      </c>
      <c r="AI236" s="97">
        <f>AH236+('Economic Model'!K$60/100)</f>
        <v>7.0122203450717695</v>
      </c>
      <c r="AJ236" s="130"/>
      <c r="AK236" s="92">
        <f t="shared" ref="AK236:AK238" si="114">N236-AH236</f>
        <v>0.13970253947368594</v>
      </c>
      <c r="AL236" s="92">
        <f t="shared" ref="AL236:AL238" si="115">N236-AI236</f>
        <v>-0.41959859507176844</v>
      </c>
      <c r="AM236" s="92">
        <f t="shared" ref="AM236:AM238" si="116">O236-G236</f>
        <v>0.10086811545454744</v>
      </c>
      <c r="AN236" s="92">
        <f t="shared" ref="AN236:AN238" si="117">G236-AF236</f>
        <v>-0.52046671052631588</v>
      </c>
      <c r="AO236" s="64"/>
    </row>
    <row r="237" spans="1:41" x14ac:dyDescent="0.2">
      <c r="A237" s="292">
        <v>45292</v>
      </c>
      <c r="B237" s="62"/>
      <c r="C237" s="287"/>
      <c r="D237" s="141">
        <f>'Returns per Gal.'!C237</f>
        <v>1.4786250000000001</v>
      </c>
      <c r="E237" s="142">
        <f>'Returns per Gal.'!D237</f>
        <v>196.51</v>
      </c>
      <c r="F237" s="318">
        <f>'Returns per Gal.'!E237</f>
        <v>0.48694999999999999</v>
      </c>
      <c r="G237" s="141">
        <f>'Returns per Gal.'!F237</f>
        <v>4.5717761904761911</v>
      </c>
      <c r="H237" s="141">
        <f>'Returns per Gal.'!G237</f>
        <v>5.79</v>
      </c>
      <c r="I237" s="295">
        <v>30.44</v>
      </c>
      <c r="J237" s="183"/>
      <c r="K237" s="101">
        <f>D237*'Economic Model'!C$30</f>
        <v>4.2140812500000004</v>
      </c>
      <c r="L237" s="101">
        <f>E237/2000*'Economic Model'!C$32</f>
        <v>1.6113819999999999</v>
      </c>
      <c r="M237" s="321">
        <f>F237*'Economic Model'!C$33</f>
        <v>0.31651750000000001</v>
      </c>
      <c r="N237" s="101">
        <f t="shared" si="110"/>
        <v>6.1419807500000001</v>
      </c>
      <c r="O237" s="101">
        <f t="shared" si="111"/>
        <v>4.4623446154545459</v>
      </c>
      <c r="P237" s="116"/>
      <c r="Q237" s="102"/>
      <c r="R237" s="101">
        <f>G237+(H237*'Economic Model'!C$30*'Economic Model'!C$34/1000)+('Economic Model'!K$63/100)</f>
        <v>5.692111190476191</v>
      </c>
      <c r="S237" s="101">
        <f>R237+('Economic Model'!K$60/100)</f>
        <v>6.2514123250216453</v>
      </c>
      <c r="T237" s="144"/>
      <c r="U237" s="102"/>
      <c r="V237" s="101">
        <f t="shared" si="112"/>
        <v>0.44986955952380914</v>
      </c>
      <c r="W237" s="101">
        <f t="shared" si="113"/>
        <v>-0.10943157502164524</v>
      </c>
      <c r="X237" s="116"/>
      <c r="Y237" s="145"/>
      <c r="Z237" s="149">
        <f>W237/('Economic Model'!H$14*(1-'Economic Model'!C$25/100))</f>
        <v>-3.332335153790613E-2</v>
      </c>
      <c r="AA237" s="62"/>
      <c r="AB237" s="62"/>
      <c r="AC237" s="183"/>
      <c r="AD237" s="288">
        <v>1.4684210526315788</v>
      </c>
      <c r="AE237" s="288">
        <f t="shared" si="105"/>
        <v>3.8641631578947364</v>
      </c>
      <c r="AF237" s="288">
        <v>5.3325842105263153</v>
      </c>
      <c r="AG237" s="183"/>
      <c r="AH237" s="101">
        <f>AF237+(H237*'Economic Model'!C$30*'Economic Model'!C$34/1000)+('Economic Model'!K$63/100)</f>
        <v>6.4529192105263151</v>
      </c>
      <c r="AI237" s="101">
        <f>AH237+('Economic Model'!K$60/100)</f>
        <v>7.0122203450717695</v>
      </c>
      <c r="AJ237" s="145"/>
      <c r="AK237" s="289">
        <f t="shared" si="114"/>
        <v>-0.31093846052631502</v>
      </c>
      <c r="AL237" s="289">
        <f t="shared" si="115"/>
        <v>-0.8702395950717694</v>
      </c>
      <c r="AM237" s="289">
        <f t="shared" si="116"/>
        <v>-0.10943157502164524</v>
      </c>
      <c r="AN237" s="289">
        <f t="shared" si="117"/>
        <v>-0.76080802005012416</v>
      </c>
      <c r="AO237" s="290"/>
    </row>
    <row r="238" spans="1:41" ht="13.5" thickBot="1" x14ac:dyDescent="0.25">
      <c r="A238" s="182">
        <v>45323</v>
      </c>
      <c r="B238" s="52"/>
      <c r="C238" s="53"/>
      <c r="D238" s="118">
        <f>'Returns per Gal.'!C238</f>
        <v>1.460925</v>
      </c>
      <c r="E238" s="119">
        <f>'Returns per Gal.'!D238</f>
        <v>193.05500000000001</v>
      </c>
      <c r="F238" s="316">
        <f>'Returns per Gal.'!E238</f>
        <v>0.45290000000000002</v>
      </c>
      <c r="G238" s="118">
        <f>'Returns per Gal.'!F238</f>
        <v>4.3014525000000008</v>
      </c>
      <c r="H238" s="118">
        <f>'Returns per Gal.'!G238</f>
        <v>5.79</v>
      </c>
      <c r="I238" s="296">
        <v>31.44</v>
      </c>
      <c r="J238" s="27"/>
      <c r="K238" s="93">
        <f>D238*'Economic Model'!C$30</f>
        <v>4.1636362500000006</v>
      </c>
      <c r="L238" s="93">
        <f>E238/2000*'Economic Model'!C$32</f>
        <v>1.583051</v>
      </c>
      <c r="M238" s="319">
        <f>F238*'Economic Model'!C$33</f>
        <v>0.29438500000000001</v>
      </c>
      <c r="N238" s="93">
        <f t="shared" si="110"/>
        <v>6.0410722500000009</v>
      </c>
      <c r="O238" s="93">
        <f t="shared" si="111"/>
        <v>4.3614361154545467</v>
      </c>
      <c r="P238" s="105"/>
      <c r="Q238" s="94"/>
      <c r="R238" s="93">
        <f>G238+(H238*'Economic Model'!C$30*'Economic Model'!C$34/1000)+('Economic Model'!K$63/100)</f>
        <v>5.4217875000000006</v>
      </c>
      <c r="S238" s="93">
        <f>R238+('Economic Model'!K$60/100)</f>
        <v>5.981088634545455</v>
      </c>
      <c r="T238" s="121"/>
      <c r="U238" s="94"/>
      <c r="V238" s="93">
        <f t="shared" si="112"/>
        <v>0.61928475000000027</v>
      </c>
      <c r="W238" s="93">
        <f t="shared" si="113"/>
        <v>5.9983615454545891E-2</v>
      </c>
      <c r="X238" s="105"/>
      <c r="Y238" s="120"/>
      <c r="Z238" s="147">
        <f>W238/('Economic Model'!H$14*(1-'Economic Model'!C$25/100))</f>
        <v>1.8265798549559797E-2</v>
      </c>
      <c r="AA238" s="52"/>
      <c r="AB238" s="52"/>
      <c r="AC238" s="27"/>
      <c r="AD238" s="17">
        <v>1.4684210526315788</v>
      </c>
      <c r="AE238" s="17">
        <f t="shared" si="105"/>
        <v>3.8641631578947364</v>
      </c>
      <c r="AF238" s="17">
        <v>5.3325842105263153</v>
      </c>
      <c r="AG238" s="27"/>
      <c r="AH238" s="93">
        <f>AF238+(H238*'Economic Model'!C$30*'Economic Model'!C$34/1000)+('Economic Model'!K$63/100)</f>
        <v>6.4529192105263151</v>
      </c>
      <c r="AI238" s="93">
        <f>AH238+('Economic Model'!K$60/100)</f>
        <v>7.0122203450717695</v>
      </c>
      <c r="AJ238" s="120"/>
      <c r="AK238" s="91">
        <f t="shared" si="114"/>
        <v>-0.4118469605263142</v>
      </c>
      <c r="AL238" s="91">
        <f t="shared" si="115"/>
        <v>-0.97114809507176858</v>
      </c>
      <c r="AM238" s="91">
        <f t="shared" si="116"/>
        <v>5.9983615454545891E-2</v>
      </c>
      <c r="AN238" s="91">
        <f t="shared" si="117"/>
        <v>-1.0311317105263145</v>
      </c>
      <c r="AO238" s="264"/>
    </row>
    <row r="239" spans="1:41" hidden="1" x14ac:dyDescent="0.2">
      <c r="A239" s="182">
        <v>45352</v>
      </c>
      <c r="B239" s="52"/>
      <c r="C239" s="53"/>
      <c r="D239" s="118"/>
      <c r="E239" s="119"/>
      <c r="F239" s="316"/>
      <c r="G239" s="118"/>
      <c r="H239" s="118"/>
      <c r="I239" s="297"/>
      <c r="J239" s="27"/>
      <c r="K239" s="93"/>
      <c r="L239" s="93"/>
      <c r="M239" s="319"/>
      <c r="N239" s="93"/>
      <c r="O239" s="93"/>
      <c r="P239" s="105"/>
      <c r="Q239" s="94"/>
      <c r="R239" s="93"/>
      <c r="S239" s="93"/>
      <c r="T239" s="121"/>
      <c r="U239" s="94"/>
      <c r="V239" s="93"/>
      <c r="W239" s="93"/>
      <c r="X239" s="105"/>
      <c r="Y239" s="120"/>
      <c r="Z239" s="147"/>
      <c r="AA239" s="52"/>
      <c r="AB239" s="52"/>
      <c r="AC239" s="27"/>
      <c r="AD239" s="17">
        <v>1.4684210526315788</v>
      </c>
      <c r="AE239" s="17">
        <f t="shared" si="105"/>
        <v>3.8641631578947364</v>
      </c>
      <c r="AF239" s="17">
        <v>5.3325842105263153</v>
      </c>
      <c r="AG239" s="27"/>
      <c r="AH239" s="93"/>
      <c r="AI239" s="93"/>
      <c r="AJ239" s="120"/>
      <c r="AK239" s="91"/>
      <c r="AL239" s="91"/>
      <c r="AM239" s="91"/>
      <c r="AN239" s="91"/>
      <c r="AO239" s="264"/>
    </row>
    <row r="240" spans="1:41" hidden="1" x14ac:dyDescent="0.2">
      <c r="A240" s="182">
        <v>45383</v>
      </c>
      <c r="B240" s="52"/>
      <c r="C240" s="53"/>
      <c r="D240" s="118"/>
      <c r="E240" s="119"/>
      <c r="F240" s="316"/>
      <c r="G240" s="118"/>
      <c r="H240" s="118"/>
      <c r="I240" s="297"/>
      <c r="J240" s="27"/>
      <c r="K240" s="93"/>
      <c r="L240" s="93"/>
      <c r="M240" s="319"/>
      <c r="N240" s="93"/>
      <c r="O240" s="93"/>
      <c r="P240" s="105"/>
      <c r="Q240" s="94"/>
      <c r="R240" s="93"/>
      <c r="S240" s="93"/>
      <c r="T240" s="121"/>
      <c r="U240" s="94"/>
      <c r="V240" s="93"/>
      <c r="W240" s="93"/>
      <c r="X240" s="105"/>
      <c r="Y240" s="120"/>
      <c r="Z240" s="147"/>
      <c r="AA240" s="52"/>
      <c r="AB240" s="52"/>
      <c r="AC240" s="27"/>
      <c r="AD240" s="17">
        <v>1.4684210526315788</v>
      </c>
      <c r="AE240" s="17">
        <f t="shared" si="105"/>
        <v>3.8641631578947364</v>
      </c>
      <c r="AF240" s="17">
        <v>5.3325842105263153</v>
      </c>
      <c r="AG240" s="27"/>
      <c r="AH240" s="93"/>
      <c r="AI240" s="93"/>
      <c r="AJ240" s="120"/>
      <c r="AK240" s="91"/>
      <c r="AL240" s="91"/>
      <c r="AM240" s="91"/>
      <c r="AN240" s="91"/>
      <c r="AO240" s="264"/>
    </row>
    <row r="241" spans="1:42" hidden="1" x14ac:dyDescent="0.2">
      <c r="A241" s="182">
        <v>45413</v>
      </c>
      <c r="B241" s="52"/>
      <c r="C241" s="53"/>
      <c r="D241" s="118"/>
      <c r="E241" s="119"/>
      <c r="F241" s="316"/>
      <c r="G241" s="118"/>
      <c r="H241" s="118"/>
      <c r="I241" s="297"/>
      <c r="J241" s="27"/>
      <c r="K241" s="93"/>
      <c r="L241" s="93"/>
      <c r="M241" s="319"/>
      <c r="N241" s="93"/>
      <c r="O241" s="93"/>
      <c r="P241" s="105"/>
      <c r="Q241" s="94"/>
      <c r="R241" s="93"/>
      <c r="S241" s="93"/>
      <c r="T241" s="121"/>
      <c r="U241" s="94"/>
      <c r="V241" s="93"/>
      <c r="W241" s="93"/>
      <c r="X241" s="105"/>
      <c r="Y241" s="120"/>
      <c r="Z241" s="147"/>
      <c r="AA241" s="52"/>
      <c r="AB241" s="52"/>
      <c r="AC241" s="27"/>
      <c r="AD241" s="17">
        <v>1.4684210526315788</v>
      </c>
      <c r="AE241" s="17">
        <f t="shared" si="105"/>
        <v>3.8641631578947364</v>
      </c>
      <c r="AF241" s="17">
        <v>5.3325842105263153</v>
      </c>
      <c r="AG241" s="27"/>
      <c r="AH241" s="93"/>
      <c r="AI241" s="93"/>
      <c r="AJ241" s="120"/>
      <c r="AK241" s="91"/>
      <c r="AL241" s="91"/>
      <c r="AM241" s="91"/>
      <c r="AN241" s="91"/>
      <c r="AO241" s="264"/>
    </row>
    <row r="242" spans="1:42" hidden="1" x14ac:dyDescent="0.2">
      <c r="A242" s="182">
        <v>45444</v>
      </c>
      <c r="B242" s="52"/>
      <c r="C242" s="53"/>
      <c r="D242" s="118"/>
      <c r="E242" s="119"/>
      <c r="F242" s="316"/>
      <c r="G242" s="118"/>
      <c r="H242" s="118"/>
      <c r="I242" s="297"/>
      <c r="J242" s="27"/>
      <c r="K242" s="93"/>
      <c r="L242" s="93"/>
      <c r="M242" s="319"/>
      <c r="N242" s="93"/>
      <c r="O242" s="93"/>
      <c r="P242" s="105"/>
      <c r="Q242" s="94"/>
      <c r="R242" s="93"/>
      <c r="S242" s="93"/>
      <c r="T242" s="121"/>
      <c r="U242" s="94"/>
      <c r="V242" s="93"/>
      <c r="W242" s="93"/>
      <c r="X242" s="105"/>
      <c r="Y242" s="120"/>
      <c r="Z242" s="147"/>
      <c r="AA242" s="52"/>
      <c r="AB242" s="52"/>
      <c r="AC242" s="27"/>
      <c r="AD242" s="17">
        <v>1.4684210526315788</v>
      </c>
      <c r="AE242" s="17">
        <f t="shared" si="105"/>
        <v>3.8641631578947364</v>
      </c>
      <c r="AF242" s="17">
        <v>5.3325842105263153</v>
      </c>
      <c r="AG242" s="27"/>
      <c r="AH242" s="93"/>
      <c r="AI242" s="93"/>
      <c r="AJ242" s="120"/>
      <c r="AK242" s="91"/>
      <c r="AL242" s="91"/>
      <c r="AM242" s="91"/>
      <c r="AN242" s="91"/>
      <c r="AO242" s="264"/>
      <c r="AP242" s="27"/>
    </row>
    <row r="243" spans="1:42" hidden="1" x14ac:dyDescent="0.2">
      <c r="A243" s="182">
        <v>45474</v>
      </c>
      <c r="B243" s="52"/>
      <c r="C243" s="53"/>
      <c r="D243" s="118"/>
      <c r="E243" s="119"/>
      <c r="F243" s="316"/>
      <c r="G243" s="118"/>
      <c r="H243" s="118"/>
      <c r="I243" s="297"/>
      <c r="J243" s="27"/>
      <c r="K243" s="93"/>
      <c r="L243" s="93"/>
      <c r="M243" s="319"/>
      <c r="N243" s="93"/>
      <c r="O243" s="93"/>
      <c r="P243" s="105"/>
      <c r="Q243" s="94"/>
      <c r="R243" s="93"/>
      <c r="S243" s="93"/>
      <c r="T243" s="121"/>
      <c r="U243" s="94"/>
      <c r="V243" s="93"/>
      <c r="W243" s="93"/>
      <c r="X243" s="105"/>
      <c r="Y243" s="120"/>
      <c r="Z243" s="147"/>
      <c r="AA243" s="52"/>
      <c r="AB243" s="52"/>
      <c r="AC243" s="27"/>
      <c r="AD243" s="17">
        <v>1.4684210526315788</v>
      </c>
      <c r="AE243" s="17">
        <f t="shared" si="105"/>
        <v>3.8641631578947364</v>
      </c>
      <c r="AF243" s="17">
        <v>5.3325842105263153</v>
      </c>
      <c r="AG243" s="27"/>
      <c r="AH243" s="93"/>
      <c r="AI243" s="93"/>
      <c r="AJ243" s="120"/>
      <c r="AK243" s="91"/>
      <c r="AL243" s="91"/>
      <c r="AM243" s="91"/>
      <c r="AN243" s="91"/>
      <c r="AO243" s="264"/>
      <c r="AP243" s="27"/>
    </row>
    <row r="244" spans="1:42" ht="13.5" hidden="1" thickBot="1" x14ac:dyDescent="0.25">
      <c r="A244" s="182">
        <v>45505</v>
      </c>
      <c r="B244" s="52"/>
      <c r="C244" s="53"/>
      <c r="D244" s="118"/>
      <c r="E244" s="119"/>
      <c r="F244" s="316"/>
      <c r="G244" s="118"/>
      <c r="H244" s="118"/>
      <c r="I244" s="297"/>
      <c r="J244" s="27"/>
      <c r="K244" s="93"/>
      <c r="L244" s="93"/>
      <c r="M244" s="319"/>
      <c r="N244" s="93"/>
      <c r="O244" s="93"/>
      <c r="P244" s="105"/>
      <c r="Q244" s="94"/>
      <c r="R244" s="93"/>
      <c r="S244" s="93"/>
      <c r="T244" s="121"/>
      <c r="U244" s="94"/>
      <c r="V244" s="93"/>
      <c r="W244" s="93"/>
      <c r="X244" s="105"/>
      <c r="Y244" s="120"/>
      <c r="Z244" s="147"/>
      <c r="AA244" s="52"/>
      <c r="AB244" s="52"/>
      <c r="AC244" s="27"/>
      <c r="AD244" s="17">
        <v>1.4684210526315788</v>
      </c>
      <c r="AE244" s="17">
        <f t="shared" si="105"/>
        <v>3.8641631578947364</v>
      </c>
      <c r="AF244" s="17">
        <v>5.3325842105263153</v>
      </c>
      <c r="AG244" s="27"/>
      <c r="AH244" s="93"/>
      <c r="AI244" s="93"/>
      <c r="AJ244" s="120"/>
      <c r="AK244" s="91"/>
      <c r="AL244" s="91"/>
      <c r="AM244" s="91"/>
      <c r="AN244" s="91"/>
      <c r="AO244" s="264"/>
    </row>
    <row r="245" spans="1:42" ht="13.5" thickTop="1" x14ac:dyDescent="0.2">
      <c r="A245" s="312"/>
      <c r="B245" s="312"/>
      <c r="C245" s="312"/>
      <c r="D245" s="313"/>
      <c r="E245" s="313"/>
      <c r="F245" s="313"/>
      <c r="G245" s="313"/>
      <c r="H245" s="313"/>
      <c r="I245" s="312"/>
      <c r="J245" s="312"/>
      <c r="K245" s="312"/>
      <c r="L245" s="312"/>
      <c r="M245" s="313"/>
      <c r="N245" s="312"/>
      <c r="O245" s="312"/>
      <c r="P245" s="312"/>
      <c r="Q245" s="312"/>
      <c r="R245" s="312"/>
      <c r="S245" s="312"/>
      <c r="T245" s="312"/>
      <c r="U245" s="312"/>
      <c r="V245" s="312"/>
      <c r="W245" s="312"/>
      <c r="X245" s="312"/>
      <c r="Y245" s="312"/>
      <c r="Z245" s="312"/>
      <c r="AA245" s="312"/>
      <c r="AB245" s="312"/>
      <c r="AC245" s="312"/>
      <c r="AD245" s="312"/>
      <c r="AE245" s="312"/>
      <c r="AF245" s="312"/>
      <c r="AG245" s="312"/>
      <c r="AH245" s="312"/>
      <c r="AI245" s="312"/>
      <c r="AJ245" s="312"/>
      <c r="AK245" s="312"/>
      <c r="AL245" s="312"/>
      <c r="AM245" s="312"/>
      <c r="AN245" s="312"/>
      <c r="AO245" s="312"/>
    </row>
    <row r="248" spans="1:42" x14ac:dyDescent="0.2">
      <c r="A248" s="311" t="s">
        <v>217</v>
      </c>
    </row>
    <row r="249" spans="1:42" x14ac:dyDescent="0.2">
      <c r="A249" s="310" t="s">
        <v>227</v>
      </c>
      <c r="B249" s="310"/>
      <c r="C249" s="310"/>
      <c r="D249" s="310"/>
      <c r="E249" s="310"/>
      <c r="F249" s="310"/>
      <c r="G249" s="310"/>
      <c r="H249" s="310"/>
    </row>
    <row r="250" spans="1:42" x14ac:dyDescent="0.2">
      <c r="A250" s="310" t="s">
        <v>228</v>
      </c>
      <c r="B250" s="310"/>
      <c r="C250" s="310"/>
      <c r="D250" s="310"/>
      <c r="E250" s="310"/>
      <c r="F250" s="310"/>
      <c r="G250" s="310"/>
      <c r="H250" s="310"/>
    </row>
    <row r="251" spans="1:42" x14ac:dyDescent="0.2">
      <c r="A251" s="310" t="s">
        <v>80</v>
      </c>
      <c r="B251" s="310"/>
      <c r="C251" s="310"/>
      <c r="D251" s="310"/>
      <c r="E251" s="310"/>
      <c r="F251" s="310"/>
      <c r="G251" s="310"/>
      <c r="H251" s="310"/>
    </row>
  </sheetData>
  <sheetProtection sheet="1" objects="1" scenarios="1"/>
  <mergeCells count="10">
    <mergeCell ref="AK5:AN5"/>
    <mergeCell ref="AC4:AO4"/>
    <mergeCell ref="D2:AN2"/>
    <mergeCell ref="AD5:AF5"/>
    <mergeCell ref="AH5:AI5"/>
    <mergeCell ref="C4:AA4"/>
    <mergeCell ref="D5:H5"/>
    <mergeCell ref="K5:O5"/>
    <mergeCell ref="R5:S5"/>
    <mergeCell ref="V5:W5"/>
  </mergeCells>
  <phoneticPr fontId="10" type="noConversion"/>
  <pageMargins left="0.5" right="0.5" top="0.5" bottom="0.5" header="0.3" footer="0.3"/>
  <pageSetup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5</vt:i4>
      </vt:variant>
    </vt:vector>
  </HeadingPairs>
  <TitlesOfParts>
    <vt:vector size="22" baseType="lpstr">
      <vt:lpstr>Data</vt:lpstr>
      <vt:lpstr>Introduction</vt:lpstr>
      <vt:lpstr>Overview &amp; Assumptions</vt:lpstr>
      <vt:lpstr>Economic Model</vt:lpstr>
      <vt:lpstr>Returns per Gal.</vt:lpstr>
      <vt:lpstr>Returns per Bu.</vt:lpstr>
      <vt:lpstr>Prices</vt:lpstr>
      <vt:lpstr>Revenue</vt:lpstr>
      <vt:lpstr>Breakeven</vt:lpstr>
      <vt:lpstr>Cost (corn at mkt)</vt:lpstr>
      <vt:lpstr>Returns (corn at mkt)</vt:lpstr>
      <vt:lpstr>Grind Margin</vt:lpstr>
      <vt:lpstr>Return on Equity</vt:lpstr>
      <vt:lpstr>Prft Alloc (mkt)</vt:lpstr>
      <vt:lpstr>Costs (corn at cost)</vt:lpstr>
      <vt:lpstr>Returns (corn at cost)</vt:lpstr>
      <vt:lpstr>Prft Alloc (corn at cost)</vt:lpstr>
      <vt:lpstr>Data!Print_Area</vt:lpstr>
      <vt:lpstr>'Economic Model'!Print_Area</vt:lpstr>
      <vt:lpstr>Introduction!Print_Area</vt:lpstr>
      <vt:lpstr>'Returns per Bu.'!Print_Area</vt:lpstr>
      <vt:lpstr>'Returns per Gal.'!Print_Area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Iowa State University</dc:creator>
  <cp:lastModifiedBy>Johanns, Ann M [ECONA]</cp:lastModifiedBy>
  <cp:lastPrinted>2023-01-06T14:13:23Z</cp:lastPrinted>
  <dcterms:created xsi:type="dcterms:W3CDTF">2007-05-09T19:19:47Z</dcterms:created>
  <dcterms:modified xsi:type="dcterms:W3CDTF">2024-03-05T21:47:50Z</dcterms:modified>
</cp:coreProperties>
</file>