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mc:AlternateContent xmlns:mc="http://schemas.openxmlformats.org/markup-compatibility/2006">
    <mc:Choice Requires="x15">
      <x15ac:absPath xmlns:x15ac="http://schemas.microsoft.com/office/spreadsheetml/2010/11/ac" url="U:\AgDM\11-14\"/>
    </mc:Choice>
  </mc:AlternateContent>
  <bookViews>
    <workbookView xWindow="360" yWindow="72" windowWidth="14220" windowHeight="12288"/>
  </bookViews>
  <sheets>
    <sheet name="Example" sheetId="1" r:id="rId1"/>
    <sheet name="Blank" sheetId="5" r:id="rId2"/>
  </sheets>
  <definedNames>
    <definedName name="_xlnm.Print_Area" localSheetId="1">Blank!$B$1:$K$85</definedName>
    <definedName name="_xlnm.Print_Area" localSheetId="0">Example!$B$1:$K$85</definedName>
  </definedNames>
  <calcPr calcId="152511"/>
</workbook>
</file>

<file path=xl/calcChain.xml><?xml version="1.0" encoding="utf-8"?>
<calcChain xmlns="http://schemas.openxmlformats.org/spreadsheetml/2006/main">
  <c r="C80" i="5" l="1"/>
  <c r="F67" i="5"/>
  <c r="F66" i="5"/>
  <c r="E39" i="5"/>
  <c r="I26" i="5"/>
  <c r="I25" i="5"/>
  <c r="I24" i="5"/>
  <c r="I23" i="5"/>
  <c r="I22" i="5"/>
  <c r="I27" i="5" s="1"/>
  <c r="D17" i="5"/>
  <c r="D16" i="5"/>
  <c r="F39" i="5" l="1"/>
  <c r="D37" i="5"/>
  <c r="D18" i="5"/>
  <c r="D19" i="5" s="1"/>
  <c r="D17" i="1"/>
  <c r="D32" i="5" l="1"/>
  <c r="F32" i="5"/>
  <c r="E32" i="5"/>
  <c r="D16" i="1"/>
  <c r="E33" i="5" l="1"/>
  <c r="E34" i="5" s="1"/>
  <c r="E40" i="5"/>
  <c r="E42" i="5" s="1"/>
  <c r="F41" i="5"/>
  <c r="F33" i="5"/>
  <c r="F34" i="5" s="1"/>
  <c r="D38" i="5"/>
  <c r="D42" i="5" s="1"/>
  <c r="D36" i="5"/>
  <c r="D34" i="5"/>
  <c r="D60" i="5" s="1"/>
  <c r="F40" i="5"/>
  <c r="F39" i="1"/>
  <c r="D18" i="1"/>
  <c r="D19" i="1" s="1"/>
  <c r="E39" i="1"/>
  <c r="D37" i="1"/>
  <c r="D43" i="5" l="1"/>
  <c r="F42" i="5"/>
  <c r="D74" i="5"/>
  <c r="F60" i="5"/>
  <c r="F65" i="5"/>
  <c r="F36" i="5"/>
  <c r="F43" i="5" s="1"/>
  <c r="F59" i="5"/>
  <c r="E59" i="5"/>
  <c r="E60" i="5" s="1"/>
  <c r="E65" i="5"/>
  <c r="E36" i="5"/>
  <c r="E43" i="5" s="1"/>
  <c r="D62" i="5"/>
  <c r="D63" i="5"/>
  <c r="D64" i="5"/>
  <c r="D61" i="5"/>
  <c r="I26" i="1"/>
  <c r="I25" i="1"/>
  <c r="I24" i="1"/>
  <c r="F67" i="1"/>
  <c r="F66" i="1"/>
  <c r="D68" i="5" l="1"/>
  <c r="D71" i="5" s="1"/>
  <c r="E63" i="5"/>
  <c r="E61" i="5"/>
  <c r="E62" i="5"/>
  <c r="E68" i="5" s="1"/>
  <c r="E71" i="5" s="1"/>
  <c r="F63" i="5"/>
  <c r="F68" i="5" s="1"/>
  <c r="F71" i="5" s="1"/>
  <c r="F61" i="5"/>
  <c r="E74" i="5"/>
  <c r="F74" i="5"/>
  <c r="E32" i="1"/>
  <c r="E33" i="1" s="1"/>
  <c r="D69" i="5" l="1"/>
  <c r="D70" i="5" s="1"/>
  <c r="E69" i="5"/>
  <c r="F69" i="5"/>
  <c r="C80" i="1"/>
  <c r="D75" i="5" l="1"/>
  <c r="F75" i="5"/>
  <c r="F70" i="5"/>
  <c r="E75" i="5"/>
  <c r="E70" i="5"/>
  <c r="I22" i="1"/>
  <c r="I23" i="1"/>
  <c r="F32" i="1"/>
  <c r="F33" i="1" s="1"/>
  <c r="D32" i="1"/>
  <c r="D38" i="1" l="1"/>
  <c r="D42" i="1" s="1"/>
  <c r="D34" i="1"/>
  <c r="D60" i="1" s="1"/>
  <c r="D36" i="1"/>
  <c r="F41" i="1"/>
  <c r="E34" i="1"/>
  <c r="I27" i="1"/>
  <c r="E36" i="1" l="1"/>
  <c r="E59" i="1"/>
  <c r="E60" i="1" s="1"/>
  <c r="E65" i="1"/>
  <c r="D64" i="1"/>
  <c r="D62" i="1"/>
  <c r="D43" i="1"/>
  <c r="D74" i="1" s="1"/>
  <c r="D61" i="1"/>
  <c r="D63" i="1"/>
  <c r="F40" i="1"/>
  <c r="F42" i="1" s="1"/>
  <c r="F34" i="1"/>
  <c r="F65" i="1" s="1"/>
  <c r="E40" i="1"/>
  <c r="E42" i="1" s="1"/>
  <c r="F59" i="1" l="1"/>
  <c r="F60" i="1" s="1"/>
  <c r="F63" i="1" s="1"/>
  <c r="E62" i="1"/>
  <c r="E63" i="1"/>
  <c r="F36" i="1"/>
  <c r="F43" i="1" s="1"/>
  <c r="F74" i="1" s="1"/>
  <c r="D68" i="1"/>
  <c r="D71" i="1" s="1"/>
  <c r="E43" i="1"/>
  <c r="E74" i="1" s="1"/>
  <c r="E61" i="1"/>
  <c r="E68" i="1" l="1"/>
  <c r="E71" i="1" s="1"/>
  <c r="D69" i="1"/>
  <c r="F61" i="1"/>
  <c r="E69" i="1" l="1"/>
  <c r="E75" i="1" s="1"/>
  <c r="F68" i="1"/>
  <c r="F71" i="1" s="1"/>
  <c r="D70" i="1"/>
  <c r="D75" i="1"/>
  <c r="E70" i="1" l="1"/>
  <c r="F69" i="1"/>
  <c r="F70" i="1" s="1"/>
  <c r="F75" i="1" l="1"/>
</calcChain>
</file>

<file path=xl/comments1.xml><?xml version="1.0" encoding="utf-8"?>
<comments xmlns="http://schemas.openxmlformats.org/spreadsheetml/2006/main">
  <authors>
    <author>Economics Department</author>
    <author>isuimage</author>
    <author>William Edwards</author>
  </authors>
  <commentList>
    <comment ref="C5" authorId="0" shapeId="0">
      <text>
        <r>
          <rPr>
            <sz val="8"/>
            <color indexed="81"/>
            <rFont val="Tahoma"/>
            <family val="2"/>
          </rPr>
          <t>Place the cursor over cells with red triangles to read comments.</t>
        </r>
      </text>
    </comment>
    <comment ref="D13" authorId="1" shapeId="0">
      <text>
        <r>
          <rPr>
            <sz val="9"/>
            <color indexed="81"/>
            <rFont val="Tahoma"/>
            <family val="2"/>
          </rPr>
          <t xml:space="preserve">Expected yield, or wet weight divided by 56 pounds per bushel.
</t>
        </r>
      </text>
    </comment>
    <comment ref="D16" authorId="1" shapeId="0">
      <text>
        <r>
          <rPr>
            <sz val="9"/>
            <color indexed="81"/>
            <rFont val="Tahoma"/>
            <family val="2"/>
          </rPr>
          <t>Assumed daily drying rates are 0.3% for wet, cool weather, 
0.6% for normal weather, and 1.0% for hot, dry weather</t>
        </r>
        <r>
          <rPr>
            <sz val="8"/>
            <color indexed="81"/>
            <rFont val="Tahoma"/>
            <family val="2"/>
          </rPr>
          <t xml:space="preserve">. 
</t>
        </r>
        <r>
          <rPr>
            <sz val="7"/>
            <color indexed="81"/>
            <rFont val="Tahoma"/>
            <family val="2"/>
          </rPr>
          <t>Source: Elmore and Abendroth, Iowa State U., 2010.  
www.extension.iastate.edu/CropNews/2010/0928elmoreabendroth.htm</t>
        </r>
      </text>
    </comment>
    <comment ref="D17" authorId="1" shapeId="0">
      <text>
        <r>
          <rPr>
            <sz val="9"/>
            <color indexed="81"/>
            <rFont val="Tahoma"/>
            <family val="2"/>
          </rPr>
          <t xml:space="preserve">Estimated at 0.1% per day for good standing. 
0.3% per day for average standing, 0.5% per 
day for poor standing, and 1.0% per day for 
very poor standing. </t>
        </r>
        <r>
          <rPr>
            <sz val="8"/>
            <color indexed="81"/>
            <rFont val="Tahoma"/>
            <family val="2"/>
          </rPr>
          <t xml:space="preserve">
</t>
        </r>
        <r>
          <rPr>
            <sz val="7"/>
            <color indexed="81"/>
            <rFont val="Tahoma"/>
            <family val="2"/>
          </rPr>
          <t>Schuler, 
www.greatlakeshybrids.com/posts/196-yield-
costslosses-resulting-from-delayed-harvest</t>
        </r>
      </text>
    </comment>
    <comment ref="D18" authorId="1" shapeId="0">
      <text>
        <r>
          <rPr>
            <sz val="9"/>
            <color indexed="81"/>
            <rFont val="Tahoma"/>
            <family val="2"/>
          </rPr>
          <t xml:space="preserve">Yield (weight) reduction due to loss of water.
</t>
        </r>
      </text>
    </comment>
    <comment ref="D19" authorId="1" shapeId="0">
      <text>
        <r>
          <rPr>
            <sz val="9"/>
            <color indexed="81"/>
            <rFont val="Tahoma"/>
            <family val="2"/>
          </rPr>
          <t>Estimated as 100% minus (beginning DM% / ending DM%) 
minus estimated harvesting loss, times beginning yield.</t>
        </r>
      </text>
    </comment>
    <comment ref="D22" authorId="2" shapeId="0">
      <text>
        <r>
          <rPr>
            <sz val="9"/>
            <color indexed="81"/>
            <rFont val="Tahoma"/>
            <family val="2"/>
          </rPr>
          <t>Selling price for no. 2 corn.</t>
        </r>
      </text>
    </comment>
    <comment ref="I22" authorId="1" shapeId="0">
      <text>
        <r>
          <rPr>
            <sz val="9"/>
            <color indexed="81"/>
            <rFont val="Tahoma"/>
            <family val="2"/>
          </rPr>
          <t>$/bu = % of energy from propane 
x btu/lb. water removed 
x .72 lb. water/point 
x 1 gal. propane/80,000 btu 
x $/gal. propane (price)</t>
        </r>
      </text>
    </comment>
    <comment ref="D23" authorId="2" shapeId="0">
      <text>
        <r>
          <rPr>
            <sz val="9"/>
            <color indexed="81"/>
            <rFont val="Tahoma"/>
            <family val="2"/>
          </rPr>
          <t>Moisture level for no. 2 price.</t>
        </r>
      </text>
    </comment>
    <comment ref="I23" authorId="1" shapeId="0">
      <text>
        <r>
          <rPr>
            <sz val="9"/>
            <color indexed="81"/>
            <rFont val="Tahoma"/>
            <family val="2"/>
          </rPr>
          <t>$/bu. = % of energy from electricity 
x btu/lb. water removed 
x .72 lb. water/point 
x 1 Kwh electricity/3413 btu 
x $/Kwh of electricity (price)</t>
        </r>
      </text>
    </comment>
    <comment ref="D24" authorId="1" shapeId="0">
      <text>
        <r>
          <rPr>
            <sz val="9"/>
            <color indexed="81"/>
            <rFont val="Tahoma"/>
            <family val="2"/>
          </rPr>
          <t xml:space="preserve">Obtain value from buyer.
</t>
        </r>
      </text>
    </comment>
    <comment ref="I24" authorId="1" shapeId="0">
      <text>
        <r>
          <rPr>
            <sz val="9"/>
            <color indexed="81"/>
            <rFont val="Tahoma"/>
            <family val="2"/>
          </rPr>
          <t>Estimated at 3% of initial 
investment annually.</t>
        </r>
      </text>
    </comment>
    <comment ref="E25" authorId="1" shapeId="0">
      <text>
        <r>
          <rPr>
            <sz val="9"/>
            <color indexed="81"/>
            <rFont val="Tahoma"/>
            <family val="2"/>
          </rPr>
          <t xml:space="preserve">Obtain from buyer.
</t>
        </r>
      </text>
    </comment>
    <comment ref="I25" authorId="1" shapeId="0">
      <text>
        <r>
          <rPr>
            <sz val="9"/>
            <color indexed="81"/>
            <rFont val="Tahoma"/>
            <family val="2"/>
          </rPr>
          <t>Estimate at $.01 per bushel.</t>
        </r>
      </text>
    </comment>
    <comment ref="E26" authorId="1" shapeId="0">
      <text>
        <r>
          <rPr>
            <sz val="9"/>
            <color indexed="81"/>
            <rFont val="Tahoma"/>
            <family val="2"/>
          </rPr>
          <t xml:space="preserve">Obtain from buyer.
</t>
        </r>
      </text>
    </comment>
    <comment ref="I26" authorId="1" shapeId="0">
      <text>
        <r>
          <rPr>
            <sz val="9"/>
            <color indexed="81"/>
            <rFont val="Tahoma"/>
            <family val="2"/>
          </rPr>
          <t>Wage rate x % of drying time labor 
is needed / bushels dried per hour</t>
        </r>
      </text>
    </comment>
    <comment ref="F27" authorId="1" shapeId="0">
      <text>
        <r>
          <rPr>
            <sz val="9"/>
            <color indexed="81"/>
            <rFont val="Tahoma"/>
            <family val="2"/>
          </rPr>
          <t>See On-farm Drying Cost table 
to estimate variable drying costs.</t>
        </r>
      </text>
    </comment>
    <comment ref="F28" authorId="1" shapeId="0">
      <text>
        <r>
          <rPr>
            <sz val="9"/>
            <color indexed="81"/>
            <rFont val="Tahoma"/>
            <family val="2"/>
          </rPr>
          <t>Estimate at $.01 for own hauling 
or $.02 for custom hauling.</t>
        </r>
      </text>
    </comment>
    <comment ref="F29" authorId="2" shapeId="0">
      <text>
        <r>
          <rPr>
            <sz val="9"/>
            <color indexed="81"/>
            <rFont val="Tahoma"/>
            <family val="2"/>
          </rPr>
          <t>Extra transportation miles for on-farm drying versus 
delivering directly to the end buyer.</t>
        </r>
      </text>
    </comment>
    <comment ref="F30" authorId="1" shapeId="0">
      <text>
        <r>
          <rPr>
            <sz val="9"/>
            <color indexed="81"/>
            <rFont val="Tahoma"/>
            <family val="2"/>
          </rPr>
          <t>Grain loss due to extra movement and hauling of grain.</t>
        </r>
        <r>
          <rPr>
            <sz val="9"/>
            <color indexed="81"/>
            <rFont val="Tahoma"/>
            <family val="2"/>
          </rPr>
          <t xml:space="preserve">
</t>
        </r>
      </text>
    </comment>
    <comment ref="E33" authorId="1" shapeId="0">
      <text>
        <r>
          <rPr>
            <sz val="9"/>
            <color indexed="81"/>
            <rFont val="Tahoma"/>
            <family val="2"/>
          </rPr>
          <t>Shrink factor 
x points of moisture removed 
x bushels at harvest.</t>
        </r>
      </text>
    </comment>
    <comment ref="F33" authorId="1" shapeId="0">
      <text>
        <r>
          <rPr>
            <sz val="9"/>
            <color indexed="81"/>
            <rFont val="Tahoma"/>
            <family val="2"/>
          </rPr>
          <t>Estimated as 100% minus (harvest DM% / ending DM%), 
plus estimated handling loss, times harvest (wet) yield.</t>
        </r>
      </text>
    </comment>
    <comment ref="D36" authorId="1" shapeId="0">
      <text>
        <r>
          <rPr>
            <sz val="9"/>
            <color indexed="81"/>
            <rFont val="Tahoma"/>
            <family val="2"/>
          </rPr>
          <t>Net bushels x no. 2 price</t>
        </r>
      </text>
    </comment>
    <comment ref="E36" authorId="1" shapeId="0">
      <text>
        <r>
          <rPr>
            <sz val="9"/>
            <color indexed="81"/>
            <rFont val="Tahoma"/>
            <family val="2"/>
          </rPr>
          <t xml:space="preserve">Net bushels x no. 2 price </t>
        </r>
      </text>
    </comment>
    <comment ref="F36" authorId="1" shapeId="0">
      <text>
        <r>
          <rPr>
            <sz val="9"/>
            <color indexed="81"/>
            <rFont val="Tahoma"/>
            <family val="2"/>
          </rPr>
          <t>Net bushels x no. 2 price</t>
        </r>
      </text>
    </comment>
    <comment ref="D37" authorId="1" shapeId="0">
      <text>
        <r>
          <rPr>
            <sz val="9"/>
            <color indexed="81"/>
            <rFont val="Tahoma"/>
            <family val="2"/>
          </rPr>
          <t>Moisture discount factor 
x points of moisture removed 
x no. 2 price.</t>
        </r>
      </text>
    </comment>
    <comment ref="D38" authorId="1" shapeId="0">
      <text>
        <r>
          <rPr>
            <sz val="9"/>
            <color indexed="81"/>
            <rFont val="Tahoma"/>
            <family val="2"/>
          </rPr>
          <t>Moisture discount per bushel 
x wet bushels at harvest.</t>
        </r>
      </text>
    </comment>
    <comment ref="E39" authorId="1" shapeId="0">
      <text>
        <r>
          <rPr>
            <sz val="9"/>
            <color indexed="81"/>
            <rFont val="Tahoma"/>
            <family val="2"/>
          </rPr>
          <t>Drying cost per point removed 
x points of moisture removed.</t>
        </r>
      </text>
    </comment>
    <comment ref="F41" authorId="1" shapeId="0">
      <text>
        <r>
          <rPr>
            <sz val="9"/>
            <color indexed="81"/>
            <rFont val="Tahoma"/>
            <family val="2"/>
          </rPr>
          <t>Cost per mile per bushel 
x extra miles hauled 
x wet bushels harvested.</t>
        </r>
      </text>
    </comment>
    <comment ref="D45" authorId="2" shapeId="0">
      <text>
        <r>
          <rPr>
            <sz val="9"/>
            <color indexed="81"/>
            <rFont val="Tahoma"/>
            <family val="2"/>
          </rPr>
          <t>Expected number of months grain will be stored.</t>
        </r>
      </text>
    </comment>
    <comment ref="E45" authorId="2" shapeId="0">
      <text>
        <r>
          <rPr>
            <sz val="9"/>
            <color indexed="81"/>
            <rFont val="Tahoma"/>
            <family val="2"/>
          </rPr>
          <t>Expected number of months grain will be stored.</t>
        </r>
      </text>
    </comment>
    <comment ref="F45" authorId="2" shapeId="0">
      <text>
        <r>
          <rPr>
            <sz val="9"/>
            <color indexed="81"/>
            <rFont val="Tahoma"/>
            <family val="2"/>
          </rPr>
          <t>Expected number of months grain will be stored.</t>
        </r>
      </text>
    </comment>
    <comment ref="D46" authorId="1" shapeId="0">
      <text>
        <r>
          <rPr>
            <sz val="9"/>
            <color indexed="81"/>
            <rFont val="Tahoma"/>
            <family val="2"/>
          </rPr>
          <t>Price offered for future delivery.</t>
        </r>
      </text>
    </comment>
    <comment ref="E46" authorId="1" shapeId="0">
      <text>
        <r>
          <rPr>
            <sz val="9"/>
            <color indexed="81"/>
            <rFont val="Tahoma"/>
            <family val="2"/>
          </rPr>
          <t xml:space="preserve">Price offered for future delivery.
</t>
        </r>
      </text>
    </comment>
    <comment ref="F46" authorId="1" shapeId="0">
      <text>
        <r>
          <rPr>
            <sz val="9"/>
            <color indexed="81"/>
            <rFont val="Tahoma"/>
            <family val="2"/>
          </rPr>
          <t xml:space="preserve">Price offered for future delivery.
</t>
        </r>
      </text>
    </comment>
    <comment ref="D49" authorId="1" shapeId="0">
      <text>
        <r>
          <rPr>
            <sz val="9"/>
            <color indexed="81"/>
            <rFont val="Tahoma"/>
            <family val="2"/>
          </rPr>
          <t>Number of months covered by minimum storage charge.</t>
        </r>
      </text>
    </comment>
    <comment ref="E49" authorId="1" shapeId="0">
      <text>
        <r>
          <rPr>
            <sz val="9"/>
            <color indexed="81"/>
            <rFont val="Tahoma"/>
            <family val="2"/>
          </rPr>
          <t>Number of months covered by minimum storage charge.</t>
        </r>
      </text>
    </comment>
    <comment ref="F51" authorId="1" shapeId="0">
      <text>
        <r>
          <rPr>
            <sz val="9"/>
            <color indexed="81"/>
            <rFont val="Tahoma"/>
            <family val="2"/>
          </rPr>
          <t>Loss due to spoilage, cracking, foreign material, etc.</t>
        </r>
      </text>
    </comment>
    <comment ref="F54" authorId="1" shapeId="0">
      <text>
        <r>
          <rPr>
            <sz val="9"/>
            <color indexed="81"/>
            <rFont val="Tahoma"/>
            <family val="2"/>
          </rPr>
          <t>Electricity price for farm use.</t>
        </r>
      </text>
    </comment>
    <comment ref="F55" authorId="1" shapeId="0">
      <text>
        <r>
          <rPr>
            <sz val="9"/>
            <color indexed="81"/>
            <rFont val="Tahoma"/>
            <family val="2"/>
          </rPr>
          <t>Estimated hours spent checking 
and managing grain per month.</t>
        </r>
      </text>
    </comment>
    <comment ref="F56" authorId="1" shapeId="0">
      <text>
        <r>
          <rPr>
            <sz val="9"/>
            <color indexed="81"/>
            <rFont val="Tahoma"/>
            <family val="2"/>
          </rPr>
          <t>Hourly wage paid or value of operator labor.</t>
        </r>
      </text>
    </comment>
    <comment ref="E59" authorId="1" shapeId="0">
      <text>
        <r>
          <rPr>
            <sz val="9"/>
            <color indexed="81"/>
            <rFont val="Tahoma"/>
            <family val="2"/>
          </rPr>
          <t>Shrink factor 
x points of moisture removed 
x bushels at harvest.</t>
        </r>
      </text>
    </comment>
    <comment ref="F59" authorId="1" shapeId="0">
      <text>
        <r>
          <rPr>
            <sz val="9"/>
            <color indexed="81"/>
            <rFont val="Tahoma"/>
            <family val="2"/>
          </rPr>
          <t>Shrink factor 
x points of moisture removed 
x bushels at harvest.</t>
        </r>
      </text>
    </comment>
    <comment ref="D63" authorId="1" shapeId="0">
      <text>
        <r>
          <rPr>
            <sz val="9"/>
            <color indexed="81"/>
            <rFont val="Tahoma"/>
            <family val="2"/>
          </rPr>
          <t>Harvest price x annual interest rate / 
months stored. Revenue that could 
have been earned if grain had been 
sold at harvest.</t>
        </r>
      </text>
    </comment>
    <comment ref="E63" authorId="1" shapeId="0">
      <text>
        <r>
          <rPr>
            <sz val="9"/>
            <color indexed="81"/>
            <rFont val="Tahoma"/>
            <family val="2"/>
          </rPr>
          <t>Harvest price x annual interest rate / 
months stored. Revenue that could 
have been earned if grain had been 
sold at harvest.</t>
        </r>
      </text>
    </comment>
    <comment ref="F63" authorId="1" shapeId="0">
      <text>
        <r>
          <rPr>
            <sz val="9"/>
            <color indexed="81"/>
            <rFont val="Tahoma"/>
            <family val="2"/>
          </rPr>
          <t>Harvest price x annual interest rate / 
months stored. Revenue that could 
have been earned if grain had been 
sold at harvest.</t>
        </r>
      </text>
    </comment>
    <comment ref="D64" authorId="1" shapeId="0">
      <text>
        <r>
          <rPr>
            <sz val="9"/>
            <color indexed="81"/>
            <rFont val="Tahoma"/>
            <family val="2"/>
          </rPr>
          <t xml:space="preserve">Moisture discount factor 
x points of moisture removed 
x no. 2 price x bushels.
</t>
        </r>
      </text>
    </comment>
    <comment ref="E65" authorId="1" shapeId="0">
      <text>
        <r>
          <rPr>
            <sz val="9"/>
            <color indexed="81"/>
            <rFont val="Tahoma"/>
            <family val="2"/>
          </rPr>
          <t>Drying cost per point 
x points removed 
x bushels dried.</t>
        </r>
      </text>
    </comment>
    <comment ref="F65" authorId="1" shapeId="0">
      <text>
        <r>
          <rPr>
            <sz val="9"/>
            <color indexed="81"/>
            <rFont val="Tahoma"/>
            <family val="2"/>
          </rPr>
          <t>Drying cost per point 
x points removed 
x bushels dried.</t>
        </r>
      </text>
    </comment>
    <comment ref="F66" authorId="1" shapeId="0">
      <text>
        <r>
          <rPr>
            <sz val="9"/>
            <color indexed="81"/>
            <rFont val="Tahoma"/>
            <family val="2"/>
          </rPr>
          <t xml:space="preserve">Number of horsepower 
x hours of operation 
x price per KwH of 
electricity x 85% </t>
        </r>
      </text>
    </comment>
    <comment ref="F67" authorId="1" shapeId="0">
      <text>
        <r>
          <rPr>
            <sz val="9"/>
            <color indexed="81"/>
            <rFont val="Tahoma"/>
            <family val="2"/>
          </rPr>
          <t>Hours per month for managing grain 
x months of storage x labor cost per hour</t>
        </r>
      </text>
    </comment>
    <comment ref="D70" authorId="1" shapeId="0">
      <text>
        <r>
          <rPr>
            <sz val="9"/>
            <color indexed="81"/>
            <rFont val="Tahoma"/>
            <family val="2"/>
          </rPr>
          <t>Net revenue after storage minus 
net revenue for sale at harvest.</t>
        </r>
      </text>
    </comment>
    <comment ref="E70" authorId="1" shapeId="0">
      <text>
        <r>
          <rPr>
            <sz val="9"/>
            <color indexed="81"/>
            <rFont val="Tahoma"/>
            <family val="2"/>
          </rPr>
          <t>Net revenue after storage minus 
net revenue for sale at harvest.</t>
        </r>
      </text>
    </comment>
    <comment ref="F70" authorId="1" shapeId="0">
      <text>
        <r>
          <rPr>
            <sz val="9"/>
            <color indexed="81"/>
            <rFont val="Tahoma"/>
            <family val="2"/>
          </rPr>
          <t>Net revenue after storage minus 
net revenue for sale at harvest.</t>
        </r>
      </text>
    </comment>
  </commentList>
</comments>
</file>

<file path=xl/comments2.xml><?xml version="1.0" encoding="utf-8"?>
<comments xmlns="http://schemas.openxmlformats.org/spreadsheetml/2006/main">
  <authors>
    <author>Economics Department</author>
    <author>isuimage</author>
    <author>William Edwards</author>
  </authors>
  <commentList>
    <comment ref="C5" authorId="0" shapeId="0">
      <text>
        <r>
          <rPr>
            <sz val="8"/>
            <color indexed="81"/>
            <rFont val="Tahoma"/>
            <family val="2"/>
          </rPr>
          <t>Place the cursor over cells with red triangles to read comments.</t>
        </r>
      </text>
    </comment>
    <comment ref="D13" authorId="1" shapeId="0">
      <text>
        <r>
          <rPr>
            <sz val="9"/>
            <color indexed="81"/>
            <rFont val="Tahoma"/>
            <family val="2"/>
          </rPr>
          <t xml:space="preserve">Expected yield, or wet weight divided by 56 pounds per bushel.
</t>
        </r>
      </text>
    </comment>
    <comment ref="D16" authorId="1" shapeId="0">
      <text>
        <r>
          <rPr>
            <sz val="9"/>
            <color indexed="81"/>
            <rFont val="Tahoma"/>
            <family val="2"/>
          </rPr>
          <t>Assumed daily drying rates are 0.3% for wet, cool weather, 
0.6% for normal weather, and 1.0% for hot, dry weather</t>
        </r>
        <r>
          <rPr>
            <sz val="8"/>
            <color indexed="81"/>
            <rFont val="Tahoma"/>
            <family val="2"/>
          </rPr>
          <t xml:space="preserve">. 
</t>
        </r>
        <r>
          <rPr>
            <sz val="7"/>
            <color indexed="81"/>
            <rFont val="Tahoma"/>
            <family val="2"/>
          </rPr>
          <t>Source: Elmore and Abendroth, Iowa State U., 2010.  
www.extension.iastate.edu/CropNews/2010/0928elmoreabendroth.htm</t>
        </r>
      </text>
    </comment>
    <comment ref="D17" authorId="1" shapeId="0">
      <text>
        <r>
          <rPr>
            <sz val="9"/>
            <color indexed="81"/>
            <rFont val="Tahoma"/>
            <family val="2"/>
          </rPr>
          <t xml:space="preserve">Estimated at 0.1% per day for good standing. 
0.3% per day for average standing, 0.5% per 
day for poor standing, and 1.0% per day for 
very poor standing. </t>
        </r>
        <r>
          <rPr>
            <sz val="8"/>
            <color indexed="81"/>
            <rFont val="Tahoma"/>
            <family val="2"/>
          </rPr>
          <t xml:space="preserve">
</t>
        </r>
        <r>
          <rPr>
            <sz val="7"/>
            <color indexed="81"/>
            <rFont val="Tahoma"/>
            <family val="2"/>
          </rPr>
          <t>Schuler, 
www.greatlakeshybrids.com/posts/196-yield-
costslosses-resulting-from-delayed-harvest</t>
        </r>
      </text>
    </comment>
    <comment ref="D18" authorId="1" shapeId="0">
      <text>
        <r>
          <rPr>
            <sz val="9"/>
            <color indexed="81"/>
            <rFont val="Tahoma"/>
            <family val="2"/>
          </rPr>
          <t xml:space="preserve">Yield (weight) reduction due to loss of water.
</t>
        </r>
      </text>
    </comment>
    <comment ref="D19" authorId="1" shapeId="0">
      <text>
        <r>
          <rPr>
            <sz val="9"/>
            <color indexed="81"/>
            <rFont val="Tahoma"/>
            <family val="2"/>
          </rPr>
          <t>Estimated as 100% minus (beginning DM% / ending DM%) 
minus estimated harvesting loss, times beginning yield.</t>
        </r>
      </text>
    </comment>
    <comment ref="D22" authorId="2" shapeId="0">
      <text>
        <r>
          <rPr>
            <sz val="9"/>
            <color indexed="81"/>
            <rFont val="Tahoma"/>
            <family val="2"/>
          </rPr>
          <t>Selling price for no. 2 corn.</t>
        </r>
      </text>
    </comment>
    <comment ref="I22" authorId="1" shapeId="0">
      <text>
        <r>
          <rPr>
            <sz val="9"/>
            <color indexed="81"/>
            <rFont val="Tahoma"/>
            <family val="2"/>
          </rPr>
          <t>$/bu = % of energy from propane 
x btu/lb. water removed 
x .72 lb. water/point 
x 1 gal. propane/80,000 btu 
x $/gal. propane (price)</t>
        </r>
      </text>
    </comment>
    <comment ref="D23" authorId="2" shapeId="0">
      <text>
        <r>
          <rPr>
            <sz val="9"/>
            <color indexed="81"/>
            <rFont val="Tahoma"/>
            <family val="2"/>
          </rPr>
          <t>Moisture level for no. 2 price.</t>
        </r>
      </text>
    </comment>
    <comment ref="I23" authorId="1" shapeId="0">
      <text>
        <r>
          <rPr>
            <sz val="9"/>
            <color indexed="81"/>
            <rFont val="Tahoma"/>
            <family val="2"/>
          </rPr>
          <t>$/bu. = % of energy from electricity 
x btu/lb. water removed 
x .72 lb. water/point 
x 1 Kwh electricity/3413 btu 
x $/Kwh of electricity (price)</t>
        </r>
      </text>
    </comment>
    <comment ref="D24" authorId="1" shapeId="0">
      <text>
        <r>
          <rPr>
            <sz val="9"/>
            <color indexed="81"/>
            <rFont val="Tahoma"/>
            <family val="2"/>
          </rPr>
          <t xml:space="preserve">Obtain value from buyer.
</t>
        </r>
      </text>
    </comment>
    <comment ref="I24" authorId="1" shapeId="0">
      <text>
        <r>
          <rPr>
            <sz val="9"/>
            <color indexed="81"/>
            <rFont val="Tahoma"/>
            <family val="2"/>
          </rPr>
          <t>Estimated at 3% of initial 
investment annually.</t>
        </r>
      </text>
    </comment>
    <comment ref="E25" authorId="1" shapeId="0">
      <text>
        <r>
          <rPr>
            <sz val="9"/>
            <color indexed="81"/>
            <rFont val="Tahoma"/>
            <family val="2"/>
          </rPr>
          <t xml:space="preserve">Obtain from buyer.
</t>
        </r>
      </text>
    </comment>
    <comment ref="I25" authorId="1" shapeId="0">
      <text>
        <r>
          <rPr>
            <sz val="9"/>
            <color indexed="81"/>
            <rFont val="Tahoma"/>
            <family val="2"/>
          </rPr>
          <t>Estimate at $.01 per bushel.</t>
        </r>
      </text>
    </comment>
    <comment ref="E26" authorId="1" shapeId="0">
      <text>
        <r>
          <rPr>
            <sz val="9"/>
            <color indexed="81"/>
            <rFont val="Tahoma"/>
            <family val="2"/>
          </rPr>
          <t xml:space="preserve">Obtain from buyer.
</t>
        </r>
      </text>
    </comment>
    <comment ref="I26" authorId="1" shapeId="0">
      <text>
        <r>
          <rPr>
            <sz val="9"/>
            <color indexed="81"/>
            <rFont val="Tahoma"/>
            <family val="2"/>
          </rPr>
          <t>Wage rate x % of drying time labor 
is needed / bushels dried per hour</t>
        </r>
      </text>
    </comment>
    <comment ref="F27" authorId="1" shapeId="0">
      <text>
        <r>
          <rPr>
            <sz val="9"/>
            <color indexed="81"/>
            <rFont val="Tahoma"/>
            <family val="2"/>
          </rPr>
          <t>See On-farm Drying Cost table 
to estimate variable drying costs.</t>
        </r>
      </text>
    </comment>
    <comment ref="F28" authorId="1" shapeId="0">
      <text>
        <r>
          <rPr>
            <sz val="9"/>
            <color indexed="81"/>
            <rFont val="Tahoma"/>
            <family val="2"/>
          </rPr>
          <t>Estimate at $.01 for own hauling 
or $.02 for custom hauling.</t>
        </r>
      </text>
    </comment>
    <comment ref="F29" authorId="2" shapeId="0">
      <text>
        <r>
          <rPr>
            <sz val="9"/>
            <color indexed="81"/>
            <rFont val="Tahoma"/>
            <family val="2"/>
          </rPr>
          <t>Extra transportation miles for on-farm drying versus 
delivering directly to the end buyer.</t>
        </r>
      </text>
    </comment>
    <comment ref="F30" authorId="1" shapeId="0">
      <text>
        <r>
          <rPr>
            <sz val="9"/>
            <color indexed="81"/>
            <rFont val="Tahoma"/>
            <family val="2"/>
          </rPr>
          <t>Grain loss due to extra movement and hauling of grain.</t>
        </r>
        <r>
          <rPr>
            <sz val="9"/>
            <color indexed="81"/>
            <rFont val="Tahoma"/>
            <family val="2"/>
          </rPr>
          <t xml:space="preserve">
</t>
        </r>
      </text>
    </comment>
    <comment ref="E33" authorId="1" shapeId="0">
      <text>
        <r>
          <rPr>
            <sz val="9"/>
            <color indexed="81"/>
            <rFont val="Tahoma"/>
            <family val="2"/>
          </rPr>
          <t>Shrink factor 
x points of moisture removed 
x bushels at harvest.</t>
        </r>
      </text>
    </comment>
    <comment ref="F33" authorId="1" shapeId="0">
      <text>
        <r>
          <rPr>
            <sz val="9"/>
            <color indexed="81"/>
            <rFont val="Tahoma"/>
            <family val="2"/>
          </rPr>
          <t>Estimated as 100% minus (harvest DM% / ending DM%), 
plus estimated handling loss, times harvest (wet) yield.</t>
        </r>
      </text>
    </comment>
    <comment ref="D36" authorId="1" shapeId="0">
      <text>
        <r>
          <rPr>
            <sz val="9"/>
            <color indexed="81"/>
            <rFont val="Tahoma"/>
            <family val="2"/>
          </rPr>
          <t>Net bushels x no. 2 price</t>
        </r>
      </text>
    </comment>
    <comment ref="E36" authorId="1" shapeId="0">
      <text>
        <r>
          <rPr>
            <sz val="9"/>
            <color indexed="81"/>
            <rFont val="Tahoma"/>
            <family val="2"/>
          </rPr>
          <t xml:space="preserve">Net bushels x no. 2 price </t>
        </r>
      </text>
    </comment>
    <comment ref="F36" authorId="1" shapeId="0">
      <text>
        <r>
          <rPr>
            <sz val="9"/>
            <color indexed="81"/>
            <rFont val="Tahoma"/>
            <family val="2"/>
          </rPr>
          <t>Net bushels x no. 2 price</t>
        </r>
      </text>
    </comment>
    <comment ref="D37" authorId="1" shapeId="0">
      <text>
        <r>
          <rPr>
            <sz val="9"/>
            <color indexed="81"/>
            <rFont val="Tahoma"/>
            <family val="2"/>
          </rPr>
          <t>Moisture discount factor 
x points of moisture removed 
x no. 2 price.</t>
        </r>
      </text>
    </comment>
    <comment ref="D38" authorId="1" shapeId="0">
      <text>
        <r>
          <rPr>
            <sz val="9"/>
            <color indexed="81"/>
            <rFont val="Tahoma"/>
            <family val="2"/>
          </rPr>
          <t>Moisture discount per bushel 
x wet bushels at harvest.</t>
        </r>
      </text>
    </comment>
    <comment ref="E39" authorId="1" shapeId="0">
      <text>
        <r>
          <rPr>
            <sz val="9"/>
            <color indexed="81"/>
            <rFont val="Tahoma"/>
            <family val="2"/>
          </rPr>
          <t>Drying cost per point removed 
x points of moisture removed.</t>
        </r>
      </text>
    </comment>
    <comment ref="F41" authorId="1" shapeId="0">
      <text>
        <r>
          <rPr>
            <sz val="9"/>
            <color indexed="81"/>
            <rFont val="Tahoma"/>
            <family val="2"/>
          </rPr>
          <t>Cost per mile per bushel 
x extra miles hauled 
x wet bushels harvested.</t>
        </r>
      </text>
    </comment>
    <comment ref="D45" authorId="2" shapeId="0">
      <text>
        <r>
          <rPr>
            <sz val="9"/>
            <color indexed="81"/>
            <rFont val="Tahoma"/>
            <family val="2"/>
          </rPr>
          <t>Expected number of months grain will be stored.</t>
        </r>
      </text>
    </comment>
    <comment ref="E45" authorId="2" shapeId="0">
      <text>
        <r>
          <rPr>
            <sz val="9"/>
            <color indexed="81"/>
            <rFont val="Tahoma"/>
            <family val="2"/>
          </rPr>
          <t>Expected number of months grain will be stored.</t>
        </r>
      </text>
    </comment>
    <comment ref="F45" authorId="2" shapeId="0">
      <text>
        <r>
          <rPr>
            <sz val="9"/>
            <color indexed="81"/>
            <rFont val="Tahoma"/>
            <family val="2"/>
          </rPr>
          <t>Expected number of months grain will be stored.</t>
        </r>
      </text>
    </comment>
    <comment ref="D46" authorId="1" shapeId="0">
      <text>
        <r>
          <rPr>
            <sz val="9"/>
            <color indexed="81"/>
            <rFont val="Tahoma"/>
            <family val="2"/>
          </rPr>
          <t>Price offered for future delivery.</t>
        </r>
      </text>
    </comment>
    <comment ref="E46" authorId="1" shapeId="0">
      <text>
        <r>
          <rPr>
            <sz val="9"/>
            <color indexed="81"/>
            <rFont val="Tahoma"/>
            <family val="2"/>
          </rPr>
          <t xml:space="preserve">Price offered for future delivery.
</t>
        </r>
      </text>
    </comment>
    <comment ref="F46" authorId="1" shapeId="0">
      <text>
        <r>
          <rPr>
            <sz val="9"/>
            <color indexed="81"/>
            <rFont val="Tahoma"/>
            <family val="2"/>
          </rPr>
          <t xml:space="preserve">Price offered for future delivery.
</t>
        </r>
      </text>
    </comment>
    <comment ref="D49" authorId="1" shapeId="0">
      <text>
        <r>
          <rPr>
            <sz val="9"/>
            <color indexed="81"/>
            <rFont val="Tahoma"/>
            <family val="2"/>
          </rPr>
          <t>Number of months covered by minimum storage charge.</t>
        </r>
      </text>
    </comment>
    <comment ref="E49" authorId="1" shapeId="0">
      <text>
        <r>
          <rPr>
            <sz val="9"/>
            <color indexed="81"/>
            <rFont val="Tahoma"/>
            <family val="2"/>
          </rPr>
          <t>Number of months covered by minimum storage charge.</t>
        </r>
      </text>
    </comment>
    <comment ref="F51" authorId="1" shapeId="0">
      <text>
        <r>
          <rPr>
            <sz val="9"/>
            <color indexed="81"/>
            <rFont val="Tahoma"/>
            <family val="2"/>
          </rPr>
          <t>Loss due to spoilage, cracking, foreign material, etc.</t>
        </r>
      </text>
    </comment>
    <comment ref="F54" authorId="1" shapeId="0">
      <text>
        <r>
          <rPr>
            <sz val="9"/>
            <color indexed="81"/>
            <rFont val="Tahoma"/>
            <family val="2"/>
          </rPr>
          <t>Electricity price for farm use.</t>
        </r>
      </text>
    </comment>
    <comment ref="F55" authorId="1" shapeId="0">
      <text>
        <r>
          <rPr>
            <sz val="9"/>
            <color indexed="81"/>
            <rFont val="Tahoma"/>
            <family val="2"/>
          </rPr>
          <t>Estimated hours spent checking 
and managing grain per month.</t>
        </r>
      </text>
    </comment>
    <comment ref="F56" authorId="1" shapeId="0">
      <text>
        <r>
          <rPr>
            <sz val="9"/>
            <color indexed="81"/>
            <rFont val="Tahoma"/>
            <family val="2"/>
          </rPr>
          <t>Hourly wage paid or value of operator labor.</t>
        </r>
      </text>
    </comment>
    <comment ref="E59" authorId="1" shapeId="0">
      <text>
        <r>
          <rPr>
            <sz val="9"/>
            <color indexed="81"/>
            <rFont val="Tahoma"/>
            <family val="2"/>
          </rPr>
          <t>Shrink factor 
x points of moisture removed 
x bushels at harvest.</t>
        </r>
      </text>
    </comment>
    <comment ref="F59" authorId="1" shapeId="0">
      <text>
        <r>
          <rPr>
            <sz val="9"/>
            <color indexed="81"/>
            <rFont val="Tahoma"/>
            <family val="2"/>
          </rPr>
          <t>Shrink factor 
x points of moisture removed 
x bushels at harvest.</t>
        </r>
      </text>
    </comment>
    <comment ref="D63" authorId="1" shapeId="0">
      <text>
        <r>
          <rPr>
            <sz val="9"/>
            <color indexed="81"/>
            <rFont val="Tahoma"/>
            <family val="2"/>
          </rPr>
          <t>Harvest price x annual interest rate / 
months stored. Revenue that could 
have been earned if grain had been 
sold at harvest.</t>
        </r>
      </text>
    </comment>
    <comment ref="E63" authorId="1" shapeId="0">
      <text>
        <r>
          <rPr>
            <sz val="9"/>
            <color indexed="81"/>
            <rFont val="Tahoma"/>
            <family val="2"/>
          </rPr>
          <t>Harvest price x annual interest rate / 
months stored. Revenue that could 
have been earned if grain had been 
sold at harvest.</t>
        </r>
      </text>
    </comment>
    <comment ref="F63" authorId="1" shapeId="0">
      <text>
        <r>
          <rPr>
            <sz val="9"/>
            <color indexed="81"/>
            <rFont val="Tahoma"/>
            <family val="2"/>
          </rPr>
          <t>Harvest price x annual interest rate / 
months stored. Revenue that could 
have been earned if grain had been 
sold at harvest.</t>
        </r>
      </text>
    </comment>
    <comment ref="D64" authorId="1" shapeId="0">
      <text>
        <r>
          <rPr>
            <sz val="9"/>
            <color indexed="81"/>
            <rFont val="Tahoma"/>
            <family val="2"/>
          </rPr>
          <t xml:space="preserve">Moisture discount factor 
x points of moisture removed 
x no. 2 price x bushels.
</t>
        </r>
      </text>
    </comment>
    <comment ref="E65" authorId="1" shapeId="0">
      <text>
        <r>
          <rPr>
            <sz val="9"/>
            <color indexed="81"/>
            <rFont val="Tahoma"/>
            <family val="2"/>
          </rPr>
          <t>Drying cost per point 
x points removed 
x bushels dried.</t>
        </r>
      </text>
    </comment>
    <comment ref="F65" authorId="1" shapeId="0">
      <text>
        <r>
          <rPr>
            <sz val="9"/>
            <color indexed="81"/>
            <rFont val="Tahoma"/>
            <family val="2"/>
          </rPr>
          <t>Drying cost per point 
x points removed 
x bushels dried.</t>
        </r>
      </text>
    </comment>
    <comment ref="F66" authorId="1" shapeId="0">
      <text>
        <r>
          <rPr>
            <sz val="9"/>
            <color indexed="81"/>
            <rFont val="Tahoma"/>
            <family val="2"/>
          </rPr>
          <t xml:space="preserve">Number of horsepower 
x hours of operation 
x price per KwH of 
electricity x 85% </t>
        </r>
      </text>
    </comment>
    <comment ref="F67" authorId="1" shapeId="0">
      <text>
        <r>
          <rPr>
            <sz val="9"/>
            <color indexed="81"/>
            <rFont val="Tahoma"/>
            <family val="2"/>
          </rPr>
          <t>Hours per month for managing grain 
x months of storage x labor cost per hour</t>
        </r>
      </text>
    </comment>
    <comment ref="D70" authorId="1" shapeId="0">
      <text>
        <r>
          <rPr>
            <sz val="9"/>
            <color indexed="81"/>
            <rFont val="Tahoma"/>
            <family val="2"/>
          </rPr>
          <t>Net revenue after storage minus 
net revenue for sale at harvest.</t>
        </r>
      </text>
    </comment>
    <comment ref="E70" authorId="1" shapeId="0">
      <text>
        <r>
          <rPr>
            <sz val="9"/>
            <color indexed="81"/>
            <rFont val="Tahoma"/>
            <family val="2"/>
          </rPr>
          <t>Net revenue after storage minus 
net revenue for sale at harvest.</t>
        </r>
      </text>
    </comment>
    <comment ref="F70" authorId="1" shapeId="0">
      <text>
        <r>
          <rPr>
            <sz val="9"/>
            <color indexed="81"/>
            <rFont val="Tahoma"/>
            <family val="2"/>
          </rPr>
          <t>Net revenue after storage minus 
net revenue for sale at harvest.</t>
        </r>
      </text>
    </comment>
  </commentList>
</comments>
</file>

<file path=xl/sharedStrings.xml><?xml version="1.0" encoding="utf-8"?>
<sst xmlns="http://schemas.openxmlformats.org/spreadsheetml/2006/main" count="252" uniqueCount="121">
  <si>
    <t xml:space="preserve"> </t>
  </si>
  <si>
    <t>Place the cursor over cells with red triangles to read comments.</t>
  </si>
  <si>
    <t>. . . and justice for all</t>
  </si>
  <si>
    <t>Enter your input values in shaded cells.</t>
  </si>
  <si>
    <t>Date Printed:</t>
  </si>
  <si>
    <t>Dry Commercial and Sell</t>
  </si>
  <si>
    <t>Sell Wet with Moisture Discount</t>
  </si>
  <si>
    <t>5. High temperature, air recirculating</t>
  </si>
  <si>
    <t>4. In-bin, continuous flow</t>
  </si>
  <si>
    <t>Cost of propane, $/gallon</t>
  </si>
  <si>
    <t>Cost of electricity, $/Kwh</t>
  </si>
  <si>
    <t>Wage rate for labor used to operate the dryer</t>
  </si>
  <si>
    <t>Percent of drying time labor is needed</t>
  </si>
  <si>
    <t>Dryer capacity, bushels per hour</t>
  </si>
  <si>
    <t>Total bushels to dry per year</t>
  </si>
  <si>
    <t>Initial investment in drying system</t>
  </si>
  <si>
    <t>Repair and maintenance cost</t>
  </si>
  <si>
    <t>Propane cost</t>
  </si>
  <si>
    <t>Electricity cost</t>
  </si>
  <si>
    <t>Labor cost</t>
  </si>
  <si>
    <t>Author: William Edwards</t>
  </si>
  <si>
    <t>Type of System</t>
  </si>
  <si>
    <t>1. Natural air</t>
  </si>
  <si>
    <t>2. Low temperature</t>
  </si>
  <si>
    <t>3. In-bin, stirred</t>
  </si>
  <si>
    <t>Variable Costs</t>
  </si>
  <si>
    <t>Final moisture level for commercial sale (%)</t>
  </si>
  <si>
    <t>Bushels lost to shrink and handling</t>
  </si>
  <si>
    <t>Net bushels after shrink and handling losses</t>
  </si>
  <si>
    <t>Yield and Moisture Projections for Unharvested Corn</t>
  </si>
  <si>
    <t>Unusually wet and cool weather</t>
  </si>
  <si>
    <t>Normal temperature and precipitation</t>
  </si>
  <si>
    <t>Unusually dry and hot weather</t>
  </si>
  <si>
    <t>Current moisture level in field (%)</t>
  </si>
  <si>
    <t>Expected gross bushels at harvest, wet (bu./acre)</t>
  </si>
  <si>
    <t>Extra miles to transport grain to on-farm drying</t>
  </si>
  <si>
    <t>Number of acres to harvest</t>
  </si>
  <si>
    <t>removed</t>
  </si>
  <si>
    <t>BTUs used</t>
  </si>
  <si>
    <t>% of energy</t>
  </si>
  <si>
    <t>from</t>
  </si>
  <si>
    <t>electricity</t>
  </si>
  <si>
    <t>Total variable cost per point removed</t>
  </si>
  <si>
    <t>Expected cash grain price at harvest for no. 2 corn ($/bu.)</t>
  </si>
  <si>
    <t>Dry On Farm       and Sell</t>
  </si>
  <si>
    <t>Gross bushels at harvest (wet)</t>
  </si>
  <si>
    <t xml:space="preserve">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 </t>
  </si>
  <si>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</si>
  <si>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t>Expected moisture level at harvest (%)</t>
  </si>
  <si>
    <t>Moisture discount ($ / bu.)</t>
  </si>
  <si>
    <t>Moisture discount factor for wet sale (% / point over 15%)</t>
  </si>
  <si>
    <t>Commercial drying charge ($ / bu. / point of moisture removed)</t>
  </si>
  <si>
    <t>On-farm drying variable cost ($ / bu. / point of moisture removed)</t>
  </si>
  <si>
    <t>Extra cost for hauling grain to on-farm drying ($ / bu. / mile)</t>
  </si>
  <si>
    <t>Drying cost ($ / bu.)</t>
  </si>
  <si>
    <t>6. High temperature, no air recirculating</t>
  </si>
  <si>
    <t>Good standing</t>
  </si>
  <si>
    <t>Average standing</t>
  </si>
  <si>
    <t xml:space="preserve">Poor standing </t>
  </si>
  <si>
    <t>Very poor standing</t>
  </si>
  <si>
    <t>Current or near-term expected weather conditions (choose)</t>
  </si>
  <si>
    <t>Current standability condition of the crop (choose)</t>
  </si>
  <si>
    <t>Expected gross bushels (wet) if harvested today (bu./acre)</t>
  </si>
  <si>
    <t>Expected harvesting yield loss (bu./acre)</t>
  </si>
  <si>
    <t>$ per point per bu.</t>
  </si>
  <si>
    <t>Handling cost</t>
  </si>
  <si>
    <t>Extra grain handling loss for on-farm drying (%)</t>
  </si>
  <si>
    <t>Shrink factor (% per point of moisture removed)</t>
  </si>
  <si>
    <t>Source: Hellevang and Reff, North Dakota State University Extension.</t>
  </si>
  <si>
    <t xml:space="preserve">Gross revenue paid </t>
  </si>
  <si>
    <t xml:space="preserve">Moisture discount, total $ </t>
  </si>
  <si>
    <t xml:space="preserve">Drying cost, total $ </t>
  </si>
  <si>
    <t>Extra transportation cost</t>
  </si>
  <si>
    <t>Net revenue after shrink, discount, drying &amp; transportation</t>
  </si>
  <si>
    <t>Base rate period (months)</t>
  </si>
  <si>
    <t>Monthly charge after minimum for commercial storage ($/bu./mo.)</t>
  </si>
  <si>
    <t>Estimated quality deterioration for on-farm storage (%)</t>
  </si>
  <si>
    <t>Fans for on-farm storage, total horsepower</t>
  </si>
  <si>
    <t>Labor value ($ per hour)</t>
  </si>
  <si>
    <t>Moisture level for storage</t>
  </si>
  <si>
    <t>Additional hours per month for managing grain (hours per month)</t>
  </si>
  <si>
    <t>Hours fans will run per month (hours per month)</t>
  </si>
  <si>
    <t>Additional bushels lost to shrink and handling</t>
  </si>
  <si>
    <t>Additional moisture discount, total $</t>
  </si>
  <si>
    <t>Additional drying cost, total $</t>
  </si>
  <si>
    <t>Interest cost from harvest to sale, total $</t>
  </si>
  <si>
    <t>Gross revenue paid after storage</t>
  </si>
  <si>
    <t>Net revenue after storage costs</t>
  </si>
  <si>
    <t>Minimum charge for commercial storage ($ / bu.)</t>
  </si>
  <si>
    <t>Months grain will be stored</t>
  </si>
  <si>
    <t>Labor cost for managing grain, total $</t>
  </si>
  <si>
    <t>Total discount, drying and transportation costs</t>
  </si>
  <si>
    <t>Total discount, storage and drying costs</t>
  </si>
  <si>
    <t>Net return to storage</t>
  </si>
  <si>
    <t>Dry On Farm, Store, and Sell</t>
  </si>
  <si>
    <t>Dry Commercial, Store, and Sell</t>
  </si>
  <si>
    <t>Moisture Discount, Store, and Sell</t>
  </si>
  <si>
    <t>Breakeven selling price needed to pay storage costs</t>
  </si>
  <si>
    <t>Sale Alternatives at Harvest</t>
  </si>
  <si>
    <t>Sale Alternatives after Storage</t>
  </si>
  <si>
    <t>Average points of moisture removed per bu.</t>
  </si>
  <si>
    <t>Electricity cost for storage, total $</t>
  </si>
  <si>
    <t>Type of drying system (pick from list)</t>
  </si>
  <si>
    <t>Electricity rate ($ per KwH)</t>
  </si>
  <si>
    <t>Summary</t>
  </si>
  <si>
    <t>Sell at harvest</t>
  </si>
  <si>
    <t>Store and sell later</t>
  </si>
  <si>
    <t xml:space="preserve">Ag Decision Maker A2-32 -- Iowa State University Extension and Outreach </t>
  </si>
  <si>
    <t>Comparison</t>
  </si>
  <si>
    <t>per lb. water</t>
  </si>
  <si>
    <t>Corn Drying and Shrink Comparison</t>
  </si>
  <si>
    <r>
      <rPr>
        <u/>
        <sz val="10"/>
        <color rgb="FFC00000"/>
        <rFont val="Arial"/>
        <family val="2"/>
      </rPr>
      <t>Corn Drying and Shrink Comparison</t>
    </r>
    <r>
      <rPr>
        <sz val="10"/>
        <rFont val="Arial"/>
        <family val="2"/>
      </rPr>
      <t xml:space="preserve"> has more information on the costs of drying grain or selling and receiving a moisture discount.</t>
    </r>
  </si>
  <si>
    <t>Commercial storage cost</t>
  </si>
  <si>
    <t>Expected number of days before harvesting (enter 0 for today)</t>
  </si>
  <si>
    <t>Cash no. 2 price to be paid after storage ($ / bu.)</t>
  </si>
  <si>
    <t>Expected reduced moisture yield loss (bu. acre)</t>
  </si>
  <si>
    <t>Variable Costs Estimate for On-Farm Drying (optional)</t>
  </si>
  <si>
    <t>xx</t>
  </si>
  <si>
    <t>Version 1.4</t>
  </si>
  <si>
    <t>&lt;===</t>
  </si>
  <si>
    <t>Short-term interest rate on operating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</si>
</sst>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quot;$&quot;#,##0.000"/>
    <numFmt numFmtId="168" formatCode="_(* #,##0\ &quot;bu.&quot;_);_(* \(#,##0&quot;bu.&quot;\);_(* &quot;-&quot;??&quot;bu.&quot;_);_(@_)"/>
    <numFmt numFmtId="169" formatCode="&quot;$&quot;#,##0.000_);\(&quot;$&quot;#,##0.000\)"/>
    <numFmt numFmtId="170" formatCode="_(&quot;$&quot;* #,##0.000_);_(&quot;$&quot;* \(#,##0.000\);_(&quot;$&quot;* &quot;-&quot;???_);_(@_)"/>
    <numFmt numFmtId="171" formatCode="_(&quot;$&quot;* #,##0.000_);_(&quot;$&quot;* \(#,##0.000\);_(&quot;$&quot;* &quot;-&quot;_);_(@_)"/>
    <numFmt numFmtId="172" formatCode="&quot;$&quot;#,##0.0000_);\(&quot;$&quot;#,##0.0000\)"/>
    <numFmt numFmtId="173" formatCode="_(* #,##0.0_);_(* \(#,##0.0\);_(* &quot;-&quot;??_);_(@_)"/>
    <numFmt numFmtId="174" formatCode="0.0_);\(0.0\)"/>
    <numFmt numFmtId="175" formatCode="0_);\(0\)"/>
    <numFmt numFmtId="176" formatCode="&quot;$&quot;#,##0"/>
    <numFmt numFmtId="177" formatCode="_(* #,##0_);_(* \(#,##0\);_(* &quot;-&quot;??_);_(@_)"/>
    <numFmt numFmtId="178" formatCode="_(* #,##0\ &quot;months&quot;_);_(* \(#,##0&quot;months&quot;\);_(* &quot;-&quot;??&quot;months&quot;_);_(@_)"/>
  </numFmts>
  <fonts count="20">
    <font>
      <sz val="10"/>
      <name val="Arial"/>
    </font>
    <font>
      <sz val="10"/>
      <name val="Arial"/>
      <family val="2"/>
    </font>
    <font>
      <b/>
      <sz val="10"/>
      <name val="Arial"/>
      <family val="2"/>
    </font>
    <font>
      <sz val="8"/>
      <name val="Arial"/>
      <family val="2"/>
    </font>
    <font>
      <sz val="8"/>
      <color indexed="81"/>
      <name val="Tahoma"/>
      <family val="2"/>
    </font>
    <font>
      <u/>
      <sz val="10"/>
      <color indexed="12"/>
      <name val="Arial"/>
      <family val="2"/>
    </font>
    <font>
      <sz val="6"/>
      <name val="Arial"/>
      <family val="2"/>
    </font>
    <font>
      <sz val="9"/>
      <name val="Arial"/>
      <family val="2"/>
    </font>
    <font>
      <u/>
      <sz val="10"/>
      <color rgb="FFC00000"/>
      <name val="Arial"/>
      <family val="2"/>
    </font>
    <font>
      <u val="singleAccounting"/>
      <sz val="10"/>
      <name val="Arial"/>
      <family val="2"/>
    </font>
    <font>
      <b/>
      <sz val="9"/>
      <name val="Arial"/>
      <family val="2"/>
    </font>
    <font>
      <sz val="9"/>
      <color theme="0"/>
      <name val="Arial"/>
      <family val="2"/>
    </font>
    <font>
      <sz val="10"/>
      <color theme="0"/>
      <name val="Arial"/>
      <family val="2"/>
    </font>
    <font>
      <sz val="7"/>
      <color indexed="81"/>
      <name val="Tahoma"/>
      <family val="2"/>
    </font>
    <font>
      <b/>
      <sz val="14"/>
      <name val="Arial"/>
      <family val="2"/>
    </font>
    <font>
      <b/>
      <sz val="11"/>
      <name val="Arial"/>
      <family val="2"/>
    </font>
    <font>
      <u/>
      <sz val="10"/>
      <name val="Arial"/>
      <family val="2"/>
    </font>
    <font>
      <b/>
      <sz val="14"/>
      <color theme="0"/>
      <name val="Arial"/>
      <family val="2"/>
    </font>
    <font>
      <sz val="9"/>
      <color indexed="81"/>
      <name val="Tahoma"/>
      <family val="2"/>
    </font>
    <font>
      <b/>
      <u/>
      <sz val="9"/>
      <name val="Arial"/>
      <family val="2"/>
    </font>
  </fonts>
  <fills count="7">
    <fill>
      <patternFill patternType="none"/>
    </fill>
    <fill>
      <patternFill patternType="gray125"/>
    </fill>
    <fill>
      <patternFill patternType="solid">
        <fgColor indexed="43"/>
        <bgColor indexed="64"/>
      </patternFill>
    </fill>
    <fill>
      <patternFill patternType="solid">
        <fgColor theme="2" tint="-9.9978637043366805E-2"/>
        <bgColor indexed="64"/>
      </patternFill>
    </fill>
    <fill>
      <patternFill patternType="solid">
        <fgColor theme="2" tint="-9.9978637043366805E-2"/>
        <bgColor indexed="54"/>
      </patternFill>
    </fill>
    <fill>
      <patternFill patternType="solid">
        <fgColor rgb="FFC00000"/>
        <bgColor indexed="64"/>
      </patternFill>
    </fill>
    <fill>
      <patternFill patternType="solid">
        <fgColor rgb="FFFFFFCC"/>
        <bgColor indexed="64"/>
      </patternFill>
    </fill>
  </fills>
  <borders count="29">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theme="2" tint="-9.9948118533890809E-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9" fontId="1" fillId="0" borderId="0" applyFont="0" applyFill="0" applyBorder="0" applyAlignment="0" applyProtection="0"/>
  </cellStyleXfs>
  <cellXfs count="226">
    <xf numFmtId="0" fontId="0" fillId="0" borderId="0" xfId="0"/>
    <xf numFmtId="0" fontId="2" fillId="0" borderId="0" xfId="0" applyFont="1" applyFill="1" applyBorder="1" applyAlignment="1" applyProtection="1"/>
    <xf numFmtId="0" fontId="7" fillId="0" borderId="0" xfId="0" applyFont="1" applyBorder="1" applyAlignment="1" applyProtection="1"/>
    <xf numFmtId="0" fontId="7" fillId="0" borderId="0" xfId="0" applyFont="1" applyFill="1" applyBorder="1" applyAlignment="1" applyProtection="1"/>
    <xf numFmtId="0" fontId="7" fillId="0" borderId="0" xfId="0" applyFont="1" applyFill="1" applyBorder="1" applyAlignment="1" applyProtection="1">
      <alignment horizontal="left"/>
    </xf>
    <xf numFmtId="0" fontId="8" fillId="0" borderId="0" xfId="3" applyFont="1" applyAlignment="1" applyProtection="1">
      <alignment horizontal="left"/>
    </xf>
    <xf numFmtId="168" fontId="1" fillId="0" borderId="0" xfId="1" applyNumberFormat="1" applyFont="1" applyFill="1" applyBorder="1" applyAlignment="1" applyProtection="1">
      <alignment horizontal="center"/>
    </xf>
    <xf numFmtId="165" fontId="1" fillId="2" borderId="3" xfId="0" applyNumberFormat="1" applyFont="1" applyFill="1" applyBorder="1" applyProtection="1">
      <protection locked="0"/>
    </xf>
    <xf numFmtId="165" fontId="1" fillId="0" borderId="0" xfId="4" applyNumberFormat="1" applyFont="1" applyFill="1" applyBorder="1" applyAlignment="1" applyProtection="1">
      <alignment horizontal="right"/>
    </xf>
    <xf numFmtId="0" fontId="12" fillId="0" borderId="0" xfId="0" applyFont="1" applyFill="1" applyBorder="1" applyProtection="1">
      <protection locked="0"/>
    </xf>
    <xf numFmtId="0" fontId="7" fillId="2" borderId="3" xfId="0" applyFont="1" applyFill="1" applyBorder="1" applyAlignment="1" applyProtection="1"/>
    <xf numFmtId="0" fontId="1" fillId="0" borderId="0" xfId="0" applyFont="1" applyBorder="1" applyAlignment="1" applyProtection="1"/>
    <xf numFmtId="44" fontId="1" fillId="0" borderId="0" xfId="2" applyFont="1" applyFill="1" applyBorder="1" applyAlignment="1" applyProtection="1"/>
    <xf numFmtId="0" fontId="1" fillId="0" borderId="0" xfId="0" applyFont="1" applyProtection="1"/>
    <xf numFmtId="0" fontId="1" fillId="0" borderId="0" xfId="3" applyFont="1" applyAlignment="1" applyProtection="1">
      <alignment horizontal="left"/>
    </xf>
    <xf numFmtId="14" fontId="1" fillId="0" borderId="0" xfId="0" applyNumberFormat="1" applyFont="1" applyAlignment="1" applyProtection="1"/>
    <xf numFmtId="0" fontId="1" fillId="0" borderId="0" xfId="0" applyFont="1" applyFill="1" applyProtection="1"/>
    <xf numFmtId="0" fontId="6" fillId="0" borderId="0" xfId="0" applyFont="1" applyProtection="1"/>
    <xf numFmtId="0" fontId="1" fillId="0" borderId="0" xfId="0" applyFont="1" applyBorder="1" applyAlignment="1" applyProtection="1">
      <alignment horizontal="left"/>
    </xf>
    <xf numFmtId="7" fontId="1" fillId="0" borderId="0" xfId="0" applyNumberFormat="1" applyFont="1" applyFill="1" applyBorder="1" applyAlignment="1" applyProtection="1">
      <alignment horizontal="right"/>
    </xf>
    <xf numFmtId="44" fontId="1" fillId="2" borderId="18" xfId="2" applyFont="1" applyFill="1" applyBorder="1" applyProtection="1">
      <protection locked="0"/>
    </xf>
    <xf numFmtId="44" fontId="1" fillId="2" borderId="3" xfId="2" applyFont="1" applyFill="1" applyBorder="1" applyProtection="1">
      <protection locked="0"/>
    </xf>
    <xf numFmtId="165" fontId="1" fillId="0" borderId="0" xfId="4" applyNumberFormat="1" applyFont="1" applyFill="1" applyBorder="1" applyProtection="1"/>
    <xf numFmtId="9" fontId="1" fillId="2" borderId="3" xfId="4" applyFont="1" applyFill="1" applyBorder="1" applyProtection="1">
      <protection locked="0"/>
    </xf>
    <xf numFmtId="0" fontId="1" fillId="2" borderId="3" xfId="0" applyFont="1" applyFill="1" applyBorder="1" applyProtection="1">
      <protection locked="0"/>
    </xf>
    <xf numFmtId="7" fontId="1" fillId="2" borderId="3" xfId="0" applyNumberFormat="1" applyFont="1" applyFill="1" applyBorder="1" applyAlignment="1" applyProtection="1">
      <alignment horizontal="right"/>
      <protection locked="0"/>
    </xf>
    <xf numFmtId="41" fontId="1" fillId="2" borderId="3" xfId="1" applyNumberFormat="1" applyFont="1" applyFill="1" applyBorder="1" applyProtection="1">
      <protection locked="0"/>
    </xf>
    <xf numFmtId="42" fontId="1" fillId="2" borderId="3" xfId="2" applyNumberFormat="1" applyFont="1" applyFill="1" applyBorder="1" applyProtection="1">
      <protection locked="0"/>
    </xf>
    <xf numFmtId="165" fontId="1" fillId="2" borderId="9" xfId="4" applyNumberFormat="1" applyFont="1" applyFill="1" applyBorder="1" applyProtection="1">
      <protection locked="0"/>
    </xf>
    <xf numFmtId="10" fontId="1" fillId="2" borderId="3" xfId="4" applyNumberFormat="1" applyFont="1" applyFill="1" applyBorder="1" applyProtection="1">
      <protection locked="0"/>
    </xf>
    <xf numFmtId="173" fontId="1" fillId="2" borderId="15" xfId="1" applyNumberFormat="1" applyFont="1" applyFill="1" applyBorder="1" applyProtection="1">
      <protection locked="0"/>
    </xf>
    <xf numFmtId="165" fontId="1" fillId="6" borderId="16" xfId="4" applyNumberFormat="1" applyFont="1" applyFill="1" applyBorder="1" applyProtection="1">
      <protection locked="0"/>
    </xf>
    <xf numFmtId="165" fontId="1" fillId="2" borderId="3" xfId="4" applyNumberFormat="1" applyFont="1" applyFill="1" applyBorder="1" applyProtection="1">
      <protection locked="0"/>
    </xf>
    <xf numFmtId="0" fontId="1" fillId="3" borderId="0" xfId="0" applyFont="1" applyFill="1" applyProtection="1"/>
    <xf numFmtId="0" fontId="1" fillId="0" borderId="0" xfId="0" applyFont="1" applyBorder="1" applyProtection="1"/>
    <xf numFmtId="0" fontId="1" fillId="0" borderId="0" xfId="0" applyFont="1" applyFill="1" applyBorder="1" applyAlignment="1" applyProtection="1">
      <alignment horizontal="left"/>
    </xf>
    <xf numFmtId="0" fontId="1" fillId="0" borderId="0" xfId="0" applyFont="1" applyFill="1" applyBorder="1" applyProtection="1"/>
    <xf numFmtId="168" fontId="1" fillId="6" borderId="3" xfId="1" applyNumberFormat="1" applyFont="1" applyFill="1" applyBorder="1" applyAlignment="1" applyProtection="1">
      <alignment horizontal="right"/>
      <protection locked="0"/>
    </xf>
    <xf numFmtId="0" fontId="1" fillId="4" borderId="0" xfId="0" applyFont="1" applyFill="1" applyProtection="1"/>
    <xf numFmtId="0" fontId="2" fillId="0" borderId="0" xfId="0" applyFont="1" applyAlignment="1" applyProtection="1"/>
    <xf numFmtId="0" fontId="1" fillId="0" borderId="0" xfId="0" applyFont="1" applyAlignment="1" applyProtection="1"/>
    <xf numFmtId="0" fontId="1" fillId="0" borderId="0" xfId="0" applyFont="1" applyFill="1" applyBorder="1" applyAlignment="1" applyProtection="1"/>
    <xf numFmtId="0" fontId="2" fillId="0" borderId="4" xfId="0" applyFont="1" applyBorder="1" applyProtection="1"/>
    <xf numFmtId="0" fontId="1" fillId="0" borderId="14" xfId="0" applyFont="1" applyBorder="1" applyProtection="1"/>
    <xf numFmtId="0" fontId="1" fillId="0" borderId="5" xfId="0" applyFont="1" applyFill="1" applyBorder="1" applyProtection="1"/>
    <xf numFmtId="0" fontId="2" fillId="0" borderId="0" xfId="0" applyFont="1" applyFill="1" applyBorder="1" applyAlignment="1" applyProtection="1">
      <alignment horizontal="center" wrapText="1"/>
    </xf>
    <xf numFmtId="0" fontId="1" fillId="0" borderId="5" xfId="0" applyFont="1" applyBorder="1" applyProtection="1"/>
    <xf numFmtId="0" fontId="2" fillId="0" borderId="0" xfId="0" applyFont="1" applyFill="1" applyBorder="1" applyAlignment="1" applyProtection="1">
      <alignment horizontal="center"/>
    </xf>
    <xf numFmtId="0" fontId="1" fillId="0" borderId="1" xfId="0" applyFont="1" applyBorder="1" applyProtection="1"/>
    <xf numFmtId="0" fontId="1" fillId="0" borderId="2" xfId="0" applyFont="1" applyBorder="1" applyProtection="1"/>
    <xf numFmtId="0" fontId="1" fillId="0" borderId="1" xfId="0" applyFont="1" applyBorder="1" applyAlignment="1" applyProtection="1">
      <alignment horizontal="left"/>
    </xf>
    <xf numFmtId="0" fontId="1" fillId="0" borderId="1" xfId="0" applyFont="1" applyFill="1" applyBorder="1" applyAlignment="1" applyProtection="1">
      <alignment horizontal="left"/>
    </xf>
    <xf numFmtId="0" fontId="11" fillId="0" borderId="0" xfId="0" applyFont="1" applyBorder="1" applyProtection="1"/>
    <xf numFmtId="165" fontId="1" fillId="0" borderId="2" xfId="4" applyNumberFormat="1" applyFont="1" applyFill="1" applyBorder="1" applyProtection="1"/>
    <xf numFmtId="166" fontId="1" fillId="0" borderId="0" xfId="0" applyNumberFormat="1" applyFont="1" applyFill="1" applyBorder="1" applyProtection="1"/>
    <xf numFmtId="164" fontId="1" fillId="0" borderId="2" xfId="0" applyNumberFormat="1" applyFont="1" applyFill="1" applyBorder="1" applyAlignment="1" applyProtection="1">
      <alignment horizontal="right"/>
    </xf>
    <xf numFmtId="170" fontId="1" fillId="0" borderId="2" xfId="0" applyNumberFormat="1" applyFont="1" applyBorder="1" applyProtection="1"/>
    <xf numFmtId="0" fontId="2" fillId="3" borderId="19" xfId="0" applyFont="1" applyFill="1" applyBorder="1" applyProtection="1"/>
    <xf numFmtId="0" fontId="2" fillId="3" borderId="10" xfId="0" applyFont="1" applyFill="1" applyBorder="1" applyAlignment="1" applyProtection="1">
      <alignment horizontal="center" wrapText="1"/>
    </xf>
    <xf numFmtId="0" fontId="2" fillId="3" borderId="3" xfId="0" applyFont="1" applyFill="1" applyBorder="1" applyAlignment="1" applyProtection="1">
      <alignment horizontal="center" wrapText="1"/>
    </xf>
    <xf numFmtId="0" fontId="2" fillId="3" borderId="16" xfId="0" applyFont="1" applyFill="1" applyBorder="1" applyAlignment="1" applyProtection="1">
      <alignment horizontal="center" wrapText="1"/>
    </xf>
    <xf numFmtId="0" fontId="2" fillId="0" borderId="1" xfId="0" applyFont="1" applyFill="1" applyBorder="1" applyProtection="1"/>
    <xf numFmtId="0" fontId="2" fillId="0" borderId="0" xfId="0" applyFont="1" applyBorder="1" applyAlignment="1" applyProtection="1">
      <alignment horizontal="left"/>
    </xf>
    <xf numFmtId="165" fontId="1" fillId="0" borderId="17" xfId="4" applyNumberFormat="1" applyFont="1" applyFill="1" applyBorder="1" applyProtection="1"/>
    <xf numFmtId="166" fontId="1" fillId="0" borderId="2" xfId="0" applyNumberFormat="1" applyFont="1" applyFill="1" applyBorder="1" applyProtection="1"/>
    <xf numFmtId="170" fontId="1" fillId="0" borderId="0" xfId="0" applyNumberFormat="1" applyFont="1" applyBorder="1" applyProtection="1"/>
    <xf numFmtId="169" fontId="1" fillId="0" borderId="11" xfId="0" applyNumberFormat="1" applyFont="1" applyFill="1" applyBorder="1" applyProtection="1"/>
    <xf numFmtId="167" fontId="1" fillId="0" borderId="2" xfId="0" applyNumberFormat="1" applyFont="1" applyFill="1" applyBorder="1" applyProtection="1"/>
    <xf numFmtId="167" fontId="1" fillId="0" borderId="0" xfId="0" applyNumberFormat="1" applyFont="1" applyFill="1" applyBorder="1" applyProtection="1"/>
    <xf numFmtId="164" fontId="1" fillId="0" borderId="0" xfId="0" quotePrefix="1" applyNumberFormat="1" applyFont="1" applyFill="1" applyBorder="1" applyAlignment="1" applyProtection="1">
      <alignment horizontal="right"/>
    </xf>
    <xf numFmtId="10" fontId="1" fillId="0" borderId="11" xfId="4" applyNumberFormat="1" applyFont="1" applyFill="1" applyBorder="1" applyProtection="1"/>
    <xf numFmtId="2" fontId="1" fillId="0" borderId="0" xfId="0" applyNumberFormat="1" applyFont="1" applyFill="1" applyBorder="1" applyProtection="1"/>
    <xf numFmtId="0" fontId="1" fillId="0" borderId="1" xfId="0" applyFont="1" applyFill="1" applyBorder="1" applyProtection="1"/>
    <xf numFmtId="0" fontId="1" fillId="0" borderId="11" xfId="0" applyFont="1" applyBorder="1" applyProtection="1"/>
    <xf numFmtId="10" fontId="1" fillId="0" borderId="17" xfId="4" applyNumberFormat="1" applyFont="1" applyFill="1" applyBorder="1" applyProtection="1"/>
    <xf numFmtId="169" fontId="1" fillId="0" borderId="0" xfId="2" applyNumberFormat="1" applyFont="1" applyFill="1" applyBorder="1" applyProtection="1"/>
    <xf numFmtId="0" fontId="1" fillId="0" borderId="17" xfId="0" applyFont="1" applyBorder="1" applyProtection="1"/>
    <xf numFmtId="169" fontId="1" fillId="0" borderId="0" xfId="0" applyNumberFormat="1" applyFont="1" applyFill="1" applyBorder="1" applyProtection="1"/>
    <xf numFmtId="170" fontId="9" fillId="0" borderId="0" xfId="0" applyNumberFormat="1" applyFont="1" applyBorder="1" applyProtection="1"/>
    <xf numFmtId="167" fontId="1" fillId="0" borderId="17" xfId="0" applyNumberFormat="1" applyFont="1" applyFill="1" applyBorder="1" applyProtection="1"/>
    <xf numFmtId="9" fontId="1" fillId="0" borderId="0" xfId="4" applyFont="1" applyFill="1" applyBorder="1" applyProtection="1"/>
    <xf numFmtId="171" fontId="1" fillId="0" borderId="0" xfId="2" applyNumberFormat="1" applyFont="1" applyBorder="1" applyProtection="1"/>
    <xf numFmtId="165" fontId="1" fillId="0" borderId="0" xfId="0" applyNumberFormat="1" applyFont="1" applyFill="1" applyBorder="1" applyProtection="1"/>
    <xf numFmtId="165" fontId="1" fillId="0" borderId="11" xfId="0" applyNumberFormat="1" applyFont="1" applyFill="1" applyBorder="1" applyProtection="1"/>
    <xf numFmtId="165" fontId="1" fillId="0" borderId="17" xfId="0" applyNumberFormat="1" applyFont="1" applyFill="1" applyBorder="1" applyProtection="1"/>
    <xf numFmtId="164" fontId="1" fillId="0" borderId="0" xfId="0" applyNumberFormat="1" applyFont="1" applyFill="1" applyBorder="1" applyProtection="1"/>
    <xf numFmtId="0" fontId="10" fillId="0" borderId="0" xfId="0" applyFont="1" applyBorder="1" applyAlignment="1" applyProtection="1">
      <alignment horizontal="center"/>
    </xf>
    <xf numFmtId="164" fontId="1" fillId="0" borderId="11" xfId="2" applyNumberFormat="1" applyFont="1" applyFill="1" applyBorder="1" applyProtection="1"/>
    <xf numFmtId="4" fontId="1" fillId="0" borderId="0" xfId="0" applyNumberFormat="1" applyFont="1" applyFill="1" applyBorder="1" applyAlignment="1" applyProtection="1">
      <alignment horizontal="right"/>
    </xf>
    <xf numFmtId="4" fontId="1" fillId="0" borderId="17" xfId="0" applyNumberFormat="1" applyFont="1" applyFill="1" applyBorder="1" applyAlignment="1" applyProtection="1">
      <alignment horizontal="right"/>
    </xf>
    <xf numFmtId="4" fontId="1" fillId="0" borderId="2" xfId="0" applyNumberFormat="1" applyFont="1" applyFill="1" applyBorder="1" applyAlignment="1" applyProtection="1">
      <alignment horizontal="right"/>
    </xf>
    <xf numFmtId="4" fontId="1" fillId="0" borderId="0" xfId="0" applyNumberFormat="1" applyFont="1" applyFill="1" applyBorder="1" applyProtection="1"/>
    <xf numFmtId="4" fontId="1" fillId="0" borderId="11" xfId="2" applyNumberFormat="1" applyFont="1" applyFill="1" applyBorder="1" applyAlignment="1" applyProtection="1">
      <alignment horizontal="right"/>
    </xf>
    <xf numFmtId="164" fontId="2" fillId="0" borderId="0" xfId="2" applyNumberFormat="1" applyFont="1" applyFill="1" applyBorder="1" applyProtection="1"/>
    <xf numFmtId="0" fontId="2" fillId="0" borderId="1" xfId="0" applyFont="1" applyBorder="1" applyAlignment="1" applyProtection="1">
      <alignment horizontal="left"/>
    </xf>
    <xf numFmtId="176" fontId="2" fillId="0" borderId="11" xfId="2" applyNumberFormat="1" applyFont="1" applyFill="1" applyBorder="1" applyProtection="1"/>
    <xf numFmtId="176" fontId="2" fillId="0" borderId="12" xfId="2" applyNumberFormat="1" applyFont="1" applyFill="1" applyBorder="1" applyProtection="1"/>
    <xf numFmtId="0" fontId="1" fillId="0" borderId="7" xfId="0" applyFont="1" applyBorder="1" applyProtection="1"/>
    <xf numFmtId="0" fontId="2" fillId="0" borderId="0" xfId="0" applyFont="1" applyFill="1" applyBorder="1" applyProtection="1"/>
    <xf numFmtId="164" fontId="1" fillId="0" borderId="0" xfId="0" applyNumberFormat="1" applyFont="1" applyFill="1" applyBorder="1" applyAlignment="1" applyProtection="1">
      <alignment horizontal="right"/>
    </xf>
    <xf numFmtId="172" fontId="1" fillId="0" borderId="0" xfId="0" applyNumberFormat="1" applyFont="1" applyFill="1" applyBorder="1" applyProtection="1"/>
    <xf numFmtId="10" fontId="1" fillId="0" borderId="0" xfId="4" applyNumberFormat="1" applyFont="1" applyFill="1" applyBorder="1" applyProtection="1"/>
    <xf numFmtId="43" fontId="1" fillId="0" borderId="0" xfId="1" applyFont="1" applyFill="1" applyBorder="1" applyProtection="1"/>
    <xf numFmtId="4" fontId="1" fillId="0" borderId="0" xfId="2" applyNumberFormat="1" applyFont="1" applyFill="1" applyBorder="1" applyAlignment="1" applyProtection="1">
      <alignment horizontal="right"/>
    </xf>
    <xf numFmtId="43" fontId="1" fillId="0" borderId="0" xfId="1" applyNumberFormat="1" applyFont="1" applyFill="1" applyBorder="1" applyProtection="1"/>
    <xf numFmtId="164" fontId="1" fillId="0" borderId="0" xfId="2" applyNumberFormat="1" applyFont="1" applyFill="1" applyBorder="1" applyProtection="1"/>
    <xf numFmtId="4" fontId="1" fillId="0" borderId="0" xfId="2" applyNumberFormat="1" applyFont="1" applyFill="1" applyBorder="1" applyProtection="1"/>
    <xf numFmtId="0" fontId="2" fillId="0" borderId="0" xfId="0" applyFont="1" applyFill="1" applyBorder="1" applyAlignment="1" applyProtection="1">
      <alignment horizontal="left"/>
    </xf>
    <xf numFmtId="175" fontId="1" fillId="6" borderId="3" xfId="0" applyNumberFormat="1" applyFont="1" applyFill="1" applyBorder="1" applyProtection="1">
      <protection locked="0"/>
    </xf>
    <xf numFmtId="0" fontId="14" fillId="5" borderId="8" xfId="0" applyFont="1" applyFill="1" applyBorder="1" applyAlignment="1" applyProtection="1"/>
    <xf numFmtId="0" fontId="6" fillId="0" borderId="0" xfId="0" applyFont="1" applyAlignment="1" applyProtection="1">
      <alignment wrapText="1"/>
    </xf>
    <xf numFmtId="0" fontId="15" fillId="0" borderId="0" xfId="0" applyFont="1" applyAlignment="1" applyProtection="1"/>
    <xf numFmtId="0" fontId="16" fillId="0" borderId="0" xfId="3" applyFont="1" applyAlignment="1" applyProtection="1">
      <alignment wrapText="1"/>
    </xf>
    <xf numFmtId="0" fontId="16" fillId="0" borderId="0" xfId="3" applyFont="1" applyAlignment="1" applyProtection="1">
      <alignment horizontal="left" wrapText="1"/>
    </xf>
    <xf numFmtId="0" fontId="16" fillId="0" borderId="0" xfId="3" applyFont="1" applyFill="1" applyBorder="1" applyAlignment="1" applyProtection="1">
      <alignment horizontal="left" wrapText="1"/>
    </xf>
    <xf numFmtId="0" fontId="2" fillId="0" borderId="0" xfId="0" applyFont="1" applyProtection="1"/>
    <xf numFmtId="0" fontId="6" fillId="0" borderId="0" xfId="0" applyFont="1" applyAlignment="1" applyProtection="1">
      <alignment horizontal="left"/>
    </xf>
    <xf numFmtId="0" fontId="17" fillId="5" borderId="8" xfId="0" applyFont="1" applyFill="1" applyBorder="1" applyAlignment="1" applyProtection="1"/>
    <xf numFmtId="0" fontId="2" fillId="0" borderId="1" xfId="0" applyFont="1" applyBorder="1" applyProtection="1"/>
    <xf numFmtId="0" fontId="1" fillId="0" borderId="2" xfId="0" applyFont="1" applyFill="1" applyBorder="1" applyProtection="1"/>
    <xf numFmtId="0" fontId="11" fillId="0" borderId="2" xfId="0" applyFont="1" applyFill="1" applyBorder="1" applyAlignment="1" applyProtection="1">
      <alignment horizontal="left"/>
    </xf>
    <xf numFmtId="165" fontId="11" fillId="0" borderId="2" xfId="4" applyNumberFormat="1" applyFont="1" applyFill="1" applyBorder="1" applyProtection="1"/>
    <xf numFmtId="0" fontId="11" fillId="0" borderId="2" xfId="0" applyFont="1" applyBorder="1" applyProtection="1"/>
    <xf numFmtId="0" fontId="12" fillId="0" borderId="2" xfId="0" applyFont="1" applyBorder="1" applyProtection="1">
      <protection locked="0"/>
    </xf>
    <xf numFmtId="0" fontId="1" fillId="4" borderId="0" xfId="0" applyFont="1" applyFill="1" applyAlignment="1" applyProtection="1">
      <alignment vertical="center"/>
    </xf>
    <xf numFmtId="0" fontId="1" fillId="0" borderId="0" xfId="0" applyFont="1" applyFill="1" applyAlignment="1" applyProtection="1">
      <alignment vertical="center"/>
    </xf>
    <xf numFmtId="0" fontId="1" fillId="0" borderId="1" xfId="0" applyFont="1" applyBorder="1" applyAlignment="1" applyProtection="1">
      <alignment horizontal="left" vertical="center"/>
    </xf>
    <xf numFmtId="165" fontId="1" fillId="0" borderId="0" xfId="0" applyNumberFormat="1" applyFont="1" applyFill="1" applyBorder="1" applyAlignment="1" applyProtection="1">
      <alignment vertical="center"/>
    </xf>
    <xf numFmtId="0" fontId="1" fillId="0" borderId="0" xfId="0" applyFont="1" applyBorder="1" applyAlignment="1" applyProtection="1">
      <alignment vertical="center"/>
    </xf>
    <xf numFmtId="0" fontId="1" fillId="0" borderId="0" xfId="0" applyFont="1" applyAlignment="1" applyProtection="1">
      <alignment vertical="center"/>
    </xf>
    <xf numFmtId="0" fontId="1" fillId="0" borderId="0" xfId="0" applyFont="1" applyFill="1" applyBorder="1" applyAlignment="1" applyProtection="1">
      <alignment vertical="center"/>
    </xf>
    <xf numFmtId="169" fontId="1" fillId="6" borderId="16" xfId="2" applyNumberFormat="1" applyFont="1" applyFill="1" applyBorder="1" applyAlignment="1" applyProtection="1">
      <alignment vertical="center"/>
      <protection locked="0"/>
    </xf>
    <xf numFmtId="169" fontId="1" fillId="2" borderId="3" xfId="0" applyNumberFormat="1" applyFont="1" applyFill="1" applyBorder="1" applyProtection="1">
      <protection locked="0"/>
    </xf>
    <xf numFmtId="3" fontId="1" fillId="0" borderId="0" xfId="0" applyNumberFormat="1" applyFont="1" applyBorder="1" applyAlignment="1" applyProtection="1">
      <alignment horizontal="center"/>
    </xf>
    <xf numFmtId="9" fontId="1" fillId="0" borderId="0" xfId="4" applyFont="1" applyBorder="1" applyAlignment="1" applyProtection="1">
      <alignment horizontal="center"/>
    </xf>
    <xf numFmtId="0" fontId="19" fillId="0" borderId="0" xfId="0" applyFont="1" applyBorder="1" applyAlignment="1" applyProtection="1">
      <alignment horizontal="center" wrapText="1"/>
    </xf>
    <xf numFmtId="165" fontId="1" fillId="2" borderId="10" xfId="4" applyNumberFormat="1" applyFont="1" applyFill="1" applyBorder="1" applyProtection="1">
      <protection locked="0"/>
    </xf>
    <xf numFmtId="165" fontId="1" fillId="3" borderId="9" xfId="4" applyNumberFormat="1" applyFont="1" applyFill="1" applyBorder="1" applyProtection="1">
      <protection locked="0"/>
    </xf>
    <xf numFmtId="165" fontId="1" fillId="3" borderId="3" xfId="4" applyNumberFormat="1" applyFont="1" applyFill="1" applyBorder="1" applyProtection="1">
      <protection locked="0"/>
    </xf>
    <xf numFmtId="165" fontId="1" fillId="3" borderId="16" xfId="4" applyNumberFormat="1" applyFont="1" applyFill="1" applyBorder="1" applyProtection="1">
      <protection locked="0"/>
    </xf>
    <xf numFmtId="2" fontId="1" fillId="0" borderId="2" xfId="0" applyNumberFormat="1" applyFont="1" applyFill="1" applyBorder="1" applyAlignment="1" applyProtection="1">
      <alignment horizontal="center"/>
    </xf>
    <xf numFmtId="176" fontId="1" fillId="0" borderId="11" xfId="2" applyNumberFormat="1" applyFont="1" applyFill="1" applyBorder="1" applyProtection="1"/>
    <xf numFmtId="176" fontId="1" fillId="0" borderId="17" xfId="0" applyNumberFormat="1" applyFont="1" applyFill="1" applyBorder="1" applyProtection="1"/>
    <xf numFmtId="176" fontId="1" fillId="0" borderId="2" xfId="0" applyNumberFormat="1" applyFont="1" applyFill="1" applyBorder="1" applyProtection="1"/>
    <xf numFmtId="5" fontId="1" fillId="0" borderId="11" xfId="2" applyNumberFormat="1" applyFont="1" applyFill="1" applyBorder="1" applyProtection="1"/>
    <xf numFmtId="177" fontId="1" fillId="0" borderId="11" xfId="1" applyNumberFormat="1" applyFont="1" applyFill="1" applyBorder="1" applyProtection="1"/>
    <xf numFmtId="177" fontId="1" fillId="0" borderId="17" xfId="1" applyNumberFormat="1" applyFont="1" applyFill="1" applyBorder="1" applyProtection="1"/>
    <xf numFmtId="177" fontId="1" fillId="0" borderId="2" xfId="1" applyNumberFormat="1" applyFont="1" applyFill="1" applyBorder="1" applyProtection="1"/>
    <xf numFmtId="177" fontId="9" fillId="0" borderId="17" xfId="1" applyNumberFormat="1" applyFont="1" applyFill="1" applyBorder="1" applyAlignment="1" applyProtection="1">
      <alignment vertical="center"/>
    </xf>
    <xf numFmtId="177" fontId="9" fillId="0" borderId="2" xfId="1" applyNumberFormat="1" applyFont="1" applyFill="1" applyBorder="1" applyAlignment="1" applyProtection="1">
      <alignment vertical="center"/>
    </xf>
    <xf numFmtId="176" fontId="1" fillId="0" borderId="2" xfId="0" applyNumberFormat="1" applyFont="1" applyFill="1" applyBorder="1" applyAlignment="1" applyProtection="1">
      <alignment horizontal="right"/>
    </xf>
    <xf numFmtId="177" fontId="1" fillId="0" borderId="11" xfId="2" applyNumberFormat="1" applyFont="1" applyFill="1" applyBorder="1" applyAlignment="1" applyProtection="1">
      <alignment horizontal="right"/>
    </xf>
    <xf numFmtId="173" fontId="9" fillId="0" borderId="11" xfId="2" applyNumberFormat="1" applyFont="1" applyFill="1" applyBorder="1" applyAlignment="1" applyProtection="1">
      <alignment horizontal="right" vertical="center"/>
    </xf>
    <xf numFmtId="176" fontId="2" fillId="0" borderId="0" xfId="2" applyNumberFormat="1" applyFont="1" applyFill="1" applyBorder="1" applyProtection="1"/>
    <xf numFmtId="176" fontId="1" fillId="0" borderId="0" xfId="2" applyNumberFormat="1" applyFont="1" applyFill="1" applyBorder="1" applyProtection="1"/>
    <xf numFmtId="165" fontId="1" fillId="0" borderId="0" xfId="4" applyNumberFormat="1" applyFont="1" applyFill="1" applyBorder="1" applyProtection="1">
      <protection locked="0"/>
    </xf>
    <xf numFmtId="177" fontId="1" fillId="0" borderId="0" xfId="1" applyNumberFormat="1" applyFont="1" applyFill="1" applyBorder="1" applyProtection="1">
      <protection locked="0"/>
    </xf>
    <xf numFmtId="4" fontId="2" fillId="0" borderId="0" xfId="0" applyNumberFormat="1" applyFont="1" applyFill="1" applyBorder="1" applyAlignment="1" applyProtection="1">
      <alignment horizontal="center" wrapText="1"/>
    </xf>
    <xf numFmtId="176" fontId="2" fillId="0" borderId="0" xfId="4" applyNumberFormat="1" applyFont="1" applyFill="1" applyBorder="1" applyProtection="1">
      <protection locked="0"/>
    </xf>
    <xf numFmtId="7" fontId="1" fillId="6" borderId="22" xfId="2" applyNumberFormat="1" applyFont="1" applyFill="1" applyBorder="1" applyAlignment="1" applyProtection="1">
      <alignment horizontal="right" wrapText="1"/>
      <protection locked="0"/>
    </xf>
    <xf numFmtId="7" fontId="1" fillId="6" borderId="3" xfId="2" applyNumberFormat="1" applyFont="1" applyFill="1" applyBorder="1" applyAlignment="1" applyProtection="1">
      <alignment horizontal="right" wrapText="1"/>
      <protection locked="0"/>
    </xf>
    <xf numFmtId="176" fontId="1" fillId="0" borderId="11" xfId="2" applyNumberFormat="1" applyFont="1" applyFill="1" applyBorder="1" applyAlignment="1" applyProtection="1">
      <alignment horizontal="right"/>
    </xf>
    <xf numFmtId="165" fontId="1" fillId="2" borderId="24" xfId="4" applyNumberFormat="1" applyFont="1" applyFill="1" applyBorder="1" applyProtection="1">
      <protection locked="0"/>
    </xf>
    <xf numFmtId="169" fontId="1" fillId="6" borderId="24" xfId="2" applyNumberFormat="1" applyFont="1" applyFill="1" applyBorder="1" applyProtection="1">
      <protection locked="0"/>
    </xf>
    <xf numFmtId="176" fontId="1" fillId="0" borderId="12" xfId="2" applyNumberFormat="1" applyFont="1" applyFill="1" applyBorder="1" applyAlignment="1" applyProtection="1">
      <alignment horizontal="right"/>
    </xf>
    <xf numFmtId="176" fontId="2" fillId="0" borderId="2" xfId="2" applyNumberFormat="1" applyFont="1" applyFill="1" applyBorder="1" applyProtection="1"/>
    <xf numFmtId="0" fontId="2" fillId="3" borderId="19" xfId="0" applyFont="1" applyFill="1" applyBorder="1" applyAlignment="1" applyProtection="1">
      <alignment horizontal="left"/>
    </xf>
    <xf numFmtId="7" fontId="1" fillId="6" borderId="24" xfId="2" applyNumberFormat="1" applyFont="1" applyFill="1" applyBorder="1" applyAlignment="1" applyProtection="1">
      <alignment horizontal="right" wrapText="1"/>
      <protection locked="0"/>
    </xf>
    <xf numFmtId="176" fontId="1" fillId="0" borderId="2" xfId="2" applyNumberFormat="1" applyFont="1" applyFill="1" applyBorder="1" applyProtection="1"/>
    <xf numFmtId="177" fontId="1" fillId="0" borderId="2" xfId="1" applyNumberFormat="1" applyFont="1" applyFill="1" applyBorder="1" applyProtection="1">
      <protection locked="0"/>
    </xf>
    <xf numFmtId="176" fontId="2" fillId="0" borderId="2" xfId="4" applyNumberFormat="1" applyFont="1" applyFill="1" applyBorder="1" applyProtection="1">
      <protection locked="0"/>
    </xf>
    <xf numFmtId="164" fontId="1" fillId="0" borderId="2" xfId="2" applyNumberFormat="1" applyFont="1" applyFill="1" applyBorder="1" applyProtection="1"/>
    <xf numFmtId="0" fontId="2" fillId="0" borderId="1" xfId="0" applyFont="1" applyFill="1" applyBorder="1" applyAlignment="1" applyProtection="1">
      <alignment horizontal="left"/>
    </xf>
    <xf numFmtId="0" fontId="1" fillId="0" borderId="6" xfId="0" applyFont="1" applyFill="1" applyBorder="1" applyAlignment="1" applyProtection="1">
      <alignment horizontal="left"/>
    </xf>
    <xf numFmtId="164" fontId="1" fillId="0" borderId="13" xfId="2" applyNumberFormat="1" applyFont="1" applyFill="1" applyBorder="1" applyProtection="1"/>
    <xf numFmtId="164" fontId="1" fillId="0" borderId="7" xfId="2" applyNumberFormat="1" applyFont="1" applyFill="1" applyBorder="1" applyProtection="1"/>
    <xf numFmtId="173" fontId="1" fillId="2" borderId="17" xfId="1" applyNumberFormat="1" applyFont="1" applyFill="1" applyBorder="1" applyProtection="1">
      <protection locked="0"/>
    </xf>
    <xf numFmtId="0" fontId="2" fillId="0" borderId="1" xfId="0" applyFont="1" applyFill="1" applyBorder="1" applyAlignment="1" applyProtection="1"/>
    <xf numFmtId="170" fontId="1" fillId="0" borderId="0" xfId="2" applyNumberFormat="1" applyFont="1" applyBorder="1" applyAlignment="1" applyProtection="1"/>
    <xf numFmtId="0" fontId="1" fillId="0" borderId="13" xfId="0" applyFont="1" applyBorder="1" applyProtection="1"/>
    <xf numFmtId="0" fontId="1" fillId="0" borderId="20" xfId="0" applyFont="1" applyBorder="1" applyProtection="1"/>
    <xf numFmtId="3" fontId="1" fillId="0" borderId="25" xfId="0" applyNumberFormat="1" applyFont="1" applyBorder="1" applyAlignment="1" applyProtection="1">
      <alignment horizontal="center"/>
    </xf>
    <xf numFmtId="9" fontId="1" fillId="0" borderId="25" xfId="4" applyFont="1" applyBorder="1" applyAlignment="1" applyProtection="1">
      <alignment horizontal="center"/>
    </xf>
    <xf numFmtId="0" fontId="1" fillId="0" borderId="21" xfId="0" applyFont="1" applyBorder="1" applyProtection="1"/>
    <xf numFmtId="0" fontId="3" fillId="0" borderId="6" xfId="0" applyFont="1" applyBorder="1" applyProtection="1"/>
    <xf numFmtId="0" fontId="2" fillId="3" borderId="23" xfId="0" applyFont="1" applyFill="1" applyBorder="1" applyAlignment="1" applyProtection="1">
      <alignment horizontal="left"/>
    </xf>
    <xf numFmtId="0" fontId="2" fillId="3" borderId="26" xfId="0" applyFont="1" applyFill="1" applyBorder="1" applyAlignment="1" applyProtection="1">
      <alignment horizontal="center" wrapText="1"/>
    </xf>
    <xf numFmtId="0" fontId="2" fillId="3" borderId="27" xfId="0" applyFont="1" applyFill="1" applyBorder="1" applyAlignment="1" applyProtection="1">
      <alignment horizontal="center" wrapText="1"/>
    </xf>
    <xf numFmtId="0" fontId="2" fillId="0" borderId="6" xfId="0" applyFont="1" applyFill="1" applyBorder="1" applyAlignment="1" applyProtection="1">
      <alignment horizontal="left"/>
    </xf>
    <xf numFmtId="176" fontId="2" fillId="0" borderId="13" xfId="2" applyNumberFormat="1" applyFont="1" applyFill="1" applyBorder="1" applyProtection="1"/>
    <xf numFmtId="176" fontId="2" fillId="0" borderId="7" xfId="2" applyNumberFormat="1" applyFont="1" applyFill="1" applyBorder="1" applyProtection="1"/>
    <xf numFmtId="0" fontId="2" fillId="0" borderId="28" xfId="0" applyFont="1" applyFill="1" applyBorder="1" applyAlignment="1" applyProtection="1">
      <alignment horizontal="left"/>
    </xf>
    <xf numFmtId="0" fontId="12" fillId="0" borderId="0" xfId="0" applyFont="1" applyBorder="1" applyProtection="1"/>
    <xf numFmtId="174" fontId="1" fillId="6" borderId="3" xfId="1" applyNumberFormat="1" applyFont="1" applyFill="1" applyBorder="1" applyProtection="1">
      <protection locked="0"/>
    </xf>
    <xf numFmtId="165" fontId="12" fillId="0" borderId="0" xfId="4" applyNumberFormat="1" applyFont="1" applyFill="1" applyBorder="1" applyAlignment="1" applyProtection="1">
      <alignment horizontal="right"/>
    </xf>
    <xf numFmtId="165" fontId="12" fillId="0" borderId="2" xfId="4" applyNumberFormat="1" applyFont="1" applyFill="1" applyBorder="1" applyProtection="1"/>
    <xf numFmtId="178" fontId="1" fillId="2" borderId="3" xfId="0" applyNumberFormat="1" applyFont="1" applyFill="1" applyBorder="1" applyProtection="1">
      <protection locked="0"/>
    </xf>
    <xf numFmtId="178" fontId="1" fillId="2" borderId="16" xfId="0" applyNumberFormat="1" applyFont="1" applyFill="1" applyBorder="1" applyProtection="1">
      <protection locked="0"/>
    </xf>
    <xf numFmtId="170" fontId="1" fillId="0" borderId="0" xfId="2" applyNumberFormat="1" applyFont="1" applyBorder="1" applyAlignment="1" applyProtection="1">
      <alignment horizontal="right"/>
    </xf>
    <xf numFmtId="170" fontId="9" fillId="0" borderId="0" xfId="2" applyNumberFormat="1" applyFont="1" applyBorder="1" applyAlignment="1" applyProtection="1">
      <alignment horizontal="right"/>
    </xf>
    <xf numFmtId="170" fontId="1" fillId="0" borderId="0" xfId="2" applyNumberFormat="1" applyFont="1" applyFill="1" applyBorder="1" applyAlignment="1" applyProtection="1">
      <alignment horizontal="right"/>
    </xf>
    <xf numFmtId="170" fontId="2" fillId="0" borderId="0" xfId="2" applyNumberFormat="1" applyFont="1" applyBorder="1" applyAlignment="1" applyProtection="1">
      <alignment horizontal="right"/>
    </xf>
    <xf numFmtId="165" fontId="1" fillId="6" borderId="3" xfId="4" applyNumberFormat="1" applyFont="1" applyFill="1" applyBorder="1" applyProtection="1">
      <protection locked="0"/>
    </xf>
    <xf numFmtId="7" fontId="1" fillId="6" borderId="18" xfId="2" applyNumberFormat="1" applyFont="1" applyFill="1" applyBorder="1" applyProtection="1">
      <protection locked="0"/>
    </xf>
    <xf numFmtId="177" fontId="1" fillId="6" borderId="3" xfId="1" applyNumberFormat="1" applyFont="1" applyFill="1" applyBorder="1" applyProtection="1">
      <protection locked="0"/>
    </xf>
    <xf numFmtId="7" fontId="1" fillId="6" borderId="3" xfId="2" applyNumberFormat="1" applyFont="1" applyFill="1" applyBorder="1" applyProtection="1">
      <protection locked="0"/>
    </xf>
    <xf numFmtId="165" fontId="1" fillId="6" borderId="24" xfId="4" applyNumberFormat="1" applyFont="1" applyFill="1" applyBorder="1" applyProtection="1">
      <protection locked="0"/>
    </xf>
    <xf numFmtId="9" fontId="1" fillId="6" borderId="24" xfId="4" applyFont="1" applyFill="1" applyBorder="1" applyProtection="1">
      <protection locked="0"/>
    </xf>
    <xf numFmtId="177" fontId="1" fillId="6" borderId="24" xfId="1" applyNumberFormat="1" applyFont="1" applyFill="1" applyBorder="1" applyProtection="1">
      <protection locked="0"/>
    </xf>
    <xf numFmtId="7" fontId="1" fillId="6" borderId="24" xfId="2" applyNumberFormat="1" applyFont="1" applyFill="1" applyBorder="1" applyProtection="1">
      <protection locked="0"/>
    </xf>
    <xf numFmtId="176" fontId="1" fillId="6" borderId="24" xfId="2" applyNumberFormat="1" applyFont="1" applyFill="1" applyBorder="1" applyProtection="1">
      <protection locked="0"/>
    </xf>
    <xf numFmtId="9" fontId="1" fillId="6" borderId="3" xfId="4" applyFont="1" applyFill="1" applyBorder="1" applyProtection="1">
      <protection locked="0"/>
    </xf>
    <xf numFmtId="5" fontId="1" fillId="0" borderId="0" xfId="2" applyNumberFormat="1" applyFont="1" applyFill="1" applyBorder="1" applyProtection="1">
      <protection locked="0"/>
    </xf>
    <xf numFmtId="173" fontId="1" fillId="0" borderId="2" xfId="1" applyNumberFormat="1" applyFont="1" applyFill="1" applyBorder="1" applyProtection="1">
      <protection locked="0"/>
    </xf>
    <xf numFmtId="169" fontId="2" fillId="0" borderId="0" xfId="2" applyNumberFormat="1" applyFont="1" applyFill="1" applyBorder="1" applyProtection="1"/>
    <xf numFmtId="164" fontId="1" fillId="6" borderId="3" xfId="2" applyNumberFormat="1" applyFont="1" applyFill="1" applyBorder="1" applyAlignment="1" applyProtection="1">
      <alignment horizontal="right" wrapText="1"/>
      <protection locked="0"/>
    </xf>
    <xf numFmtId="164" fontId="1" fillId="6" borderId="16" xfId="0" applyNumberFormat="1" applyFont="1" applyFill="1" applyBorder="1" applyAlignment="1" applyProtection="1">
      <alignment horizontal="right" wrapText="1"/>
      <protection locked="0"/>
    </xf>
    <xf numFmtId="0" fontId="16" fillId="0" borderId="0" xfId="3" applyFont="1" applyAlignment="1" applyProtection="1">
      <alignment horizontal="left" wrapText="1"/>
    </xf>
    <xf numFmtId="175" fontId="1" fillId="0" borderId="0" xfId="0" applyNumberFormat="1" applyFont="1" applyBorder="1" applyProtection="1"/>
    <xf numFmtId="37" fontId="1" fillId="0" borderId="0" xfId="1" applyNumberFormat="1" applyFont="1" applyBorder="1" applyProtection="1"/>
    <xf numFmtId="0" fontId="6" fillId="0" borderId="0" xfId="0" applyFont="1" applyAlignment="1" applyProtection="1">
      <alignment horizontal="left" wrapText="1"/>
    </xf>
    <xf numFmtId="0" fontId="1" fillId="0" borderId="0" xfId="0" applyFont="1" applyFill="1" applyBorder="1" applyAlignment="1" applyProtection="1">
      <alignment horizontal="left" shrinkToFit="1"/>
      <protection locked="0"/>
    </xf>
    <xf numFmtId="0" fontId="1" fillId="0" borderId="2" xfId="0" applyFont="1" applyFill="1" applyBorder="1" applyAlignment="1" applyProtection="1">
      <alignment horizontal="left" shrinkToFit="1"/>
      <protection locked="0"/>
    </xf>
    <xf numFmtId="0" fontId="16" fillId="0" borderId="0" xfId="3" applyFont="1" applyAlignment="1" applyProtection="1">
      <alignment horizontal="left" wrapText="1"/>
    </xf>
    <xf numFmtId="14" fontId="1" fillId="0" borderId="0" xfId="0" applyNumberFormat="1" applyFont="1" applyAlignment="1" applyProtection="1">
      <alignment horizontal="left"/>
    </xf>
    <xf numFmtId="0" fontId="1" fillId="0" borderId="0" xfId="0" applyFont="1" applyFill="1" applyBorder="1" applyAlignment="1" applyProtection="1">
      <alignment horizontal="center"/>
    </xf>
  </cellXfs>
  <cellStyles count="5">
    <cellStyle name="Comma" xfId="1" builtinId="3"/>
    <cellStyle name="Currency" xfId="2" builtinId="4"/>
    <cellStyle name="Hyperlink" xfId="3" builtinId="8"/>
    <cellStyle name="Normal" xfId="0" builtinId="0"/>
    <cellStyle name="Percent" xfId="4" builtinId="5"/>
  </cellStyles>
  <dxfs count="4">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Link="$F$11" fmlaRange="$F$12:$F$15" noThreeD="1" sel="2" val="0"/>
</file>

<file path=xl/ctrlProps/ctrlProp2.xml><?xml version="1.0" encoding="utf-8"?>
<formControlPr xmlns="http://schemas.microsoft.com/office/spreadsheetml/2009/9/main" objectType="Drop" dropLines="3" dropStyle="combo" dx="16" fmlaLink="$F$10" fmlaRange="$E$12:$E$14" noThreeD="1" sel="2" val="0"/>
</file>

<file path=xl/ctrlProps/ctrlProp3.xml><?xml version="1.0" encoding="utf-8"?>
<formControlPr xmlns="http://schemas.microsoft.com/office/spreadsheetml/2009/9/main" objectType="Drop" dropLines="6" dropStyle="combo" dx="16" fmlaLink="$J$10" fmlaRange="$H$33:$H$38" noThreeD="1" sel="5" val="0"/>
</file>

<file path=xl/ctrlProps/ctrlProp4.xml><?xml version="1.0" encoding="utf-8"?>
<formControlPr xmlns="http://schemas.microsoft.com/office/spreadsheetml/2009/9/main" objectType="Drop" dropLines="4" dropStyle="combo" dx="16" fmlaLink="$F$11" fmlaRange="$F$12:$F$15" noThreeD="1" sel="2" val="0"/>
</file>

<file path=xl/ctrlProps/ctrlProp5.xml><?xml version="1.0" encoding="utf-8"?>
<formControlPr xmlns="http://schemas.microsoft.com/office/spreadsheetml/2009/9/main" objectType="Drop" dropLines="3" dropStyle="combo" dx="16" fmlaLink="$F$10" fmlaRange="$E$12:$E$14" noThreeD="1" sel="2" val="0"/>
</file>

<file path=xl/ctrlProps/ctrlProp6.xml><?xml version="1.0" encoding="utf-8"?>
<formControlPr xmlns="http://schemas.microsoft.com/office/spreadsheetml/2009/9/main" objectType="Drop" dropLines="6" dropStyle="combo" dx="16" fmlaLink="$J$10" fmlaRange="$H$33:$H$38" noThreeD="1" sel="5"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736716</xdr:colOff>
      <xdr:row>76</xdr:row>
      <xdr:rowOff>1738</xdr:rowOff>
    </xdr:from>
    <xdr:to>
      <xdr:col>6</xdr:col>
      <xdr:colOff>26323</xdr:colOff>
      <xdr:row>78</xdr:row>
      <xdr:rowOff>164506</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6602" y="13665783"/>
          <a:ext cx="2640676" cy="491814"/>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0</xdr:colOff>
          <xdr:row>9</xdr:row>
          <xdr:rowOff>137160</xdr:rowOff>
        </xdr:from>
        <xdr:to>
          <xdr:col>5</xdr:col>
          <xdr:colOff>121920</xdr:colOff>
          <xdr:row>11</xdr:row>
          <xdr:rowOff>0</xdr:rowOff>
        </xdr:to>
        <xdr:sp macro="" textlink="">
          <xdr:nvSpPr>
            <xdr:cNvPr id="1154" name="Drop Down 130" hidden="1">
              <a:extLst>
                <a:ext uri="{63B3BB69-23CF-44E3-9099-C40C66FF867C}">
                  <a14:compatExt spid="_x0000_s1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99060</xdr:rowOff>
        </xdr:from>
        <xdr:to>
          <xdr:col>5</xdr:col>
          <xdr:colOff>121920</xdr:colOff>
          <xdr:row>9</xdr:row>
          <xdr:rowOff>137160</xdr:rowOff>
        </xdr:to>
        <xdr:sp macro="" textlink="">
          <xdr:nvSpPr>
            <xdr:cNvPr id="1156" name="Drop Down 132" hidden="1">
              <a:extLst>
                <a:ext uri="{63B3BB69-23CF-44E3-9099-C40C66FF867C}">
                  <a14:compatExt spid="_x0000_s1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121920</xdr:rowOff>
        </xdr:from>
        <xdr:to>
          <xdr:col>11</xdr:col>
          <xdr:colOff>0</xdr:colOff>
          <xdr:row>11</xdr:row>
          <xdr:rowOff>0</xdr:rowOff>
        </xdr:to>
        <xdr:sp macro="" textlink="">
          <xdr:nvSpPr>
            <xdr:cNvPr id="1157" name="Drop Down 133" hidden="1">
              <a:extLst>
                <a:ext uri="{63B3BB69-23CF-44E3-9099-C40C66FF867C}">
                  <a14:compatExt spid="_x0000_s1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7</xdr:col>
      <xdr:colOff>0</xdr:colOff>
      <xdr:row>42</xdr:row>
      <xdr:rowOff>164521</xdr:rowOff>
    </xdr:from>
    <xdr:to>
      <xdr:col>11</xdr:col>
      <xdr:colOff>0</xdr:colOff>
      <xdr:row>74</xdr:row>
      <xdr:rowOff>152975</xdr:rowOff>
    </xdr:to>
    <xdr:pic>
      <xdr:nvPicPr>
        <xdr:cNvPr id="9" name="Picture 8" descr="C:\Users\wedwards\AppData\Local\Temp\DSC01996.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71955" y="7568044"/>
          <a:ext cx="4753840" cy="591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736716</xdr:colOff>
      <xdr:row>76</xdr:row>
      <xdr:rowOff>1738</xdr:rowOff>
    </xdr:from>
    <xdr:to>
      <xdr:col>6</xdr:col>
      <xdr:colOff>26323</xdr:colOff>
      <xdr:row>79</xdr:row>
      <xdr:rowOff>2581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0066" y="13489138"/>
          <a:ext cx="2632882" cy="486618"/>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0</xdr:colOff>
          <xdr:row>9</xdr:row>
          <xdr:rowOff>137160</xdr:rowOff>
        </xdr:from>
        <xdr:to>
          <xdr:col>5</xdr:col>
          <xdr:colOff>121920</xdr:colOff>
          <xdr:row>11</xdr:row>
          <xdr:rowOff>0</xdr:rowOff>
        </xdr:to>
        <xdr:sp macro="" textlink="">
          <xdr:nvSpPr>
            <xdr:cNvPr id="6145" name="Drop Down 1"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99060</xdr:rowOff>
        </xdr:from>
        <xdr:to>
          <xdr:col>5</xdr:col>
          <xdr:colOff>121920</xdr:colOff>
          <xdr:row>9</xdr:row>
          <xdr:rowOff>137160</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121920</xdr:rowOff>
        </xdr:from>
        <xdr:to>
          <xdr:col>11</xdr:col>
          <xdr:colOff>0</xdr:colOff>
          <xdr:row>11</xdr:row>
          <xdr:rowOff>0</xdr:rowOff>
        </xdr:to>
        <xdr:sp macro="" textlink="">
          <xdr:nvSpPr>
            <xdr:cNvPr id="6147" name="Drop Down 3"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7</xdr:col>
      <xdr:colOff>0</xdr:colOff>
      <xdr:row>42</xdr:row>
      <xdr:rowOff>164521</xdr:rowOff>
    </xdr:from>
    <xdr:to>
      <xdr:col>11</xdr:col>
      <xdr:colOff>0</xdr:colOff>
      <xdr:row>74</xdr:row>
      <xdr:rowOff>152975</xdr:rowOff>
    </xdr:to>
    <xdr:pic>
      <xdr:nvPicPr>
        <xdr:cNvPr id="6" name="Picture 5" descr="C:\Users\wedwards\AppData\Local\Temp\DSC01996.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67625" y="7470196"/>
          <a:ext cx="4743450" cy="5836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www.extension.iastate.edu/agdm/crops/html/a2-32.html" TargetMode="External"/><Relationship Id="rId7" Type="http://schemas.openxmlformats.org/officeDocument/2006/relationships/ctrlProp" Target="../ctrlProps/ctrlProp1.xml"/><Relationship Id="rId2" Type="http://schemas.openxmlformats.org/officeDocument/2006/relationships/hyperlink" Target="http://www.extension.iastate.edu/agdm/crops/pdf/a1-20.pdf" TargetMode="External"/><Relationship Id="rId1" Type="http://schemas.openxmlformats.org/officeDocument/2006/relationships/hyperlink" Target="mailto:wedwards@iastate.edu?subject=AgDM%20Spreadsheet" TargetMode="External"/><Relationship Id="rId6" Type="http://schemas.openxmlformats.org/officeDocument/2006/relationships/vmlDrawing" Target="../drawings/vmlDrawing1.vml"/><Relationship Id="rId5" Type="http://schemas.openxmlformats.org/officeDocument/2006/relationships/drawing" Target="../drawings/drawing1.xml"/><Relationship Id="rId10" Type="http://schemas.openxmlformats.org/officeDocument/2006/relationships/comments" Target="../comments1.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hyperlink" Target="http://www.extension.iastate.edu/agdm/crops/html/a2-32.html" TargetMode="External"/><Relationship Id="rId7" Type="http://schemas.openxmlformats.org/officeDocument/2006/relationships/ctrlProp" Target="../ctrlProps/ctrlProp4.xml"/><Relationship Id="rId2" Type="http://schemas.openxmlformats.org/officeDocument/2006/relationships/hyperlink" Target="http://www.extension.iastate.edu/agdm/crops/pdf/a1-20.pdf" TargetMode="External"/><Relationship Id="rId1" Type="http://schemas.openxmlformats.org/officeDocument/2006/relationships/hyperlink" Target="mailto:wedwards@iastate.edu?subject=AgDM%20Spreadsheet" TargetMode="External"/><Relationship Id="rId6" Type="http://schemas.openxmlformats.org/officeDocument/2006/relationships/vmlDrawing" Target="../drawings/vmlDrawing2.vml"/><Relationship Id="rId5" Type="http://schemas.openxmlformats.org/officeDocument/2006/relationships/drawing" Target="../drawings/drawing2.xml"/><Relationship Id="rId10" Type="http://schemas.openxmlformats.org/officeDocument/2006/relationships/comments" Target="../comments2.xml"/><Relationship Id="rId4" Type="http://schemas.openxmlformats.org/officeDocument/2006/relationships/printerSettings" Target="../printerSettings/printerSettings2.bin"/><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Q111"/>
  <sheetViews>
    <sheetView showGridLines="0" tabSelected="1" zoomScaleNormal="100" zoomScaleSheetLayoutView="100" workbookViewId="0"/>
  </sheetViews>
  <sheetFormatPr defaultColWidth="9.109375" defaultRowHeight="13.2"/>
  <cols>
    <col min="1" max="1" width="1.6640625" style="33" customWidth="1"/>
    <col min="2" max="2" width="1.6640625" style="13" customWidth="1"/>
    <col min="3" max="3" width="55.6640625" style="13" customWidth="1"/>
    <col min="4" max="5" width="16.6640625" style="13" customWidth="1"/>
    <col min="6" max="6" width="16.6640625" style="36" customWidth="1"/>
    <col min="7" max="7" width="5.6640625" style="36" customWidth="1"/>
    <col min="8" max="8" width="39" style="13" bestFit="1" customWidth="1"/>
    <col min="9" max="13" width="10.6640625" style="13" customWidth="1"/>
    <col min="14" max="15" width="9.109375" style="13"/>
    <col min="16" max="16" width="10.88671875" style="13" bestFit="1" customWidth="1"/>
    <col min="17" max="17" width="12" style="13" bestFit="1" customWidth="1"/>
    <col min="18" max="16384" width="9.109375" style="13"/>
  </cols>
  <sheetData>
    <row r="1" spans="1:17" s="109" customFormat="1" ht="18" thickBot="1">
      <c r="C1" s="117" t="s">
        <v>110</v>
      </c>
    </row>
    <row r="2" spans="1:17" ht="14.4" thickTop="1">
      <c r="A2" s="38"/>
      <c r="B2" s="16"/>
      <c r="C2" s="111" t="s">
        <v>107</v>
      </c>
      <c r="D2" s="39"/>
      <c r="E2" s="40"/>
      <c r="F2" s="41"/>
      <c r="G2" s="41"/>
      <c r="H2" s="40"/>
    </row>
    <row r="3" spans="1:17" ht="13.2" customHeight="1">
      <c r="A3" s="38"/>
      <c r="B3" s="16"/>
      <c r="C3" s="223" t="s">
        <v>111</v>
      </c>
      <c r="D3" s="223"/>
      <c r="E3" s="223"/>
      <c r="F3" s="223"/>
      <c r="G3" s="223"/>
      <c r="H3" s="112"/>
      <c r="I3" s="112"/>
      <c r="J3" s="112"/>
    </row>
    <row r="4" spans="1:17">
      <c r="A4" s="38"/>
      <c r="B4" s="16"/>
      <c r="C4" s="113"/>
      <c r="D4" s="113"/>
      <c r="E4" s="113"/>
      <c r="F4" s="114"/>
      <c r="G4" s="114"/>
      <c r="H4" s="113"/>
      <c r="I4" s="112"/>
      <c r="J4" s="112"/>
    </row>
    <row r="5" spans="1:17" ht="12" customHeight="1">
      <c r="A5" s="38"/>
      <c r="B5" s="16"/>
      <c r="C5" s="2" t="s">
        <v>1</v>
      </c>
      <c r="D5" s="2"/>
      <c r="E5" s="2"/>
      <c r="F5" s="4"/>
      <c r="G5" s="4"/>
      <c r="H5" s="2"/>
    </row>
    <row r="6" spans="1:17">
      <c r="A6" s="38"/>
      <c r="B6" s="16"/>
      <c r="C6" s="10" t="s">
        <v>3</v>
      </c>
      <c r="D6" s="3"/>
      <c r="E6" s="3"/>
      <c r="F6" s="3"/>
      <c r="G6" s="3"/>
      <c r="H6" s="3"/>
    </row>
    <row r="7" spans="1:17" ht="13.8" thickBot="1">
      <c r="A7" s="38"/>
      <c r="B7" s="16"/>
      <c r="C7" s="3"/>
      <c r="D7" s="3"/>
      <c r="E7" s="3"/>
      <c r="F7" s="3"/>
      <c r="G7" s="3"/>
      <c r="H7" s="3"/>
    </row>
    <row r="8" spans="1:17">
      <c r="A8" s="38"/>
      <c r="B8" s="16"/>
      <c r="C8" s="42" t="s">
        <v>29</v>
      </c>
      <c r="D8" s="43"/>
      <c r="E8" s="43"/>
      <c r="F8" s="44"/>
      <c r="G8" s="45"/>
      <c r="H8" s="42" t="s">
        <v>116</v>
      </c>
      <c r="I8" s="43"/>
      <c r="J8" s="43"/>
      <c r="K8" s="46"/>
      <c r="O8" s="36"/>
      <c r="P8" s="47"/>
      <c r="Q8" s="47"/>
    </row>
    <row r="9" spans="1:17">
      <c r="A9" s="38"/>
      <c r="B9" s="16"/>
      <c r="C9" s="118"/>
      <c r="D9" s="34"/>
      <c r="E9" s="34"/>
      <c r="F9" s="119"/>
      <c r="G9" s="45"/>
      <c r="H9" s="118"/>
      <c r="I9" s="34"/>
      <c r="J9" s="34"/>
      <c r="K9" s="49"/>
      <c r="O9" s="36"/>
      <c r="P9" s="47"/>
      <c r="Q9" s="47"/>
    </row>
    <row r="10" spans="1:17">
      <c r="A10" s="38"/>
      <c r="B10" s="16"/>
      <c r="C10" s="50" t="s">
        <v>60</v>
      </c>
      <c r="D10" s="221"/>
      <c r="E10" s="221"/>
      <c r="F10" s="123">
        <v>2</v>
      </c>
      <c r="G10" s="6"/>
      <c r="H10" s="48"/>
      <c r="I10" s="34"/>
      <c r="J10" s="9">
        <v>5</v>
      </c>
      <c r="K10" s="49"/>
      <c r="O10" s="36"/>
      <c r="P10" s="6"/>
      <c r="Q10" s="6"/>
    </row>
    <row r="11" spans="1:17">
      <c r="A11" s="38"/>
      <c r="B11" s="16"/>
      <c r="C11" s="48" t="s">
        <v>61</v>
      </c>
      <c r="D11" s="225"/>
      <c r="E11" s="225"/>
      <c r="F11" s="123">
        <v>2</v>
      </c>
      <c r="H11" s="48" t="s">
        <v>102</v>
      </c>
      <c r="I11" s="221"/>
      <c r="J11" s="221"/>
      <c r="K11" s="222"/>
      <c r="O11" s="36"/>
      <c r="P11" s="19"/>
      <c r="Q11" s="19"/>
    </row>
    <row r="12" spans="1:17">
      <c r="A12" s="38"/>
      <c r="B12" s="16"/>
      <c r="C12" s="51" t="s">
        <v>36</v>
      </c>
      <c r="D12" s="193">
        <v>100</v>
      </c>
      <c r="E12" s="52" t="s">
        <v>30</v>
      </c>
      <c r="F12" s="120" t="s">
        <v>56</v>
      </c>
      <c r="G12" s="34"/>
      <c r="H12" s="48" t="s">
        <v>9</v>
      </c>
      <c r="I12" s="21">
        <v>2</v>
      </c>
      <c r="J12" s="34"/>
      <c r="K12" s="49"/>
      <c r="O12" s="36"/>
      <c r="P12" s="19"/>
      <c r="Q12" s="19"/>
    </row>
    <row r="13" spans="1:17">
      <c r="A13" s="38"/>
      <c r="B13" s="16"/>
      <c r="C13" s="48" t="s">
        <v>62</v>
      </c>
      <c r="D13" s="37">
        <v>228</v>
      </c>
      <c r="E13" s="52" t="s">
        <v>31</v>
      </c>
      <c r="F13" s="121" t="s">
        <v>57</v>
      </c>
      <c r="G13" s="22"/>
      <c r="H13" s="48" t="s">
        <v>10</v>
      </c>
      <c r="I13" s="20">
        <v>0.11</v>
      </c>
      <c r="J13" s="34"/>
      <c r="K13" s="49"/>
      <c r="O13" s="36"/>
      <c r="P13" s="22"/>
      <c r="Q13" s="22"/>
    </row>
    <row r="14" spans="1:17">
      <c r="A14" s="38"/>
      <c r="B14" s="16"/>
      <c r="C14" s="50" t="s">
        <v>33</v>
      </c>
      <c r="D14" s="7">
        <v>0.25</v>
      </c>
      <c r="E14" s="52" t="s">
        <v>32</v>
      </c>
      <c r="F14" s="122" t="s">
        <v>58</v>
      </c>
      <c r="G14" s="22"/>
      <c r="H14" s="48" t="s">
        <v>11</v>
      </c>
      <c r="I14" s="21">
        <v>12</v>
      </c>
      <c r="J14" s="34"/>
      <c r="K14" s="49"/>
      <c r="O14" s="36"/>
      <c r="P14" s="22"/>
      <c r="Q14" s="22"/>
    </row>
    <row r="15" spans="1:17">
      <c r="A15" s="38"/>
      <c r="B15" s="16"/>
      <c r="C15" s="50" t="s">
        <v>113</v>
      </c>
      <c r="D15" s="108">
        <v>10</v>
      </c>
      <c r="E15" s="192"/>
      <c r="F15" s="121" t="s">
        <v>59</v>
      </c>
      <c r="G15" s="22"/>
      <c r="H15" s="48" t="s">
        <v>12</v>
      </c>
      <c r="I15" s="23">
        <v>0.25</v>
      </c>
      <c r="J15" s="34"/>
      <c r="K15" s="49"/>
      <c r="O15" s="36"/>
      <c r="P15" s="22"/>
      <c r="Q15" s="22"/>
    </row>
    <row r="16" spans="1:17">
      <c r="A16" s="38"/>
      <c r="B16" s="16"/>
      <c r="C16" s="50" t="s">
        <v>48</v>
      </c>
      <c r="D16" s="22">
        <f>D14-CHOOSE(F10,0.003,0.006,0.01)*D15</f>
        <v>0.19</v>
      </c>
      <c r="E16" s="194"/>
      <c r="F16" s="195"/>
      <c r="G16" s="22"/>
      <c r="H16" s="48" t="s">
        <v>13</v>
      </c>
      <c r="I16" s="24">
        <v>450</v>
      </c>
      <c r="J16" s="34"/>
      <c r="K16" s="49"/>
      <c r="O16" s="36"/>
      <c r="P16" s="22"/>
      <c r="Q16" s="22"/>
    </row>
    <row r="17" spans="1:17">
      <c r="A17" s="38"/>
      <c r="B17" s="16"/>
      <c r="C17" s="51" t="s">
        <v>63</v>
      </c>
      <c r="D17" s="219">
        <f>ROUND(CHOOSE(F11,0.001,0.003,0.005,0.01)*D15*D13,0)</f>
        <v>7</v>
      </c>
      <c r="E17" s="34"/>
      <c r="F17" s="49"/>
      <c r="G17" s="54"/>
      <c r="H17" s="72" t="s">
        <v>100</v>
      </c>
      <c r="I17" s="176">
        <v>5</v>
      </c>
      <c r="J17" s="34"/>
      <c r="K17" s="49"/>
      <c r="O17" s="36"/>
      <c r="P17" s="54"/>
      <c r="Q17" s="54"/>
    </row>
    <row r="18" spans="1:17">
      <c r="A18" s="38"/>
      <c r="B18" s="16"/>
      <c r="C18" s="51" t="s">
        <v>115</v>
      </c>
      <c r="D18" s="219">
        <f>ROUND((1-((1-D14)/(1-D16)))*D13,0)</f>
        <v>17</v>
      </c>
      <c r="E18" s="34"/>
      <c r="F18" s="49"/>
      <c r="G18" s="54"/>
      <c r="H18" s="48" t="s">
        <v>14</v>
      </c>
      <c r="I18" s="26">
        <v>85000</v>
      </c>
      <c r="J18" s="34"/>
      <c r="K18" s="49"/>
      <c r="O18" s="36"/>
      <c r="P18" s="54"/>
      <c r="Q18" s="54"/>
    </row>
    <row r="19" spans="1:17">
      <c r="A19" s="38"/>
      <c r="B19" s="16"/>
      <c r="C19" s="51" t="s">
        <v>34</v>
      </c>
      <c r="D19" s="218">
        <f>ROUND(D13-D18-D17,0)</f>
        <v>204</v>
      </c>
      <c r="E19" s="19"/>
      <c r="F19" s="55"/>
      <c r="G19" s="54"/>
      <c r="H19" s="48" t="s">
        <v>15</v>
      </c>
      <c r="I19" s="27">
        <v>50000</v>
      </c>
      <c r="J19" s="34"/>
      <c r="K19" s="49"/>
      <c r="O19" s="36"/>
      <c r="P19" s="54"/>
      <c r="Q19" s="54"/>
    </row>
    <row r="20" spans="1:17">
      <c r="A20" s="38"/>
      <c r="B20" s="16"/>
      <c r="C20" s="48"/>
      <c r="D20" s="34"/>
      <c r="E20" s="22"/>
      <c r="F20" s="53"/>
      <c r="G20" s="54"/>
      <c r="H20" s="48"/>
      <c r="I20" s="34"/>
      <c r="J20" s="34"/>
      <c r="K20" s="49"/>
      <c r="O20" s="36"/>
      <c r="P20" s="54"/>
      <c r="Q20" s="54"/>
    </row>
    <row r="21" spans="1:17" ht="39.6">
      <c r="A21" s="38"/>
      <c r="B21" s="16"/>
      <c r="C21" s="57" t="s">
        <v>98</v>
      </c>
      <c r="D21" s="58" t="s">
        <v>6</v>
      </c>
      <c r="E21" s="59" t="s">
        <v>5</v>
      </c>
      <c r="F21" s="60" t="s">
        <v>44</v>
      </c>
      <c r="G21" s="54"/>
      <c r="H21" s="177" t="s">
        <v>25</v>
      </c>
      <c r="I21" s="62" t="s">
        <v>64</v>
      </c>
      <c r="J21" s="178"/>
      <c r="K21" s="56"/>
      <c r="O21" s="36"/>
      <c r="P21" s="54"/>
      <c r="Q21" s="54"/>
    </row>
    <row r="22" spans="1:17">
      <c r="A22" s="38"/>
      <c r="B22" s="16"/>
      <c r="C22" s="50" t="s">
        <v>43</v>
      </c>
      <c r="D22" s="25">
        <v>3.25</v>
      </c>
      <c r="E22" s="215">
        <v>3.25</v>
      </c>
      <c r="F22" s="216">
        <v>3.25</v>
      </c>
      <c r="G22" s="54"/>
      <c r="H22" s="48" t="s">
        <v>17</v>
      </c>
      <c r="I22" s="198">
        <f>0.01*IF(J10,CHOOSE(J10,0,0.5,0.98,0.98,0.96,0.98)*CHOOSE(J10,I33,I34,I35,I36,I37,I38)*0.72*I12/800,0)</f>
        <v>3.4559999999999994E-2</v>
      </c>
      <c r="J22" s="65"/>
      <c r="K22" s="49"/>
      <c r="O22" s="36"/>
      <c r="P22" s="54"/>
      <c r="Q22" s="54"/>
    </row>
    <row r="23" spans="1:17">
      <c r="A23" s="38"/>
      <c r="B23" s="16"/>
      <c r="C23" s="50" t="s">
        <v>26</v>
      </c>
      <c r="D23" s="136">
        <v>0.15</v>
      </c>
      <c r="E23" s="32">
        <v>0.15</v>
      </c>
      <c r="F23" s="162">
        <v>0.15</v>
      </c>
      <c r="G23" s="54"/>
      <c r="H23" s="48" t="s">
        <v>18</v>
      </c>
      <c r="I23" s="198">
        <f>0.01*IF(J10,CHOOSE(J10,0.5,0.5,0.02,0.02,0.04,0.02)*CHOOSE(J10,I33,I34,I35,I36,I37,I38)*0.72*100*I13/3413,0)</f>
        <v>1.8564312921183707E-3</v>
      </c>
      <c r="J23" s="34"/>
      <c r="K23" s="49"/>
      <c r="O23" s="36"/>
      <c r="P23" s="54"/>
      <c r="Q23" s="54"/>
    </row>
    <row r="24" spans="1:17">
      <c r="A24" s="38"/>
      <c r="B24" s="16"/>
      <c r="C24" s="50" t="s">
        <v>50</v>
      </c>
      <c r="D24" s="28">
        <v>2.5000000000000001E-2</v>
      </c>
      <c r="E24" s="63"/>
      <c r="F24" s="64"/>
      <c r="G24" s="54"/>
      <c r="H24" s="72" t="s">
        <v>16</v>
      </c>
      <c r="I24" s="200">
        <f>IF(I17&gt;0,IF(I18&gt;0,0.03*I19/I18,0)/I17,0)</f>
        <v>3.5294117647058825E-3</v>
      </c>
      <c r="J24" s="65"/>
      <c r="K24" s="49"/>
      <c r="O24" s="36"/>
      <c r="P24" s="54"/>
      <c r="Q24" s="54"/>
    </row>
    <row r="25" spans="1:17" ht="15">
      <c r="A25" s="38"/>
      <c r="B25" s="16"/>
      <c r="C25" s="50" t="s">
        <v>51</v>
      </c>
      <c r="D25" s="66"/>
      <c r="E25" s="132">
        <v>0.06</v>
      </c>
      <c r="F25" s="67"/>
      <c r="G25" s="68"/>
      <c r="H25" s="48" t="s">
        <v>65</v>
      </c>
      <c r="I25" s="198">
        <f>IF(I17&gt;0,0.01/I17,0)</f>
        <v>2E-3</v>
      </c>
      <c r="J25" s="78"/>
      <c r="K25" s="49"/>
      <c r="L25" s="34"/>
      <c r="O25" s="36"/>
      <c r="P25" s="69"/>
      <c r="Q25" s="69"/>
    </row>
    <row r="26" spans="1:17" ht="15">
      <c r="A26" s="38"/>
      <c r="B26" s="16"/>
      <c r="C26" s="50" t="s">
        <v>67</v>
      </c>
      <c r="D26" s="70"/>
      <c r="E26" s="29">
        <v>1.4E-2</v>
      </c>
      <c r="F26" s="140"/>
      <c r="G26" s="71"/>
      <c r="H26" s="48" t="s">
        <v>19</v>
      </c>
      <c r="I26" s="199">
        <f>IF(I17&gt;0,IF(I16&gt;0,I14*I15/I16,0)/I17,0)</f>
        <v>1.3333333333333335E-3</v>
      </c>
      <c r="J26" s="81"/>
      <c r="K26" s="49"/>
      <c r="L26" s="34"/>
      <c r="O26" s="36"/>
      <c r="P26" s="71"/>
      <c r="Q26" s="71"/>
    </row>
    <row r="27" spans="1:17">
      <c r="A27" s="38"/>
      <c r="B27" s="16"/>
      <c r="C27" s="50" t="s">
        <v>52</v>
      </c>
      <c r="D27" s="73"/>
      <c r="E27" s="74"/>
      <c r="F27" s="163">
        <v>4.2999999999999997E-2</v>
      </c>
      <c r="G27" s="214" t="s">
        <v>119</v>
      </c>
      <c r="H27" s="61" t="s">
        <v>42</v>
      </c>
      <c r="I27" s="201">
        <f>SUM(I21:I26)</f>
        <v>4.3279176390157582E-2</v>
      </c>
      <c r="J27" s="34"/>
      <c r="K27" s="49"/>
      <c r="L27" s="34"/>
      <c r="O27" s="36"/>
      <c r="P27" s="71"/>
      <c r="Q27" s="71"/>
    </row>
    <row r="28" spans="1:17">
      <c r="A28" s="38"/>
      <c r="B28" s="16"/>
      <c r="C28" s="51" t="s">
        <v>53</v>
      </c>
      <c r="D28" s="73"/>
      <c r="E28" s="76"/>
      <c r="F28" s="131">
        <v>0.01</v>
      </c>
      <c r="G28" s="77"/>
      <c r="H28" s="48"/>
      <c r="I28" s="34"/>
      <c r="J28" s="34"/>
      <c r="K28" s="49"/>
      <c r="L28" s="34"/>
      <c r="O28" s="36"/>
      <c r="P28" s="77"/>
      <c r="Q28" s="68"/>
    </row>
    <row r="29" spans="1:17">
      <c r="A29" s="38"/>
      <c r="B29" s="16"/>
      <c r="C29" s="50" t="s">
        <v>35</v>
      </c>
      <c r="D29" s="73"/>
      <c r="E29" s="79"/>
      <c r="F29" s="30">
        <v>4</v>
      </c>
      <c r="G29" s="80"/>
      <c r="H29" s="48"/>
      <c r="I29" s="34"/>
      <c r="J29" s="34"/>
      <c r="K29" s="49"/>
      <c r="L29" s="34"/>
      <c r="O29" s="36"/>
      <c r="P29" s="82"/>
      <c r="Q29" s="82"/>
    </row>
    <row r="30" spans="1:17" ht="12.75" customHeight="1">
      <c r="A30" s="38"/>
      <c r="B30" s="16"/>
      <c r="C30" s="50" t="s">
        <v>66</v>
      </c>
      <c r="D30" s="83"/>
      <c r="E30" s="84"/>
      <c r="F30" s="31">
        <v>5.0000000000000001E-3</v>
      </c>
      <c r="G30" s="80"/>
      <c r="H30" s="48"/>
      <c r="I30" s="86" t="s">
        <v>38</v>
      </c>
      <c r="J30" s="86" t="s">
        <v>39</v>
      </c>
      <c r="K30" s="49"/>
      <c r="L30" s="34"/>
      <c r="O30" s="36"/>
      <c r="P30" s="82"/>
      <c r="Q30" s="82"/>
    </row>
    <row r="31" spans="1:17">
      <c r="A31" s="38"/>
      <c r="B31" s="16"/>
      <c r="C31" s="185" t="s">
        <v>108</v>
      </c>
      <c r="D31" s="137"/>
      <c r="E31" s="138"/>
      <c r="F31" s="139"/>
      <c r="G31" s="80"/>
      <c r="H31" s="48"/>
      <c r="I31" s="86" t="s">
        <v>109</v>
      </c>
      <c r="J31" s="86" t="s">
        <v>40</v>
      </c>
      <c r="K31" s="49"/>
      <c r="L31" s="34"/>
      <c r="O31" s="36"/>
      <c r="P31" s="82"/>
      <c r="Q31" s="82"/>
    </row>
    <row r="32" spans="1:17">
      <c r="A32" s="38"/>
      <c r="B32" s="16"/>
      <c r="C32" s="50" t="s">
        <v>45</v>
      </c>
      <c r="D32" s="145">
        <f>D19*D12</f>
        <v>20400</v>
      </c>
      <c r="E32" s="146">
        <f>D19*D12</f>
        <v>20400</v>
      </c>
      <c r="F32" s="147">
        <f>D19*D12</f>
        <v>20400</v>
      </c>
      <c r="G32" s="80"/>
      <c r="H32" s="118" t="s">
        <v>21</v>
      </c>
      <c r="I32" s="135" t="s">
        <v>37</v>
      </c>
      <c r="J32" s="135" t="s">
        <v>41</v>
      </c>
      <c r="K32" s="49"/>
      <c r="L32" s="34"/>
      <c r="O32" s="36"/>
      <c r="P32" s="82"/>
      <c r="Q32" s="82"/>
    </row>
    <row r="33" spans="1:17" s="129" customFormat="1" ht="12.75" customHeight="1">
      <c r="A33" s="124"/>
      <c r="B33" s="125"/>
      <c r="C33" s="126" t="s">
        <v>27</v>
      </c>
      <c r="D33" s="152" t="s">
        <v>117</v>
      </c>
      <c r="E33" s="148">
        <f>MAX(E32*(D16-E23)*100*E26,0)</f>
        <v>1142.4000000000003</v>
      </c>
      <c r="F33" s="149">
        <f>(MAX(1-(1-D16)/(1-F23),0)+F30)*F32</f>
        <v>1061.9999999999989</v>
      </c>
      <c r="G33" s="127"/>
      <c r="H33" s="48" t="s">
        <v>22</v>
      </c>
      <c r="I33" s="133">
        <v>1200</v>
      </c>
      <c r="J33" s="134">
        <v>0.5</v>
      </c>
      <c r="K33" s="49"/>
      <c r="L33" s="128"/>
      <c r="O33" s="130"/>
      <c r="P33" s="127"/>
      <c r="Q33" s="127"/>
    </row>
    <row r="34" spans="1:17">
      <c r="A34" s="38"/>
      <c r="B34" s="16"/>
      <c r="C34" s="50" t="s">
        <v>28</v>
      </c>
      <c r="D34" s="151">
        <f>D32</f>
        <v>20400</v>
      </c>
      <c r="E34" s="146">
        <f>E32-E33</f>
        <v>19257.599999999999</v>
      </c>
      <c r="F34" s="147">
        <f>F32-F33</f>
        <v>19338</v>
      </c>
      <c r="G34" s="85"/>
      <c r="H34" s="48" t="s">
        <v>23</v>
      </c>
      <c r="I34" s="133">
        <v>1500</v>
      </c>
      <c r="J34" s="134">
        <v>0.5</v>
      </c>
      <c r="K34" s="49"/>
      <c r="L34" s="34"/>
      <c r="O34" s="36"/>
      <c r="P34" s="82"/>
      <c r="Q34" s="82"/>
    </row>
    <row r="35" spans="1:17">
      <c r="A35" s="38"/>
      <c r="B35" s="16"/>
      <c r="C35" s="50"/>
      <c r="D35" s="87"/>
      <c r="E35" s="142"/>
      <c r="F35" s="143"/>
      <c r="G35" s="85"/>
      <c r="H35" s="48" t="s">
        <v>24</v>
      </c>
      <c r="I35" s="133">
        <v>1800</v>
      </c>
      <c r="J35" s="134">
        <v>0.02</v>
      </c>
      <c r="K35" s="49"/>
      <c r="L35" s="34"/>
      <c r="O35" s="36"/>
      <c r="P35" s="82"/>
      <c r="Q35" s="82"/>
    </row>
    <row r="36" spans="1:17">
      <c r="A36" s="38"/>
      <c r="B36" s="16"/>
      <c r="C36" s="50" t="s">
        <v>69</v>
      </c>
      <c r="D36" s="141">
        <f>D32*D22</f>
        <v>66300</v>
      </c>
      <c r="E36" s="142">
        <f>E34*E22</f>
        <v>62587.199999999997</v>
      </c>
      <c r="F36" s="143">
        <f>F34*F22</f>
        <v>62848.5</v>
      </c>
      <c r="G36" s="88"/>
      <c r="H36" s="48" t="s">
        <v>8</v>
      </c>
      <c r="I36" s="133">
        <v>1800</v>
      </c>
      <c r="J36" s="134">
        <v>0.02</v>
      </c>
      <c r="K36" s="49"/>
      <c r="L36" s="34"/>
      <c r="O36" s="36"/>
      <c r="P36" s="82"/>
      <c r="Q36" s="82"/>
    </row>
    <row r="37" spans="1:17">
      <c r="A37" s="38"/>
      <c r="B37" s="16"/>
      <c r="C37" s="50" t="s">
        <v>49</v>
      </c>
      <c r="D37" s="87">
        <f>MAX(D24*D22*(D16-D23)*100,0)</f>
        <v>0.32500000000000007</v>
      </c>
      <c r="E37" s="89"/>
      <c r="F37" s="90"/>
      <c r="G37" s="88"/>
      <c r="H37" s="48" t="s">
        <v>7</v>
      </c>
      <c r="I37" s="133">
        <v>2000</v>
      </c>
      <c r="J37" s="134">
        <v>0.04</v>
      </c>
      <c r="K37" s="49"/>
      <c r="L37" s="34"/>
      <c r="O37" s="36"/>
      <c r="P37" s="82"/>
      <c r="Q37" s="82"/>
    </row>
    <row r="38" spans="1:17">
      <c r="A38" s="38"/>
      <c r="B38" s="16"/>
      <c r="C38" s="50" t="s">
        <v>70</v>
      </c>
      <c r="D38" s="144">
        <f>D32*D37</f>
        <v>6630.0000000000009</v>
      </c>
      <c r="E38" s="89"/>
      <c r="F38" s="90"/>
      <c r="G38" s="91"/>
      <c r="H38" s="180" t="s">
        <v>55</v>
      </c>
      <c r="I38" s="181">
        <v>2500</v>
      </c>
      <c r="J38" s="182">
        <v>0.02</v>
      </c>
      <c r="K38" s="183"/>
      <c r="L38" s="34"/>
      <c r="O38" s="36"/>
      <c r="P38" s="82"/>
      <c r="Q38" s="82"/>
    </row>
    <row r="39" spans="1:17" ht="13.8" thickBot="1">
      <c r="A39" s="38"/>
      <c r="B39" s="16"/>
      <c r="C39" s="50" t="s">
        <v>54</v>
      </c>
      <c r="D39" s="92"/>
      <c r="E39" s="79">
        <f>MAX(E25*(D16-E23)*100,0)</f>
        <v>0.24000000000000002</v>
      </c>
      <c r="F39" s="67">
        <f>MAX(F27*(D16-F23)*100,0)</f>
        <v>0.17200000000000001</v>
      </c>
      <c r="G39" s="91"/>
      <c r="H39" s="184" t="s">
        <v>68</v>
      </c>
      <c r="I39" s="179"/>
      <c r="J39" s="179"/>
      <c r="K39" s="97"/>
      <c r="L39" s="34"/>
      <c r="O39" s="36"/>
      <c r="P39" s="82"/>
      <c r="Q39" s="82"/>
    </row>
    <row r="40" spans="1:17">
      <c r="A40" s="38"/>
      <c r="B40" s="16"/>
      <c r="C40" s="50" t="s">
        <v>71</v>
      </c>
      <c r="D40" s="92"/>
      <c r="E40" s="142">
        <f>E39*E32</f>
        <v>4896</v>
      </c>
      <c r="F40" s="143">
        <f>F39*F32</f>
        <v>3508.8</v>
      </c>
      <c r="G40" s="88"/>
      <c r="L40" s="34"/>
      <c r="O40" s="36"/>
      <c r="P40" s="82"/>
      <c r="Q40" s="82"/>
    </row>
    <row r="41" spans="1:17">
      <c r="A41" s="38"/>
      <c r="B41" s="16"/>
      <c r="C41" s="72" t="s">
        <v>72</v>
      </c>
      <c r="D41" s="92"/>
      <c r="E41" s="142"/>
      <c r="F41" s="150">
        <f>F29*F28*F32</f>
        <v>816</v>
      </c>
      <c r="G41" s="93"/>
      <c r="L41" s="34"/>
      <c r="O41" s="36"/>
      <c r="P41" s="82"/>
      <c r="Q41" s="82"/>
    </row>
    <row r="42" spans="1:17">
      <c r="A42" s="38"/>
      <c r="B42" s="16"/>
      <c r="C42" s="72" t="s">
        <v>91</v>
      </c>
      <c r="D42" s="161">
        <f t="shared" ref="D42:F42" si="0">D38+D40+D41</f>
        <v>6630.0000000000009</v>
      </c>
      <c r="E42" s="161">
        <f t="shared" si="0"/>
        <v>4896</v>
      </c>
      <c r="F42" s="164">
        <f t="shared" si="0"/>
        <v>4324.8</v>
      </c>
      <c r="G42" s="93"/>
      <c r="L42" s="34"/>
      <c r="O42" s="36"/>
      <c r="P42" s="82"/>
      <c r="Q42" s="82"/>
    </row>
    <row r="43" spans="1:17">
      <c r="A43" s="38"/>
      <c r="B43" s="16"/>
      <c r="C43" s="94" t="s">
        <v>73</v>
      </c>
      <c r="D43" s="95">
        <f t="shared" ref="D43:F43" si="1">D36-D42</f>
        <v>59670</v>
      </c>
      <c r="E43" s="95">
        <f t="shared" si="1"/>
        <v>57691.199999999997</v>
      </c>
      <c r="F43" s="96">
        <f t="shared" si="1"/>
        <v>58523.7</v>
      </c>
      <c r="G43" s="91"/>
      <c r="L43" s="34"/>
      <c r="O43" s="36"/>
      <c r="P43" s="82"/>
      <c r="Q43" s="82"/>
    </row>
    <row r="44" spans="1:17" ht="39.6">
      <c r="A44" s="38"/>
      <c r="B44" s="16"/>
      <c r="C44" s="166" t="s">
        <v>99</v>
      </c>
      <c r="D44" s="58" t="s">
        <v>96</v>
      </c>
      <c r="E44" s="59" t="s">
        <v>95</v>
      </c>
      <c r="F44" s="60" t="s">
        <v>94</v>
      </c>
      <c r="G44" s="91"/>
      <c r="H44" s="34"/>
      <c r="I44" s="133"/>
      <c r="J44" s="134"/>
      <c r="K44" s="34"/>
      <c r="L44" s="34"/>
      <c r="O44" s="36"/>
      <c r="P44" s="82"/>
      <c r="Q44" s="82"/>
    </row>
    <row r="45" spans="1:17">
      <c r="A45" s="38"/>
      <c r="B45" s="16"/>
      <c r="C45" s="51" t="s">
        <v>89</v>
      </c>
      <c r="D45" s="196">
        <v>5</v>
      </c>
      <c r="E45" s="196">
        <v>5</v>
      </c>
      <c r="F45" s="197">
        <v>5</v>
      </c>
      <c r="G45" s="91"/>
      <c r="H45" s="34"/>
      <c r="I45" s="133"/>
      <c r="J45" s="134"/>
      <c r="K45" s="34"/>
      <c r="L45" s="34"/>
      <c r="O45" s="36"/>
      <c r="P45" s="82"/>
      <c r="Q45" s="82"/>
    </row>
    <row r="46" spans="1:17">
      <c r="A46" s="38"/>
      <c r="B46" s="16"/>
      <c r="C46" s="51" t="s">
        <v>114</v>
      </c>
      <c r="D46" s="159">
        <v>3.6</v>
      </c>
      <c r="E46" s="160">
        <v>3.6</v>
      </c>
      <c r="F46" s="167">
        <v>3.6</v>
      </c>
      <c r="G46" s="91"/>
      <c r="H46" s="34"/>
      <c r="I46" s="133"/>
      <c r="J46" s="134"/>
      <c r="K46" s="34"/>
      <c r="L46" s="34"/>
      <c r="O46" s="36"/>
      <c r="P46" s="82"/>
      <c r="Q46" s="82"/>
    </row>
    <row r="47" spans="1:17">
      <c r="A47" s="38"/>
      <c r="B47" s="16"/>
      <c r="C47" s="50" t="s">
        <v>79</v>
      </c>
      <c r="D47" s="202">
        <v>0.14000000000000001</v>
      </c>
      <c r="E47" s="202">
        <v>0.14000000000000001</v>
      </c>
      <c r="F47" s="206">
        <v>0.13500000000000001</v>
      </c>
      <c r="G47" s="91"/>
      <c r="H47" s="34"/>
      <c r="I47" s="133"/>
      <c r="J47" s="134"/>
      <c r="K47" s="34"/>
      <c r="L47" s="34"/>
      <c r="O47" s="36"/>
      <c r="P47" s="82"/>
      <c r="Q47" s="82"/>
    </row>
    <row r="48" spans="1:17">
      <c r="A48" s="38"/>
      <c r="B48" s="16"/>
      <c r="C48" s="50" t="s">
        <v>88</v>
      </c>
      <c r="D48" s="203">
        <v>0.13</v>
      </c>
      <c r="E48" s="203">
        <v>0.13</v>
      </c>
      <c r="F48" s="168"/>
      <c r="G48" s="91"/>
      <c r="H48" s="34"/>
      <c r="I48" s="133"/>
      <c r="J48" s="134"/>
      <c r="K48" s="34"/>
      <c r="L48" s="34"/>
      <c r="O48" s="36"/>
      <c r="P48" s="82"/>
      <c r="Q48" s="82"/>
    </row>
    <row r="49" spans="1:17">
      <c r="A49" s="38"/>
      <c r="B49" s="16"/>
      <c r="C49" s="50" t="s">
        <v>74</v>
      </c>
      <c r="D49" s="204">
        <v>3</v>
      </c>
      <c r="E49" s="204">
        <v>3</v>
      </c>
      <c r="F49" s="168"/>
      <c r="G49" s="91"/>
      <c r="H49" s="34"/>
      <c r="I49" s="133"/>
      <c r="J49" s="134"/>
      <c r="K49" s="34"/>
      <c r="L49" s="34"/>
      <c r="O49" s="36"/>
      <c r="P49" s="82"/>
      <c r="Q49" s="82"/>
    </row>
    <row r="50" spans="1:17">
      <c r="A50" s="38"/>
      <c r="B50" s="16"/>
      <c r="C50" s="50" t="s">
        <v>75</v>
      </c>
      <c r="D50" s="205">
        <v>0.04</v>
      </c>
      <c r="E50" s="205">
        <v>0.04</v>
      </c>
      <c r="F50" s="168"/>
      <c r="G50" s="91"/>
      <c r="H50" s="34"/>
      <c r="I50" s="133"/>
      <c r="J50" s="134"/>
      <c r="K50" s="34"/>
      <c r="L50" s="34"/>
      <c r="O50" s="36"/>
      <c r="P50" s="82"/>
      <c r="Q50" s="82"/>
    </row>
    <row r="51" spans="1:17">
      <c r="A51" s="38"/>
      <c r="B51" s="16"/>
      <c r="C51" s="50" t="s">
        <v>76</v>
      </c>
      <c r="D51" s="154"/>
      <c r="E51" s="154"/>
      <c r="F51" s="207">
        <v>0.01</v>
      </c>
      <c r="G51" s="91"/>
      <c r="H51" s="34"/>
      <c r="I51" s="133"/>
      <c r="J51" s="134"/>
      <c r="K51" s="34"/>
      <c r="L51" s="34"/>
      <c r="O51" s="36"/>
      <c r="P51" s="82"/>
      <c r="Q51" s="82"/>
    </row>
    <row r="52" spans="1:17">
      <c r="A52" s="38"/>
      <c r="B52" s="16"/>
      <c r="C52" s="50" t="s">
        <v>77</v>
      </c>
      <c r="D52" s="154"/>
      <c r="E52" s="154"/>
      <c r="F52" s="208">
        <v>8</v>
      </c>
      <c r="G52" s="91"/>
      <c r="H52" s="34"/>
      <c r="I52" s="133"/>
      <c r="J52" s="134"/>
      <c r="K52" s="34"/>
      <c r="L52" s="34"/>
      <c r="O52" s="36"/>
      <c r="P52" s="82"/>
      <c r="Q52" s="82"/>
    </row>
    <row r="53" spans="1:17">
      <c r="A53" s="38"/>
      <c r="B53" s="16"/>
      <c r="C53" s="50" t="s">
        <v>81</v>
      </c>
      <c r="D53" s="154"/>
      <c r="E53" s="154"/>
      <c r="F53" s="208">
        <v>120</v>
      </c>
      <c r="G53" s="91"/>
      <c r="H53" s="34"/>
      <c r="I53" s="133"/>
      <c r="J53" s="134"/>
      <c r="K53" s="34"/>
      <c r="L53" s="34"/>
      <c r="O53" s="36"/>
      <c r="P53" s="82"/>
      <c r="Q53" s="82"/>
    </row>
    <row r="54" spans="1:17">
      <c r="A54" s="38"/>
      <c r="B54" s="16"/>
      <c r="C54" s="50" t="s">
        <v>103</v>
      </c>
      <c r="D54" s="154"/>
      <c r="E54" s="154"/>
      <c r="F54" s="209">
        <v>0.11</v>
      </c>
      <c r="G54" s="91"/>
      <c r="H54" s="34"/>
      <c r="I54" s="133"/>
      <c r="J54" s="134"/>
      <c r="K54" s="34"/>
      <c r="L54" s="34"/>
      <c r="O54" s="36"/>
      <c r="P54" s="82"/>
      <c r="Q54" s="82"/>
    </row>
    <row r="55" spans="1:17">
      <c r="A55" s="38"/>
      <c r="B55" s="16"/>
      <c r="C55" s="50" t="s">
        <v>80</v>
      </c>
      <c r="D55" s="154"/>
      <c r="E55" s="154"/>
      <c r="F55" s="208">
        <v>15</v>
      </c>
      <c r="G55" s="91"/>
      <c r="H55" s="34"/>
      <c r="I55" s="133"/>
      <c r="J55" s="134"/>
      <c r="K55" s="34"/>
      <c r="L55" s="34"/>
      <c r="O55" s="36"/>
      <c r="P55" s="82"/>
      <c r="Q55" s="82"/>
    </row>
    <row r="56" spans="1:17">
      <c r="A56" s="38"/>
      <c r="B56" s="16"/>
      <c r="C56" s="50" t="s">
        <v>78</v>
      </c>
      <c r="D56" s="154"/>
      <c r="E56" s="154"/>
      <c r="F56" s="210">
        <v>12</v>
      </c>
      <c r="G56" s="91"/>
      <c r="H56" s="34"/>
      <c r="I56" s="133"/>
      <c r="J56" s="134"/>
      <c r="K56" s="34"/>
      <c r="L56" s="34"/>
      <c r="O56" s="36"/>
      <c r="P56" s="82"/>
      <c r="Q56" s="82"/>
    </row>
    <row r="57" spans="1:17">
      <c r="A57" s="38"/>
      <c r="B57" s="16"/>
      <c r="C57" s="50" t="s">
        <v>120</v>
      </c>
      <c r="D57" s="211">
        <v>0.05</v>
      </c>
      <c r="E57" s="211">
        <v>0.05</v>
      </c>
      <c r="F57" s="207">
        <v>0.05</v>
      </c>
      <c r="G57" s="91"/>
      <c r="H57" s="34"/>
      <c r="I57" s="133"/>
      <c r="J57" s="134"/>
      <c r="K57" s="34"/>
      <c r="L57" s="34"/>
      <c r="O57" s="36"/>
      <c r="P57" s="82"/>
      <c r="Q57" s="82"/>
    </row>
    <row r="58" spans="1:17">
      <c r="A58" s="38"/>
      <c r="B58" s="16"/>
      <c r="C58" s="185" t="s">
        <v>108</v>
      </c>
      <c r="D58" s="137"/>
      <c r="E58" s="138"/>
      <c r="F58" s="139"/>
      <c r="G58" s="91"/>
      <c r="H58" s="34"/>
      <c r="I58" s="133"/>
      <c r="J58" s="134"/>
      <c r="K58" s="34"/>
      <c r="L58" s="34"/>
      <c r="O58" s="36"/>
      <c r="P58" s="82"/>
      <c r="Q58" s="82"/>
    </row>
    <row r="59" spans="1:17">
      <c r="A59" s="38"/>
      <c r="B59" s="16"/>
      <c r="C59" s="50" t="s">
        <v>82</v>
      </c>
      <c r="D59" s="155"/>
      <c r="E59" s="156">
        <f>MAX(E34*(MIN(E23,D16)-E47)*100*E26,0)</f>
        <v>269.6063999999995</v>
      </c>
      <c r="F59" s="213">
        <f>(MAX(1-(1-MIN(D16,F23))/(1-F47),0)+F51)*F34</f>
        <v>528.72104046242873</v>
      </c>
      <c r="G59" s="91"/>
      <c r="H59" s="34"/>
      <c r="I59" s="133"/>
      <c r="J59" s="134"/>
      <c r="K59" s="34"/>
      <c r="L59" s="34"/>
      <c r="O59" s="36"/>
      <c r="P59" s="82"/>
      <c r="Q59" s="82"/>
    </row>
    <row r="60" spans="1:17">
      <c r="A60" s="38"/>
      <c r="B60" s="16"/>
      <c r="C60" s="50" t="s">
        <v>28</v>
      </c>
      <c r="D60" s="156">
        <f>D34</f>
        <v>20400</v>
      </c>
      <c r="E60" s="156">
        <f>E34-E59</f>
        <v>18987.993599999998</v>
      </c>
      <c r="F60" s="169">
        <f>F34-F59</f>
        <v>18809.278959537573</v>
      </c>
      <c r="G60" s="91"/>
      <c r="H60" s="34"/>
      <c r="I60" s="133"/>
      <c r="J60" s="134"/>
      <c r="K60" s="34"/>
      <c r="L60" s="34"/>
      <c r="O60" s="36"/>
      <c r="P60" s="82"/>
      <c r="Q60" s="82"/>
    </row>
    <row r="61" spans="1:17">
      <c r="A61" s="38"/>
      <c r="B61" s="16"/>
      <c r="C61" s="94" t="s">
        <v>86</v>
      </c>
      <c r="D61" s="158">
        <f>D46*D60</f>
        <v>73440</v>
      </c>
      <c r="E61" s="158">
        <f t="shared" ref="E61:F61" si="2">E46*E60</f>
        <v>68356.776959999988</v>
      </c>
      <c r="F61" s="170">
        <f t="shared" si="2"/>
        <v>67713.40425433527</v>
      </c>
      <c r="G61" s="91"/>
      <c r="H61" s="34"/>
      <c r="I61" s="133"/>
      <c r="J61" s="134"/>
      <c r="K61" s="34"/>
      <c r="L61" s="34"/>
      <c r="O61" s="36"/>
      <c r="P61" s="82"/>
      <c r="Q61" s="82"/>
    </row>
    <row r="62" spans="1:17">
      <c r="A62" s="38"/>
      <c r="B62" s="16"/>
      <c r="C62" s="50" t="s">
        <v>112</v>
      </c>
      <c r="D62" s="212">
        <f>(D48+IF(D45&gt;D49,(D45-D49)*D50,0))*D60</f>
        <v>4284</v>
      </c>
      <c r="E62" s="212">
        <f>(E48+IF(E45&gt;E49,(E45-E49)*E50,0))*E60</f>
        <v>3987.4786559999998</v>
      </c>
      <c r="F62" s="169"/>
      <c r="G62" s="91"/>
      <c r="H62" s="34"/>
      <c r="I62" s="133"/>
      <c r="J62" s="134"/>
      <c r="K62" s="34"/>
      <c r="L62" s="34"/>
      <c r="O62" s="36"/>
      <c r="P62" s="82"/>
      <c r="Q62" s="82"/>
    </row>
    <row r="63" spans="1:17">
      <c r="A63" s="38"/>
      <c r="B63" s="16"/>
      <c r="C63" s="50" t="s">
        <v>85</v>
      </c>
      <c r="D63" s="154">
        <f>D22*D57*(D45/12)*D60</f>
        <v>1381.2500000000002</v>
      </c>
      <c r="E63" s="154">
        <f>E22*E57*(E45/12)*E60</f>
        <v>1285.6454000000001</v>
      </c>
      <c r="F63" s="168">
        <f>F22*F57*(F45/12)*F60</f>
        <v>1273.5449295520234</v>
      </c>
      <c r="G63" s="91"/>
      <c r="H63" s="34"/>
      <c r="I63" s="133"/>
      <c r="J63" s="134"/>
      <c r="K63" s="34"/>
      <c r="L63" s="34"/>
      <c r="O63" s="36"/>
      <c r="P63" s="82"/>
      <c r="Q63" s="82"/>
    </row>
    <row r="64" spans="1:17">
      <c r="A64" s="38"/>
      <c r="B64" s="16"/>
      <c r="C64" s="51" t="s">
        <v>83</v>
      </c>
      <c r="D64" s="154">
        <f>D24*(D23-D47)*D22*100*D60</f>
        <v>1657.499999999997</v>
      </c>
      <c r="E64" s="105"/>
      <c r="F64" s="171"/>
      <c r="G64" s="91"/>
      <c r="H64" s="34"/>
      <c r="I64" s="133"/>
      <c r="J64" s="134"/>
      <c r="K64" s="34"/>
      <c r="L64" s="34"/>
      <c r="O64" s="36"/>
      <c r="P64" s="82"/>
      <c r="Q64" s="82"/>
    </row>
    <row r="65" spans="1:17">
      <c r="A65" s="38"/>
      <c r="B65" s="16"/>
      <c r="C65" s="50" t="s">
        <v>84</v>
      </c>
      <c r="D65" s="153"/>
      <c r="E65" s="154">
        <f>MAX(E25*(MIN(D16,E23)-E47)*100*E34,0)</f>
        <v>1155.4559999999976</v>
      </c>
      <c r="F65" s="168">
        <f>MAX(F27*(MIN(D16,F23)-F47)*100*F34,0)</f>
        <v>1247.3009999999988</v>
      </c>
      <c r="G65" s="91"/>
      <c r="H65" s="34"/>
      <c r="I65" s="133"/>
      <c r="J65" s="134"/>
      <c r="K65" s="34"/>
      <c r="L65" s="34"/>
      <c r="O65" s="36"/>
      <c r="P65" s="82"/>
      <c r="Q65" s="82"/>
    </row>
    <row r="66" spans="1:17">
      <c r="A66" s="38"/>
      <c r="B66" s="16"/>
      <c r="C66" s="50" t="s">
        <v>101</v>
      </c>
      <c r="D66" s="93"/>
      <c r="E66" s="93"/>
      <c r="F66" s="168">
        <f>0.8*F52*F53*F54*F45</f>
        <v>422.40000000000003</v>
      </c>
      <c r="G66" s="91"/>
      <c r="H66" s="34"/>
      <c r="I66" s="133"/>
      <c r="J66" s="134"/>
      <c r="K66" s="34"/>
      <c r="L66" s="34"/>
      <c r="O66" s="36"/>
      <c r="P66" s="82"/>
      <c r="Q66" s="82"/>
    </row>
    <row r="67" spans="1:17">
      <c r="A67" s="38"/>
      <c r="B67" s="16"/>
      <c r="C67" s="50" t="s">
        <v>90</v>
      </c>
      <c r="D67" s="93"/>
      <c r="E67" s="93"/>
      <c r="F67" s="168">
        <f>F55*F56*F45</f>
        <v>900</v>
      </c>
      <c r="G67" s="91"/>
      <c r="H67" s="34"/>
      <c r="I67" s="133"/>
      <c r="J67" s="134"/>
      <c r="K67" s="34"/>
      <c r="L67" s="34"/>
      <c r="O67" s="36"/>
      <c r="P67" s="82"/>
      <c r="Q67" s="82"/>
    </row>
    <row r="68" spans="1:17">
      <c r="A68" s="38"/>
      <c r="B68" s="16"/>
      <c r="C68" s="51" t="s">
        <v>92</v>
      </c>
      <c r="D68" s="154">
        <f t="shared" ref="D68" si="3">SUM(D62:D67)+D42</f>
        <v>13952.749999999998</v>
      </c>
      <c r="E68" s="154">
        <f>SUM(E62:E67)+E42</f>
        <v>11324.580055999997</v>
      </c>
      <c r="F68" s="168">
        <f t="shared" ref="F68" si="4">SUM(F62:F67)+F42</f>
        <v>8168.0459295520232</v>
      </c>
      <c r="G68" s="91"/>
      <c r="H68" s="34"/>
      <c r="I68" s="133"/>
      <c r="J68" s="134"/>
      <c r="K68" s="34"/>
      <c r="L68" s="34"/>
      <c r="O68" s="36"/>
      <c r="P68" s="82"/>
      <c r="Q68" s="82"/>
    </row>
    <row r="69" spans="1:17">
      <c r="A69" s="38"/>
      <c r="B69" s="16"/>
      <c r="C69" s="172" t="s">
        <v>87</v>
      </c>
      <c r="D69" s="153">
        <f>D61-D68</f>
        <v>59487.25</v>
      </c>
      <c r="E69" s="153">
        <f>E61-E68</f>
        <v>57032.196903999989</v>
      </c>
      <c r="F69" s="165">
        <f>F61-F68</f>
        <v>59545.358324783243</v>
      </c>
      <c r="G69" s="91"/>
      <c r="H69" s="34"/>
      <c r="I69" s="133"/>
      <c r="J69" s="134"/>
      <c r="K69" s="34"/>
      <c r="L69" s="34"/>
      <c r="O69" s="36"/>
      <c r="P69" s="82"/>
      <c r="Q69" s="82"/>
    </row>
    <row r="70" spans="1:17">
      <c r="A70" s="38"/>
      <c r="B70" s="16"/>
      <c r="C70" s="51" t="s">
        <v>93</v>
      </c>
      <c r="D70" s="154">
        <f>D69-D43</f>
        <v>-182.75</v>
      </c>
      <c r="E70" s="154">
        <f>E69-E43</f>
        <v>-659.00309600000764</v>
      </c>
      <c r="F70" s="168">
        <f>F69-F43</f>
        <v>1021.6583247832459</v>
      </c>
      <c r="G70" s="91"/>
      <c r="H70" s="34"/>
      <c r="I70" s="133"/>
      <c r="J70" s="134"/>
      <c r="K70" s="34"/>
      <c r="L70" s="34"/>
      <c r="O70" s="36"/>
      <c r="P70" s="82"/>
      <c r="Q70" s="82"/>
    </row>
    <row r="71" spans="1:17" ht="13.8" thickBot="1">
      <c r="A71" s="38"/>
      <c r="B71" s="16"/>
      <c r="C71" s="173" t="s">
        <v>97</v>
      </c>
      <c r="D71" s="174">
        <f>(D43+D68)/D60</f>
        <v>3.6089583333333333</v>
      </c>
      <c r="E71" s="174">
        <f>(E43+E68)/E60</f>
        <v>3.6347063049357673</v>
      </c>
      <c r="F71" s="175">
        <f>(F43+F68)/F60</f>
        <v>3.5456832807370753</v>
      </c>
      <c r="G71" s="91"/>
      <c r="H71" s="34"/>
      <c r="I71" s="133"/>
      <c r="J71" s="134"/>
      <c r="K71" s="34"/>
      <c r="L71" s="34"/>
      <c r="O71" s="36"/>
      <c r="P71" s="82"/>
      <c r="Q71" s="82"/>
    </row>
    <row r="72" spans="1:17" ht="13.8" thickBot="1">
      <c r="A72" s="38"/>
      <c r="B72" s="16"/>
      <c r="C72" s="107"/>
      <c r="D72" s="153"/>
      <c r="E72" s="153"/>
      <c r="F72" s="153"/>
      <c r="G72" s="91"/>
      <c r="H72" s="34"/>
      <c r="I72" s="133"/>
      <c r="J72" s="134"/>
      <c r="K72" s="34"/>
      <c r="L72" s="34"/>
      <c r="O72" s="36"/>
      <c r="P72" s="82"/>
      <c r="Q72" s="82"/>
    </row>
    <row r="73" spans="1:17" ht="39.6">
      <c r="A73" s="38"/>
      <c r="B73" s="16"/>
      <c r="C73" s="191" t="s">
        <v>104</v>
      </c>
      <c r="D73" s="186" t="s">
        <v>96</v>
      </c>
      <c r="E73" s="186" t="s">
        <v>95</v>
      </c>
      <c r="F73" s="187" t="s">
        <v>94</v>
      </c>
      <c r="G73" s="91"/>
      <c r="H73" s="34"/>
      <c r="I73" s="133"/>
      <c r="J73" s="134"/>
      <c r="K73" s="34"/>
      <c r="L73" s="34"/>
      <c r="O73" s="36"/>
      <c r="P73" s="82"/>
      <c r="Q73" s="82"/>
    </row>
    <row r="74" spans="1:17">
      <c r="A74" s="38"/>
      <c r="B74" s="16"/>
      <c r="C74" s="172" t="s">
        <v>105</v>
      </c>
      <c r="D74" s="153">
        <f>D43</f>
        <v>59670</v>
      </c>
      <c r="E74" s="153">
        <f t="shared" ref="E74:F74" si="5">E43</f>
        <v>57691.199999999997</v>
      </c>
      <c r="F74" s="165">
        <f t="shared" si="5"/>
        <v>58523.7</v>
      </c>
      <c r="G74" s="91"/>
      <c r="H74" s="34"/>
      <c r="I74" s="133"/>
      <c r="J74" s="134"/>
      <c r="K74" s="34"/>
      <c r="L74" s="34"/>
      <c r="O74" s="36"/>
      <c r="P74" s="82"/>
      <c r="Q74" s="82"/>
    </row>
    <row r="75" spans="1:17" ht="13.8" thickBot="1">
      <c r="A75" s="38"/>
      <c r="B75" s="16"/>
      <c r="C75" s="188" t="s">
        <v>106</v>
      </c>
      <c r="D75" s="189">
        <f>D69</f>
        <v>59487.25</v>
      </c>
      <c r="E75" s="189">
        <f t="shared" ref="E75:F75" si="6">E69</f>
        <v>57032.196903999989</v>
      </c>
      <c r="F75" s="190">
        <f t="shared" si="6"/>
        <v>59545.358324783243</v>
      </c>
      <c r="G75" s="91"/>
      <c r="H75" s="34"/>
      <c r="I75" s="133"/>
      <c r="J75" s="134"/>
      <c r="K75" s="34"/>
      <c r="L75" s="34"/>
      <c r="O75" s="36"/>
      <c r="P75" s="82"/>
      <c r="Q75" s="82"/>
    </row>
    <row r="76" spans="1:17">
      <c r="A76" s="38"/>
      <c r="B76" s="16"/>
      <c r="C76" s="98"/>
      <c r="D76" s="157"/>
      <c r="E76" s="157"/>
      <c r="F76" s="157"/>
      <c r="G76" s="91"/>
      <c r="H76" s="34"/>
      <c r="I76" s="34"/>
      <c r="J76" s="34"/>
      <c r="K76" s="34"/>
      <c r="L76" s="34"/>
      <c r="O76" s="36"/>
      <c r="P76" s="82"/>
      <c r="Q76" s="82"/>
    </row>
    <row r="77" spans="1:17">
      <c r="C77" s="18" t="s">
        <v>118</v>
      </c>
      <c r="E77" s="11"/>
      <c r="F77" s="12"/>
      <c r="G77" s="12"/>
      <c r="H77" s="12"/>
      <c r="I77" s="12"/>
      <c r="J77" s="12"/>
      <c r="K77" s="12"/>
      <c r="L77" s="12"/>
    </row>
    <row r="78" spans="1:17">
      <c r="C78" s="5" t="s">
        <v>20</v>
      </c>
      <c r="F78" s="13"/>
      <c r="G78" s="13"/>
    </row>
    <row r="79" spans="1:17">
      <c r="C79" s="14" t="s">
        <v>4</v>
      </c>
      <c r="F79" s="13"/>
      <c r="G79" s="13"/>
      <c r="N79" s="34"/>
    </row>
    <row r="80" spans="1:17">
      <c r="C80" s="224">
        <f ca="1">TODAY()</f>
        <v>41940</v>
      </c>
      <c r="D80" s="224"/>
      <c r="E80" s="15"/>
      <c r="F80" s="13"/>
      <c r="G80" s="13"/>
      <c r="I80" s="115"/>
    </row>
    <row r="81" spans="1:17">
      <c r="C81" s="16"/>
      <c r="D81" s="13" t="s">
        <v>0</v>
      </c>
      <c r="F81" s="13"/>
      <c r="G81" s="13"/>
    </row>
    <row r="82" spans="1:17">
      <c r="C82" s="116" t="s">
        <v>2</v>
      </c>
      <c r="E82" s="17"/>
      <c r="F82" s="17"/>
      <c r="G82" s="17"/>
      <c r="H82" s="17"/>
      <c r="I82" s="17"/>
      <c r="J82" s="17"/>
      <c r="K82" s="17"/>
      <c r="L82" s="17"/>
    </row>
    <row r="83" spans="1:17" ht="8.4" customHeight="1">
      <c r="C83" s="220" t="s">
        <v>46</v>
      </c>
      <c r="D83" s="220"/>
      <c r="E83" s="220"/>
      <c r="F83" s="220"/>
      <c r="G83" s="220"/>
      <c r="H83" s="220"/>
      <c r="I83" s="220"/>
      <c r="J83" s="220"/>
      <c r="K83" s="220"/>
      <c r="L83" s="110"/>
      <c r="M83" s="110"/>
    </row>
    <row r="84" spans="1:17">
      <c r="C84" s="220"/>
      <c r="D84" s="220"/>
      <c r="E84" s="220"/>
      <c r="F84" s="220"/>
      <c r="G84" s="220"/>
      <c r="H84" s="220"/>
      <c r="I84" s="220"/>
      <c r="J84" s="220"/>
      <c r="K84" s="220"/>
      <c r="L84" s="110"/>
      <c r="M84" s="110"/>
    </row>
    <row r="85" spans="1:17">
      <c r="C85" s="220" t="s">
        <v>47</v>
      </c>
      <c r="D85" s="220"/>
      <c r="E85" s="220"/>
      <c r="F85" s="220"/>
      <c r="G85" s="220"/>
      <c r="H85" s="220"/>
      <c r="I85" s="220"/>
      <c r="J85" s="220"/>
      <c r="K85" s="220"/>
      <c r="L85" s="110"/>
      <c r="M85" s="110"/>
    </row>
    <row r="86" spans="1:17">
      <c r="A86" s="38"/>
      <c r="B86" s="16"/>
      <c r="C86" s="98"/>
      <c r="D86" s="47"/>
      <c r="E86" s="47"/>
      <c r="F86" s="47"/>
      <c r="G86" s="91"/>
      <c r="O86" s="36"/>
      <c r="P86" s="82"/>
      <c r="Q86" s="82"/>
    </row>
    <row r="87" spans="1:17">
      <c r="A87" s="38"/>
      <c r="B87" s="16"/>
      <c r="C87" s="36"/>
      <c r="D87" s="6"/>
      <c r="E87" s="6"/>
      <c r="F87" s="6"/>
      <c r="G87" s="91"/>
      <c r="O87" s="36"/>
      <c r="P87" s="82"/>
      <c r="Q87" s="82"/>
    </row>
    <row r="88" spans="1:17">
      <c r="A88" s="38"/>
      <c r="B88" s="16"/>
      <c r="C88" s="36"/>
      <c r="D88" s="8"/>
      <c r="E88" s="8"/>
      <c r="F88" s="8"/>
      <c r="G88" s="91"/>
      <c r="O88" s="36"/>
      <c r="P88" s="82"/>
      <c r="Q88" s="82"/>
    </row>
    <row r="89" spans="1:17">
      <c r="A89" s="38"/>
      <c r="B89" s="16"/>
      <c r="C89" s="35"/>
      <c r="D89" s="19"/>
      <c r="E89" s="19"/>
      <c r="F89" s="99"/>
      <c r="G89" s="91"/>
      <c r="O89" s="36"/>
      <c r="P89" s="82"/>
      <c r="Q89" s="82"/>
    </row>
    <row r="90" spans="1:17">
      <c r="A90" s="38"/>
      <c r="B90" s="16"/>
      <c r="C90" s="35"/>
      <c r="D90" s="82"/>
      <c r="E90" s="8"/>
      <c r="F90" s="22"/>
      <c r="G90" s="91"/>
      <c r="O90" s="36"/>
      <c r="P90" s="82"/>
      <c r="Q90" s="82"/>
    </row>
    <row r="91" spans="1:17">
      <c r="A91" s="38"/>
      <c r="B91" s="16"/>
      <c r="C91" s="35"/>
      <c r="D91" s="22"/>
      <c r="E91" s="22"/>
      <c r="F91" s="22"/>
      <c r="G91" s="91"/>
      <c r="O91" s="36"/>
      <c r="P91" s="82"/>
      <c r="Q91" s="82"/>
    </row>
    <row r="92" spans="1:17">
      <c r="A92" s="38"/>
      <c r="B92" s="16"/>
      <c r="C92" s="35"/>
      <c r="D92" s="22"/>
      <c r="E92" s="22"/>
      <c r="F92" s="54"/>
      <c r="G92" s="91"/>
      <c r="O92" s="36"/>
      <c r="P92" s="82"/>
      <c r="Q92" s="82"/>
    </row>
    <row r="93" spans="1:17">
      <c r="A93" s="38"/>
      <c r="B93" s="16"/>
      <c r="C93" s="35"/>
      <c r="D93" s="77"/>
      <c r="E93" s="100"/>
      <c r="F93" s="68"/>
      <c r="G93" s="91"/>
      <c r="O93" s="36"/>
      <c r="P93" s="82"/>
      <c r="Q93" s="82"/>
    </row>
    <row r="94" spans="1:17">
      <c r="A94" s="38"/>
      <c r="B94" s="16"/>
      <c r="C94" s="35"/>
      <c r="D94" s="101"/>
      <c r="E94" s="101"/>
      <c r="F94" s="71"/>
      <c r="G94" s="91"/>
      <c r="O94" s="36"/>
      <c r="P94" s="82"/>
      <c r="Q94" s="82"/>
    </row>
    <row r="95" spans="1:17">
      <c r="A95" s="38"/>
      <c r="B95" s="16"/>
      <c r="C95" s="35"/>
      <c r="D95" s="36"/>
      <c r="E95" s="101"/>
      <c r="F95" s="75"/>
      <c r="G95" s="91"/>
      <c r="O95" s="36"/>
      <c r="P95" s="82"/>
      <c r="Q95" s="82"/>
    </row>
    <row r="96" spans="1:17">
      <c r="A96" s="38"/>
      <c r="B96" s="16"/>
      <c r="C96" s="35"/>
      <c r="D96" s="36"/>
      <c r="E96" s="68"/>
      <c r="F96" s="77"/>
      <c r="G96" s="91"/>
      <c r="O96" s="36"/>
      <c r="P96" s="82"/>
      <c r="Q96" s="82"/>
    </row>
    <row r="97" spans="1:17">
      <c r="A97" s="38"/>
      <c r="B97" s="16"/>
      <c r="C97" s="35"/>
      <c r="D97" s="82"/>
      <c r="E97" s="82"/>
      <c r="F97" s="80"/>
      <c r="G97" s="91"/>
      <c r="O97" s="36"/>
      <c r="P97" s="82"/>
      <c r="Q97" s="82"/>
    </row>
    <row r="98" spans="1:17">
      <c r="A98" s="38"/>
      <c r="B98" s="16"/>
      <c r="C98" s="35"/>
      <c r="D98" s="82"/>
      <c r="E98" s="82"/>
      <c r="F98" s="80"/>
      <c r="G98" s="91"/>
      <c r="O98" s="36"/>
      <c r="P98" s="82"/>
      <c r="Q98" s="82"/>
    </row>
    <row r="99" spans="1:17">
      <c r="A99" s="38"/>
      <c r="B99" s="16"/>
      <c r="C99" s="35"/>
      <c r="D99" s="102"/>
      <c r="E99" s="102"/>
      <c r="F99" s="102"/>
      <c r="G99" s="91"/>
      <c r="O99" s="36"/>
      <c r="P99" s="82"/>
      <c r="Q99" s="82"/>
    </row>
    <row r="100" spans="1:17">
      <c r="A100" s="38"/>
      <c r="B100" s="16"/>
      <c r="C100" s="35"/>
      <c r="D100" s="102"/>
      <c r="E100" s="102"/>
      <c r="F100" s="102"/>
      <c r="G100" s="91"/>
      <c r="O100" s="36"/>
      <c r="P100" s="82"/>
      <c r="Q100" s="82"/>
    </row>
    <row r="101" spans="1:17">
      <c r="A101" s="38"/>
      <c r="B101" s="16"/>
      <c r="C101" s="35"/>
      <c r="D101" s="103"/>
      <c r="E101" s="104"/>
      <c r="F101" s="102"/>
      <c r="G101" s="91"/>
      <c r="O101" s="36"/>
      <c r="P101" s="82"/>
      <c r="Q101" s="82"/>
    </row>
    <row r="102" spans="1:17">
      <c r="A102" s="38"/>
      <c r="B102" s="16"/>
      <c r="C102" s="35"/>
      <c r="D102" s="103"/>
      <c r="E102" s="102"/>
      <c r="F102" s="102"/>
      <c r="G102" s="91"/>
      <c r="O102" s="36"/>
      <c r="P102" s="82"/>
      <c r="Q102" s="82"/>
    </row>
    <row r="103" spans="1:17">
      <c r="A103" s="38"/>
      <c r="B103" s="16"/>
      <c r="C103" s="35"/>
      <c r="D103" s="105"/>
      <c r="E103" s="85"/>
      <c r="F103" s="85"/>
      <c r="G103" s="91"/>
      <c r="O103" s="36"/>
      <c r="P103" s="82"/>
      <c r="Q103" s="82"/>
    </row>
    <row r="104" spans="1:17">
      <c r="A104" s="38"/>
      <c r="B104" s="16"/>
      <c r="C104" s="35"/>
      <c r="D104" s="105"/>
      <c r="E104" s="105"/>
      <c r="F104" s="105"/>
      <c r="G104" s="91"/>
      <c r="O104" s="36"/>
      <c r="P104" s="82"/>
      <c r="Q104" s="82"/>
    </row>
    <row r="105" spans="1:17">
      <c r="A105" s="38"/>
      <c r="B105" s="16"/>
      <c r="C105" s="35"/>
      <c r="D105" s="106"/>
      <c r="E105" s="88"/>
      <c r="F105" s="88"/>
      <c r="G105" s="91"/>
      <c r="O105" s="36"/>
      <c r="P105" s="82"/>
      <c r="Q105" s="82"/>
    </row>
    <row r="106" spans="1:17">
      <c r="A106" s="38"/>
      <c r="B106" s="16"/>
      <c r="C106" s="35"/>
      <c r="D106" s="106"/>
      <c r="E106" s="88"/>
      <c r="F106" s="88"/>
      <c r="G106" s="91"/>
      <c r="O106" s="36"/>
      <c r="P106" s="82"/>
      <c r="Q106" s="82"/>
    </row>
    <row r="107" spans="1:17">
      <c r="A107" s="38"/>
      <c r="B107" s="16"/>
      <c r="C107" s="35"/>
      <c r="D107" s="103"/>
      <c r="E107" s="91"/>
      <c r="F107" s="91"/>
      <c r="G107" s="91"/>
      <c r="O107" s="36"/>
      <c r="P107" s="82"/>
      <c r="Q107" s="82"/>
    </row>
    <row r="108" spans="1:17">
      <c r="A108" s="38"/>
      <c r="B108" s="16"/>
      <c r="C108" s="35"/>
      <c r="D108" s="103"/>
      <c r="E108" s="91"/>
      <c r="F108" s="91"/>
      <c r="G108" s="91"/>
      <c r="O108" s="36"/>
      <c r="P108" s="82"/>
      <c r="Q108" s="82"/>
    </row>
    <row r="109" spans="1:17">
      <c r="A109" s="38"/>
      <c r="B109" s="16"/>
      <c r="C109" s="36"/>
      <c r="D109" s="103"/>
      <c r="E109" s="91"/>
      <c r="F109" s="88"/>
      <c r="G109" s="91"/>
      <c r="O109" s="36"/>
      <c r="P109" s="82"/>
      <c r="Q109" s="82"/>
    </row>
    <row r="110" spans="1:17">
      <c r="A110" s="38"/>
      <c r="B110" s="16"/>
      <c r="C110" s="107"/>
      <c r="D110" s="93"/>
      <c r="E110" s="93"/>
      <c r="F110" s="93"/>
      <c r="G110" s="91"/>
      <c r="O110" s="36"/>
      <c r="P110" s="82"/>
      <c r="Q110" s="82"/>
    </row>
    <row r="111" spans="1:17">
      <c r="A111" s="38"/>
      <c r="C111" s="35"/>
      <c r="D111" s="1"/>
      <c r="E111" s="1"/>
      <c r="F111" s="1"/>
      <c r="G111" s="1"/>
      <c r="O111" s="36"/>
      <c r="P111" s="41"/>
      <c r="Q111" s="41"/>
    </row>
  </sheetData>
  <sheetProtection sheet="1" objects="1" scenarios="1"/>
  <mergeCells count="7">
    <mergeCell ref="C85:K85"/>
    <mergeCell ref="I11:K11"/>
    <mergeCell ref="C3:G3"/>
    <mergeCell ref="D10:E10"/>
    <mergeCell ref="C80:D80"/>
    <mergeCell ref="C83:K84"/>
    <mergeCell ref="D11:E11"/>
  </mergeCells>
  <phoneticPr fontId="3" type="noConversion"/>
  <conditionalFormatting sqref="D17:D18">
    <cfRule type="cellIs" dxfId="3" priority="2" operator="equal">
      <formula>0.17</formula>
    </cfRule>
  </conditionalFormatting>
  <conditionalFormatting sqref="D71:F71">
    <cfRule type="containsErrors" dxfId="2" priority="1">
      <formula>ISERROR(D71)</formula>
    </cfRule>
  </conditionalFormatting>
  <dataValidations xWindow="1556" yWindow="654" count="3">
    <dataValidation allowBlank="1" showInputMessage="1" showErrorMessage="1" prompt="Initial cost of drying system, excluding bins used for storage." sqref="I19"/>
    <dataValidation allowBlank="1" showInputMessage="1" showErrorMessage="1" prompt="Divide the hours that a person is needed to operate the drying system by the total hours the system is in use." sqref="I15"/>
    <dataValidation allowBlank="1" showInputMessage="1" showErrorMessage="1" prompt="Use rate paid to hired labor, or estimated value of operator labor." sqref="I14"/>
  </dataValidations>
  <hyperlinks>
    <hyperlink ref="C78" r:id="rId1"/>
    <hyperlink ref="C3" r:id="rId2" display="Crop Production Cost Budgets has more information on the cost and returns for growing a corn crop after a previous crop of corn."/>
    <hyperlink ref="C3:G3" r:id="rId3" display="Cost of Storing Grain has more information on the costs of storing grain past harvest in commercial storage or an existing farm facility."/>
  </hyperlinks>
  <pageMargins left="0.25" right="0.25" top="0.75" bottom="0.75" header="0.3" footer="0.3"/>
  <pageSetup scale="55" orientation="portrait" r:id="rId4"/>
  <headerFooter alignWithMargins="0">
    <oddHeader>&amp;LIowa State University Extension and Outreach&amp;RAg Decision Maker Decision Tool A2-32</oddHeader>
  </headerFooter>
  <rowBreaks count="1" manualBreakCount="1">
    <brk id="43" min="1" max="10" man="1"/>
  </rowBreaks>
  <drawing r:id="rId5"/>
  <legacyDrawing r:id="rId6"/>
  <mc:AlternateContent xmlns:mc="http://schemas.openxmlformats.org/markup-compatibility/2006">
    <mc:Choice Requires="x14">
      <controls>
        <mc:AlternateContent xmlns:mc="http://schemas.openxmlformats.org/markup-compatibility/2006">
          <mc:Choice Requires="x14">
            <control shapeId="1154" r:id="rId7" name="Drop Down 130">
              <controlPr defaultSize="0" autoLine="0" autoPict="0">
                <anchor moveWithCells="1">
                  <from>
                    <xdr:col>3</xdr:col>
                    <xdr:colOff>0</xdr:colOff>
                    <xdr:row>9</xdr:row>
                    <xdr:rowOff>137160</xdr:rowOff>
                  </from>
                  <to>
                    <xdr:col>5</xdr:col>
                    <xdr:colOff>121920</xdr:colOff>
                    <xdr:row>11</xdr:row>
                    <xdr:rowOff>0</xdr:rowOff>
                  </to>
                </anchor>
              </controlPr>
            </control>
          </mc:Choice>
        </mc:AlternateContent>
        <mc:AlternateContent xmlns:mc="http://schemas.openxmlformats.org/markup-compatibility/2006">
          <mc:Choice Requires="x14">
            <control shapeId="1156" r:id="rId8" name="Drop Down 132">
              <controlPr defaultSize="0" autoLine="0" autoPict="0">
                <anchor moveWithCells="1">
                  <from>
                    <xdr:col>3</xdr:col>
                    <xdr:colOff>0</xdr:colOff>
                    <xdr:row>8</xdr:row>
                    <xdr:rowOff>99060</xdr:rowOff>
                  </from>
                  <to>
                    <xdr:col>5</xdr:col>
                    <xdr:colOff>121920</xdr:colOff>
                    <xdr:row>9</xdr:row>
                    <xdr:rowOff>137160</xdr:rowOff>
                  </to>
                </anchor>
              </controlPr>
            </control>
          </mc:Choice>
        </mc:AlternateContent>
        <mc:AlternateContent xmlns:mc="http://schemas.openxmlformats.org/markup-compatibility/2006">
          <mc:Choice Requires="x14">
            <control shapeId="1157" r:id="rId9" name="Drop Down 133">
              <controlPr defaultSize="0" autoLine="0" autoPict="0">
                <anchor moveWithCells="1">
                  <from>
                    <xdr:col>8</xdr:col>
                    <xdr:colOff>0</xdr:colOff>
                    <xdr:row>9</xdr:row>
                    <xdr:rowOff>121920</xdr:rowOff>
                  </from>
                  <to>
                    <xdr:col>11</xdr:col>
                    <xdr:colOff>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Q111"/>
  <sheetViews>
    <sheetView showGridLines="0" zoomScaleNormal="100" zoomScaleSheetLayoutView="100" workbookViewId="0"/>
  </sheetViews>
  <sheetFormatPr defaultColWidth="9.109375" defaultRowHeight="13.2"/>
  <cols>
    <col min="1" max="1" width="1.6640625" style="33" customWidth="1"/>
    <col min="2" max="2" width="1.6640625" style="13" customWidth="1"/>
    <col min="3" max="3" width="55.6640625" style="13" customWidth="1"/>
    <col min="4" max="5" width="16.6640625" style="13" customWidth="1"/>
    <col min="6" max="6" width="16.6640625" style="36" customWidth="1"/>
    <col min="7" max="7" width="5.6640625" style="36" customWidth="1"/>
    <col min="8" max="8" width="39" style="13" bestFit="1" customWidth="1"/>
    <col min="9" max="13" width="10.6640625" style="13" customWidth="1"/>
    <col min="14" max="15" width="9.109375" style="13"/>
    <col min="16" max="16" width="10.88671875" style="13" bestFit="1" customWidth="1"/>
    <col min="17" max="17" width="12" style="13" bestFit="1" customWidth="1"/>
    <col min="18" max="16384" width="9.109375" style="13"/>
  </cols>
  <sheetData>
    <row r="1" spans="1:17" s="109" customFormat="1" ht="18" thickBot="1">
      <c r="C1" s="117" t="s">
        <v>110</v>
      </c>
    </row>
    <row r="2" spans="1:17" ht="14.4" thickTop="1">
      <c r="A2" s="38"/>
      <c r="B2" s="16"/>
      <c r="C2" s="111" t="s">
        <v>107</v>
      </c>
      <c r="D2" s="39"/>
      <c r="E2" s="40"/>
      <c r="F2" s="41"/>
      <c r="G2" s="41"/>
      <c r="H2" s="40"/>
    </row>
    <row r="3" spans="1:17" ht="13.2" customHeight="1">
      <c r="A3" s="38"/>
      <c r="B3" s="16"/>
      <c r="C3" s="223" t="s">
        <v>111</v>
      </c>
      <c r="D3" s="223"/>
      <c r="E3" s="223"/>
      <c r="F3" s="223"/>
      <c r="G3" s="223"/>
      <c r="H3" s="112"/>
      <c r="I3" s="112"/>
      <c r="J3" s="112"/>
    </row>
    <row r="4" spans="1:17">
      <c r="A4" s="38"/>
      <c r="B4" s="16"/>
      <c r="C4" s="217"/>
      <c r="D4" s="217"/>
      <c r="E4" s="217"/>
      <c r="F4" s="114"/>
      <c r="G4" s="114"/>
      <c r="H4" s="217"/>
      <c r="I4" s="112"/>
      <c r="J4" s="112"/>
    </row>
    <row r="5" spans="1:17" ht="12" customHeight="1">
      <c r="A5" s="38"/>
      <c r="B5" s="16"/>
      <c r="C5" s="2" t="s">
        <v>1</v>
      </c>
      <c r="D5" s="2"/>
      <c r="E5" s="2"/>
      <c r="F5" s="4"/>
      <c r="G5" s="4"/>
      <c r="H5" s="2"/>
    </row>
    <row r="6" spans="1:17">
      <c r="A6" s="38"/>
      <c r="B6" s="16"/>
      <c r="C6" s="10" t="s">
        <v>3</v>
      </c>
      <c r="D6" s="3"/>
      <c r="E6" s="3"/>
      <c r="F6" s="3"/>
      <c r="G6" s="3"/>
      <c r="H6" s="3"/>
    </row>
    <row r="7" spans="1:17" ht="13.8" thickBot="1">
      <c r="A7" s="38"/>
      <c r="B7" s="16"/>
      <c r="C7" s="3"/>
      <c r="D7" s="3"/>
      <c r="E7" s="3"/>
      <c r="F7" s="3"/>
      <c r="G7" s="3"/>
      <c r="H7" s="3"/>
    </row>
    <row r="8" spans="1:17">
      <c r="A8" s="38"/>
      <c r="B8" s="16"/>
      <c r="C8" s="42" t="s">
        <v>29</v>
      </c>
      <c r="D8" s="43"/>
      <c r="E8" s="43"/>
      <c r="F8" s="44"/>
      <c r="G8" s="45"/>
      <c r="H8" s="42" t="s">
        <v>116</v>
      </c>
      <c r="I8" s="43"/>
      <c r="J8" s="43"/>
      <c r="K8" s="46"/>
      <c r="O8" s="36"/>
      <c r="P8" s="47"/>
      <c r="Q8" s="47"/>
    </row>
    <row r="9" spans="1:17">
      <c r="A9" s="38"/>
      <c r="B9" s="16"/>
      <c r="C9" s="118"/>
      <c r="D9" s="34"/>
      <c r="E9" s="34"/>
      <c r="F9" s="119"/>
      <c r="G9" s="45"/>
      <c r="H9" s="118"/>
      <c r="I9" s="34"/>
      <c r="J9" s="34"/>
      <c r="K9" s="49"/>
      <c r="O9" s="36"/>
      <c r="P9" s="47"/>
      <c r="Q9" s="47"/>
    </row>
    <row r="10" spans="1:17">
      <c r="A10" s="38"/>
      <c r="B10" s="16"/>
      <c r="C10" s="50" t="s">
        <v>60</v>
      </c>
      <c r="D10" s="221"/>
      <c r="E10" s="221"/>
      <c r="F10" s="123">
        <v>2</v>
      </c>
      <c r="G10" s="6"/>
      <c r="H10" s="48"/>
      <c r="I10" s="34"/>
      <c r="J10" s="9">
        <v>5</v>
      </c>
      <c r="K10" s="49"/>
      <c r="O10" s="36"/>
      <c r="P10" s="6"/>
      <c r="Q10" s="6"/>
    </row>
    <row r="11" spans="1:17">
      <c r="A11" s="38"/>
      <c r="B11" s="16"/>
      <c r="C11" s="48" t="s">
        <v>61</v>
      </c>
      <c r="D11" s="225"/>
      <c r="E11" s="225"/>
      <c r="F11" s="123">
        <v>2</v>
      </c>
      <c r="H11" s="48" t="s">
        <v>102</v>
      </c>
      <c r="I11" s="221"/>
      <c r="J11" s="221"/>
      <c r="K11" s="222"/>
      <c r="O11" s="36"/>
      <c r="P11" s="19"/>
      <c r="Q11" s="19"/>
    </row>
    <row r="12" spans="1:17">
      <c r="A12" s="38"/>
      <c r="B12" s="16"/>
      <c r="C12" s="51" t="s">
        <v>36</v>
      </c>
      <c r="D12" s="193"/>
      <c r="E12" s="52" t="s">
        <v>30</v>
      </c>
      <c r="F12" s="120" t="s">
        <v>56</v>
      </c>
      <c r="G12" s="34"/>
      <c r="H12" s="48" t="s">
        <v>9</v>
      </c>
      <c r="I12" s="21"/>
      <c r="J12" s="34"/>
      <c r="K12" s="49"/>
      <c r="O12" s="36"/>
      <c r="P12" s="19"/>
      <c r="Q12" s="19"/>
    </row>
    <row r="13" spans="1:17">
      <c r="A13" s="38"/>
      <c r="B13" s="16"/>
      <c r="C13" s="48" t="s">
        <v>62</v>
      </c>
      <c r="D13" s="37"/>
      <c r="E13" s="52" t="s">
        <v>31</v>
      </c>
      <c r="F13" s="121" t="s">
        <v>57</v>
      </c>
      <c r="G13" s="22"/>
      <c r="H13" s="48" t="s">
        <v>10</v>
      </c>
      <c r="I13" s="20"/>
      <c r="J13" s="34"/>
      <c r="K13" s="49"/>
      <c r="O13" s="36"/>
      <c r="P13" s="22"/>
      <c r="Q13" s="22"/>
    </row>
    <row r="14" spans="1:17">
      <c r="A14" s="38"/>
      <c r="B14" s="16"/>
      <c r="C14" s="50" t="s">
        <v>33</v>
      </c>
      <c r="D14" s="7"/>
      <c r="E14" s="52" t="s">
        <v>32</v>
      </c>
      <c r="F14" s="122" t="s">
        <v>58</v>
      </c>
      <c r="G14" s="22"/>
      <c r="H14" s="48" t="s">
        <v>11</v>
      </c>
      <c r="I14" s="21"/>
      <c r="J14" s="34"/>
      <c r="K14" s="49"/>
      <c r="O14" s="36"/>
      <c r="P14" s="22"/>
      <c r="Q14" s="22"/>
    </row>
    <row r="15" spans="1:17">
      <c r="A15" s="38"/>
      <c r="B15" s="16"/>
      <c r="C15" s="50" t="s">
        <v>113</v>
      </c>
      <c r="D15" s="108"/>
      <c r="E15" s="192"/>
      <c r="F15" s="121" t="s">
        <v>59</v>
      </c>
      <c r="G15" s="22"/>
      <c r="H15" s="48" t="s">
        <v>12</v>
      </c>
      <c r="I15" s="23"/>
      <c r="J15" s="34"/>
      <c r="K15" s="49"/>
      <c r="O15" s="36"/>
      <c r="P15" s="22"/>
      <c r="Q15" s="22"/>
    </row>
    <row r="16" spans="1:17">
      <c r="A16" s="38"/>
      <c r="B16" s="16"/>
      <c r="C16" s="50" t="s">
        <v>48</v>
      </c>
      <c r="D16" s="22">
        <f>D14-CHOOSE(F10,0.003,0.006,0.01)*D15</f>
        <v>0</v>
      </c>
      <c r="E16" s="194"/>
      <c r="F16" s="195"/>
      <c r="G16" s="22"/>
      <c r="H16" s="48" t="s">
        <v>13</v>
      </c>
      <c r="I16" s="24"/>
      <c r="J16" s="34"/>
      <c r="K16" s="49"/>
      <c r="O16" s="36"/>
      <c r="P16" s="22"/>
      <c r="Q16" s="22"/>
    </row>
    <row r="17" spans="1:17">
      <c r="A17" s="38"/>
      <c r="B17" s="16"/>
      <c r="C17" s="51" t="s">
        <v>63</v>
      </c>
      <c r="D17" s="219">
        <f>ROUND(CHOOSE(F11,0.001,0.003,0.005,0.01)*D15*D13,0)</f>
        <v>0</v>
      </c>
      <c r="E17" s="34"/>
      <c r="F17" s="49"/>
      <c r="G17" s="54"/>
      <c r="H17" s="72" t="s">
        <v>100</v>
      </c>
      <c r="I17" s="176"/>
      <c r="J17" s="34"/>
      <c r="K17" s="49"/>
      <c r="O17" s="36"/>
      <c r="P17" s="54"/>
      <c r="Q17" s="54"/>
    </row>
    <row r="18" spans="1:17">
      <c r="A18" s="38"/>
      <c r="B18" s="16"/>
      <c r="C18" s="51" t="s">
        <v>115</v>
      </c>
      <c r="D18" s="219">
        <f>ROUND((1-((1-D14)/(1-D16)))*D13,0)</f>
        <v>0</v>
      </c>
      <c r="E18" s="34"/>
      <c r="F18" s="49"/>
      <c r="G18" s="54"/>
      <c r="H18" s="48" t="s">
        <v>14</v>
      </c>
      <c r="I18" s="26"/>
      <c r="J18" s="34"/>
      <c r="K18" s="49"/>
      <c r="O18" s="36"/>
      <c r="P18" s="54"/>
      <c r="Q18" s="54"/>
    </row>
    <row r="19" spans="1:17">
      <c r="A19" s="38"/>
      <c r="B19" s="16"/>
      <c r="C19" s="51" t="s">
        <v>34</v>
      </c>
      <c r="D19" s="218">
        <f>ROUND(D13-D18-D17,0)</f>
        <v>0</v>
      </c>
      <c r="E19" s="19"/>
      <c r="F19" s="55"/>
      <c r="G19" s="54"/>
      <c r="H19" s="48" t="s">
        <v>15</v>
      </c>
      <c r="I19" s="27"/>
      <c r="J19" s="34"/>
      <c r="K19" s="49"/>
      <c r="O19" s="36"/>
      <c r="P19" s="54"/>
      <c r="Q19" s="54"/>
    </row>
    <row r="20" spans="1:17">
      <c r="A20" s="38"/>
      <c r="B20" s="16"/>
      <c r="C20" s="48"/>
      <c r="D20" s="34"/>
      <c r="E20" s="22"/>
      <c r="F20" s="53"/>
      <c r="G20" s="54"/>
      <c r="H20" s="48"/>
      <c r="I20" s="34"/>
      <c r="J20" s="34"/>
      <c r="K20" s="49"/>
      <c r="O20" s="36"/>
      <c r="P20" s="54"/>
      <c r="Q20" s="54"/>
    </row>
    <row r="21" spans="1:17" ht="39.6">
      <c r="A21" s="38"/>
      <c r="B21" s="16"/>
      <c r="C21" s="57" t="s">
        <v>98</v>
      </c>
      <c r="D21" s="58" t="s">
        <v>6</v>
      </c>
      <c r="E21" s="59" t="s">
        <v>5</v>
      </c>
      <c r="F21" s="60" t="s">
        <v>44</v>
      </c>
      <c r="G21" s="54"/>
      <c r="H21" s="177" t="s">
        <v>25</v>
      </c>
      <c r="I21" s="62" t="s">
        <v>64</v>
      </c>
      <c r="J21" s="178"/>
      <c r="K21" s="56"/>
      <c r="O21" s="36"/>
      <c r="P21" s="54"/>
      <c r="Q21" s="54"/>
    </row>
    <row r="22" spans="1:17">
      <c r="A22" s="38"/>
      <c r="B22" s="16"/>
      <c r="C22" s="50" t="s">
        <v>43</v>
      </c>
      <c r="D22" s="25"/>
      <c r="E22" s="215"/>
      <c r="F22" s="216"/>
      <c r="G22" s="54"/>
      <c r="H22" s="48" t="s">
        <v>17</v>
      </c>
      <c r="I22" s="198">
        <f>0.01*IF(J10,CHOOSE(J10,0,0.5,0.98,0.98,0.96,0.98)*CHOOSE(J10,I33,I34,I35,I36,I37,I38)*0.72*I12/800,0)</f>
        <v>0</v>
      </c>
      <c r="J22" s="65"/>
      <c r="K22" s="49"/>
      <c r="O22" s="36"/>
      <c r="P22" s="54"/>
      <c r="Q22" s="54"/>
    </row>
    <row r="23" spans="1:17">
      <c r="A23" s="38"/>
      <c r="B23" s="16"/>
      <c r="C23" s="50" t="s">
        <v>26</v>
      </c>
      <c r="D23" s="136"/>
      <c r="E23" s="32"/>
      <c r="F23" s="162"/>
      <c r="G23" s="54"/>
      <c r="H23" s="48" t="s">
        <v>18</v>
      </c>
      <c r="I23" s="198">
        <f>0.01*IF(J10,CHOOSE(J10,0.5,0.5,0.02,0.02,0.04,0.02)*CHOOSE(J10,I33,I34,I35,I36,I37,I38)*0.72*100*I13/3413,0)</f>
        <v>0</v>
      </c>
      <c r="J23" s="34"/>
      <c r="K23" s="49"/>
      <c r="O23" s="36"/>
      <c r="P23" s="54"/>
      <c r="Q23" s="54"/>
    </row>
    <row r="24" spans="1:17">
      <c r="A24" s="38"/>
      <c r="B24" s="16"/>
      <c r="C24" s="50" t="s">
        <v>50</v>
      </c>
      <c r="D24" s="28"/>
      <c r="E24" s="63"/>
      <c r="F24" s="64"/>
      <c r="G24" s="54"/>
      <c r="H24" s="72" t="s">
        <v>16</v>
      </c>
      <c r="I24" s="200">
        <f>IF(I17&gt;0,IF(I18&gt;0,0.03*I19/I18,0)/I17,0)</f>
        <v>0</v>
      </c>
      <c r="J24" s="65"/>
      <c r="K24" s="49"/>
      <c r="O24" s="36"/>
      <c r="P24" s="54"/>
      <c r="Q24" s="54"/>
    </row>
    <row r="25" spans="1:17" ht="15">
      <c r="A25" s="38"/>
      <c r="B25" s="16"/>
      <c r="C25" s="50" t="s">
        <v>51</v>
      </c>
      <c r="D25" s="66"/>
      <c r="E25" s="132"/>
      <c r="F25" s="67"/>
      <c r="G25" s="68"/>
      <c r="H25" s="48" t="s">
        <v>65</v>
      </c>
      <c r="I25" s="198">
        <f>IF(I17&gt;0,0.01/I17,0)</f>
        <v>0</v>
      </c>
      <c r="J25" s="78"/>
      <c r="K25" s="49"/>
      <c r="L25" s="34"/>
      <c r="O25" s="36"/>
      <c r="P25" s="69"/>
      <c r="Q25" s="69"/>
    </row>
    <row r="26" spans="1:17" ht="15">
      <c r="A26" s="38"/>
      <c r="B26" s="16"/>
      <c r="C26" s="50" t="s">
        <v>67</v>
      </c>
      <c r="D26" s="70"/>
      <c r="E26" s="29"/>
      <c r="F26" s="140"/>
      <c r="G26" s="71"/>
      <c r="H26" s="48" t="s">
        <v>19</v>
      </c>
      <c r="I26" s="199">
        <f>IF(I17&gt;0,IF(I16&gt;0,I14*I15/I16,0)/I17,0)</f>
        <v>0</v>
      </c>
      <c r="J26" s="81"/>
      <c r="K26" s="49"/>
      <c r="L26" s="34"/>
      <c r="O26" s="36"/>
      <c r="P26" s="71"/>
      <c r="Q26" s="71"/>
    </row>
    <row r="27" spans="1:17">
      <c r="A27" s="38"/>
      <c r="B27" s="16"/>
      <c r="C27" s="50" t="s">
        <v>52</v>
      </c>
      <c r="D27" s="73"/>
      <c r="E27" s="74"/>
      <c r="F27" s="163"/>
      <c r="G27" s="214" t="s">
        <v>119</v>
      </c>
      <c r="H27" s="61" t="s">
        <v>42</v>
      </c>
      <c r="I27" s="201">
        <f>SUM(I21:I26)</f>
        <v>0</v>
      </c>
      <c r="J27" s="34"/>
      <c r="K27" s="49"/>
      <c r="L27" s="34"/>
      <c r="O27" s="36"/>
      <c r="P27" s="71"/>
      <c r="Q27" s="71"/>
    </row>
    <row r="28" spans="1:17">
      <c r="A28" s="38"/>
      <c r="B28" s="16"/>
      <c r="C28" s="51" t="s">
        <v>53</v>
      </c>
      <c r="D28" s="73"/>
      <c r="E28" s="76"/>
      <c r="F28" s="131"/>
      <c r="G28" s="77"/>
      <c r="H28" s="48"/>
      <c r="I28" s="34"/>
      <c r="J28" s="34"/>
      <c r="K28" s="49"/>
      <c r="L28" s="34"/>
      <c r="O28" s="36"/>
      <c r="P28" s="77"/>
      <c r="Q28" s="68"/>
    </row>
    <row r="29" spans="1:17">
      <c r="A29" s="38"/>
      <c r="B29" s="16"/>
      <c r="C29" s="50" t="s">
        <v>35</v>
      </c>
      <c r="D29" s="73"/>
      <c r="E29" s="79"/>
      <c r="F29" s="30"/>
      <c r="G29" s="80"/>
      <c r="H29" s="48"/>
      <c r="I29" s="34"/>
      <c r="J29" s="34"/>
      <c r="K29" s="49"/>
      <c r="L29" s="34"/>
      <c r="O29" s="36"/>
      <c r="P29" s="82"/>
      <c r="Q29" s="82"/>
    </row>
    <row r="30" spans="1:17" ht="12.75" customHeight="1">
      <c r="A30" s="38"/>
      <c r="B30" s="16"/>
      <c r="C30" s="50" t="s">
        <v>66</v>
      </c>
      <c r="D30" s="83"/>
      <c r="E30" s="84"/>
      <c r="F30" s="31"/>
      <c r="G30" s="80"/>
      <c r="H30" s="48"/>
      <c r="I30" s="86" t="s">
        <v>38</v>
      </c>
      <c r="J30" s="86" t="s">
        <v>39</v>
      </c>
      <c r="K30" s="49"/>
      <c r="L30" s="34"/>
      <c r="O30" s="36"/>
      <c r="P30" s="82"/>
      <c r="Q30" s="82"/>
    </row>
    <row r="31" spans="1:17">
      <c r="A31" s="38"/>
      <c r="B31" s="16"/>
      <c r="C31" s="185" t="s">
        <v>108</v>
      </c>
      <c r="D31" s="137"/>
      <c r="E31" s="138"/>
      <c r="F31" s="139"/>
      <c r="G31" s="80"/>
      <c r="H31" s="48"/>
      <c r="I31" s="86" t="s">
        <v>109</v>
      </c>
      <c r="J31" s="86" t="s">
        <v>40</v>
      </c>
      <c r="K31" s="49"/>
      <c r="L31" s="34"/>
      <c r="O31" s="36"/>
      <c r="P31" s="82"/>
      <c r="Q31" s="82"/>
    </row>
    <row r="32" spans="1:17">
      <c r="A32" s="38"/>
      <c r="B32" s="16"/>
      <c r="C32" s="50" t="s">
        <v>45</v>
      </c>
      <c r="D32" s="145">
        <f>D19*D12</f>
        <v>0</v>
      </c>
      <c r="E32" s="146">
        <f>D19*D12</f>
        <v>0</v>
      </c>
      <c r="F32" s="147">
        <f>D19*D12</f>
        <v>0</v>
      </c>
      <c r="G32" s="80"/>
      <c r="H32" s="118" t="s">
        <v>21</v>
      </c>
      <c r="I32" s="135" t="s">
        <v>37</v>
      </c>
      <c r="J32" s="135" t="s">
        <v>41</v>
      </c>
      <c r="K32" s="49"/>
      <c r="L32" s="34"/>
      <c r="O32" s="36"/>
      <c r="P32" s="82"/>
      <c r="Q32" s="82"/>
    </row>
    <row r="33" spans="1:17" s="129" customFormat="1" ht="12.75" customHeight="1">
      <c r="A33" s="124"/>
      <c r="B33" s="125"/>
      <c r="C33" s="126" t="s">
        <v>27</v>
      </c>
      <c r="D33" s="152" t="s">
        <v>117</v>
      </c>
      <c r="E33" s="148">
        <f>MAX(E32*(D16-E23)*100*E26,0)</f>
        <v>0</v>
      </c>
      <c r="F33" s="149">
        <f>(MAX(1-(1-D16)/(1-F23),0)+F30)*F32</f>
        <v>0</v>
      </c>
      <c r="G33" s="127"/>
      <c r="H33" s="48" t="s">
        <v>22</v>
      </c>
      <c r="I33" s="133">
        <v>1200</v>
      </c>
      <c r="J33" s="134">
        <v>0.5</v>
      </c>
      <c r="K33" s="49"/>
      <c r="L33" s="128"/>
      <c r="O33" s="130"/>
      <c r="P33" s="127"/>
      <c r="Q33" s="127"/>
    </row>
    <row r="34" spans="1:17">
      <c r="A34" s="38"/>
      <c r="B34" s="16"/>
      <c r="C34" s="50" t="s">
        <v>28</v>
      </c>
      <c r="D34" s="151">
        <f>D32</f>
        <v>0</v>
      </c>
      <c r="E34" s="146">
        <f>E32-E33</f>
        <v>0</v>
      </c>
      <c r="F34" s="147">
        <f>F32-F33</f>
        <v>0</v>
      </c>
      <c r="G34" s="85"/>
      <c r="H34" s="48" t="s">
        <v>23</v>
      </c>
      <c r="I34" s="133">
        <v>1500</v>
      </c>
      <c r="J34" s="134">
        <v>0.5</v>
      </c>
      <c r="K34" s="49"/>
      <c r="L34" s="34"/>
      <c r="O34" s="36"/>
      <c r="P34" s="82"/>
      <c r="Q34" s="82"/>
    </row>
    <row r="35" spans="1:17">
      <c r="A35" s="38"/>
      <c r="B35" s="16"/>
      <c r="C35" s="50"/>
      <c r="D35" s="87"/>
      <c r="E35" s="142"/>
      <c r="F35" s="143"/>
      <c r="G35" s="85"/>
      <c r="H35" s="48" t="s">
        <v>24</v>
      </c>
      <c r="I35" s="133">
        <v>1800</v>
      </c>
      <c r="J35" s="134">
        <v>0.02</v>
      </c>
      <c r="K35" s="49"/>
      <c r="L35" s="34"/>
      <c r="O35" s="36"/>
      <c r="P35" s="82"/>
      <c r="Q35" s="82"/>
    </row>
    <row r="36" spans="1:17">
      <c r="A36" s="38"/>
      <c r="B36" s="16"/>
      <c r="C36" s="50" t="s">
        <v>69</v>
      </c>
      <c r="D36" s="141">
        <f>D32*D22</f>
        <v>0</v>
      </c>
      <c r="E36" s="142">
        <f>E34*E22</f>
        <v>0</v>
      </c>
      <c r="F36" s="143">
        <f>F34*F22</f>
        <v>0</v>
      </c>
      <c r="G36" s="88"/>
      <c r="H36" s="48" t="s">
        <v>8</v>
      </c>
      <c r="I36" s="133">
        <v>1800</v>
      </c>
      <c r="J36" s="134">
        <v>0.02</v>
      </c>
      <c r="K36" s="49"/>
      <c r="L36" s="34"/>
      <c r="O36" s="36"/>
      <c r="P36" s="82"/>
      <c r="Q36" s="82"/>
    </row>
    <row r="37" spans="1:17">
      <c r="A37" s="38"/>
      <c r="B37" s="16"/>
      <c r="C37" s="50" t="s">
        <v>49</v>
      </c>
      <c r="D37" s="87">
        <f>MAX(D24*D22*(D16-D23)*100,0)</f>
        <v>0</v>
      </c>
      <c r="E37" s="89"/>
      <c r="F37" s="90"/>
      <c r="G37" s="88"/>
      <c r="H37" s="48" t="s">
        <v>7</v>
      </c>
      <c r="I37" s="133">
        <v>2000</v>
      </c>
      <c r="J37" s="134">
        <v>0.04</v>
      </c>
      <c r="K37" s="49"/>
      <c r="L37" s="34"/>
      <c r="O37" s="36"/>
      <c r="P37" s="82"/>
      <c r="Q37" s="82"/>
    </row>
    <row r="38" spans="1:17">
      <c r="A38" s="38"/>
      <c r="B38" s="16"/>
      <c r="C38" s="50" t="s">
        <v>70</v>
      </c>
      <c r="D38" s="144">
        <f>D32*D37</f>
        <v>0</v>
      </c>
      <c r="E38" s="89"/>
      <c r="F38" s="90"/>
      <c r="G38" s="91"/>
      <c r="H38" s="180" t="s">
        <v>55</v>
      </c>
      <c r="I38" s="181">
        <v>2500</v>
      </c>
      <c r="J38" s="182">
        <v>0.02</v>
      </c>
      <c r="K38" s="183"/>
      <c r="L38" s="34"/>
      <c r="O38" s="36"/>
      <c r="P38" s="82"/>
      <c r="Q38" s="82"/>
    </row>
    <row r="39" spans="1:17" ht="13.8" thickBot="1">
      <c r="A39" s="38"/>
      <c r="B39" s="16"/>
      <c r="C39" s="50" t="s">
        <v>54</v>
      </c>
      <c r="D39" s="92"/>
      <c r="E39" s="79">
        <f>MAX(E25*(D16-E23)*100,0)</f>
        <v>0</v>
      </c>
      <c r="F39" s="67">
        <f>MAX(F27*(D16-F23)*100,0)</f>
        <v>0</v>
      </c>
      <c r="G39" s="91"/>
      <c r="H39" s="184" t="s">
        <v>68</v>
      </c>
      <c r="I39" s="179"/>
      <c r="J39" s="179"/>
      <c r="K39" s="97"/>
      <c r="L39" s="34"/>
      <c r="O39" s="36"/>
      <c r="P39" s="82"/>
      <c r="Q39" s="82"/>
    </row>
    <row r="40" spans="1:17">
      <c r="A40" s="38"/>
      <c r="B40" s="16"/>
      <c r="C40" s="50" t="s">
        <v>71</v>
      </c>
      <c r="D40" s="92"/>
      <c r="E40" s="142">
        <f>E39*E32</f>
        <v>0</v>
      </c>
      <c r="F40" s="143">
        <f>F39*F32</f>
        <v>0</v>
      </c>
      <c r="G40" s="88"/>
      <c r="L40" s="34"/>
      <c r="O40" s="36"/>
      <c r="P40" s="82"/>
      <c r="Q40" s="82"/>
    </row>
    <row r="41" spans="1:17">
      <c r="A41" s="38"/>
      <c r="B41" s="16"/>
      <c r="C41" s="72" t="s">
        <v>72</v>
      </c>
      <c r="D41" s="92"/>
      <c r="E41" s="142"/>
      <c r="F41" s="150">
        <f>F29*F28*F32</f>
        <v>0</v>
      </c>
      <c r="G41" s="93"/>
      <c r="L41" s="34"/>
      <c r="O41" s="36"/>
      <c r="P41" s="82"/>
      <c r="Q41" s="82"/>
    </row>
    <row r="42" spans="1:17">
      <c r="A42" s="38"/>
      <c r="B42" s="16"/>
      <c r="C42" s="72" t="s">
        <v>91</v>
      </c>
      <c r="D42" s="161">
        <f t="shared" ref="D42:F42" si="0">D38+D40+D41</f>
        <v>0</v>
      </c>
      <c r="E42" s="161">
        <f t="shared" si="0"/>
        <v>0</v>
      </c>
      <c r="F42" s="164">
        <f t="shared" si="0"/>
        <v>0</v>
      </c>
      <c r="G42" s="93"/>
      <c r="L42" s="34"/>
      <c r="O42" s="36"/>
      <c r="P42" s="82"/>
      <c r="Q42" s="82"/>
    </row>
    <row r="43" spans="1:17">
      <c r="A43" s="38"/>
      <c r="B43" s="16"/>
      <c r="C43" s="94" t="s">
        <v>73</v>
      </c>
      <c r="D43" s="95">
        <f t="shared" ref="D43:F43" si="1">D36-D42</f>
        <v>0</v>
      </c>
      <c r="E43" s="95">
        <f t="shared" si="1"/>
        <v>0</v>
      </c>
      <c r="F43" s="96">
        <f t="shared" si="1"/>
        <v>0</v>
      </c>
      <c r="G43" s="91"/>
      <c r="L43" s="34"/>
      <c r="O43" s="36"/>
      <c r="P43" s="82"/>
      <c r="Q43" s="82"/>
    </row>
    <row r="44" spans="1:17" ht="39.6">
      <c r="A44" s="38"/>
      <c r="B44" s="16"/>
      <c r="C44" s="166" t="s">
        <v>99</v>
      </c>
      <c r="D44" s="58" t="s">
        <v>96</v>
      </c>
      <c r="E44" s="59" t="s">
        <v>95</v>
      </c>
      <c r="F44" s="60" t="s">
        <v>94</v>
      </c>
      <c r="G44" s="91"/>
      <c r="H44" s="34"/>
      <c r="I44" s="133"/>
      <c r="J44" s="134"/>
      <c r="K44" s="34"/>
      <c r="L44" s="34"/>
      <c r="O44" s="36"/>
      <c r="P44" s="82"/>
      <c r="Q44" s="82"/>
    </row>
    <row r="45" spans="1:17">
      <c r="A45" s="38"/>
      <c r="B45" s="16"/>
      <c r="C45" s="51" t="s">
        <v>89</v>
      </c>
      <c r="D45" s="196"/>
      <c r="E45" s="196"/>
      <c r="F45" s="197"/>
      <c r="G45" s="91"/>
      <c r="H45" s="34"/>
      <c r="I45" s="133"/>
      <c r="J45" s="134"/>
      <c r="K45" s="34"/>
      <c r="L45" s="34"/>
      <c r="O45" s="36"/>
      <c r="P45" s="82"/>
      <c r="Q45" s="82"/>
    </row>
    <row r="46" spans="1:17">
      <c r="A46" s="38"/>
      <c r="B46" s="16"/>
      <c r="C46" s="51" t="s">
        <v>114</v>
      </c>
      <c r="D46" s="159"/>
      <c r="E46" s="160"/>
      <c r="F46" s="167"/>
      <c r="G46" s="91"/>
      <c r="H46" s="34"/>
      <c r="I46" s="133"/>
      <c r="J46" s="134"/>
      <c r="K46" s="34"/>
      <c r="L46" s="34"/>
      <c r="O46" s="36"/>
      <c r="P46" s="82"/>
      <c r="Q46" s="82"/>
    </row>
    <row r="47" spans="1:17">
      <c r="A47" s="38"/>
      <c r="B47" s="16"/>
      <c r="C47" s="50" t="s">
        <v>79</v>
      </c>
      <c r="D47" s="202"/>
      <c r="E47" s="202"/>
      <c r="F47" s="206"/>
      <c r="G47" s="91"/>
      <c r="H47" s="34"/>
      <c r="I47" s="133"/>
      <c r="J47" s="134"/>
      <c r="K47" s="34"/>
      <c r="L47" s="34"/>
      <c r="O47" s="36"/>
      <c r="P47" s="82"/>
      <c r="Q47" s="82"/>
    </row>
    <row r="48" spans="1:17">
      <c r="A48" s="38"/>
      <c r="B48" s="16"/>
      <c r="C48" s="50" t="s">
        <v>88</v>
      </c>
      <c r="D48" s="203"/>
      <c r="E48" s="203"/>
      <c r="F48" s="168"/>
      <c r="G48" s="91"/>
      <c r="H48" s="34"/>
      <c r="I48" s="133"/>
      <c r="J48" s="134"/>
      <c r="K48" s="34"/>
      <c r="L48" s="34"/>
      <c r="O48" s="36"/>
      <c r="P48" s="82"/>
      <c r="Q48" s="82"/>
    </row>
    <row r="49" spans="1:17">
      <c r="A49" s="38"/>
      <c r="B49" s="16"/>
      <c r="C49" s="50" t="s">
        <v>74</v>
      </c>
      <c r="D49" s="204"/>
      <c r="E49" s="204"/>
      <c r="F49" s="168"/>
      <c r="G49" s="91"/>
      <c r="H49" s="34"/>
      <c r="I49" s="133"/>
      <c r="J49" s="134"/>
      <c r="K49" s="34"/>
      <c r="L49" s="34"/>
      <c r="O49" s="36"/>
      <c r="P49" s="82"/>
      <c r="Q49" s="82"/>
    </row>
    <row r="50" spans="1:17">
      <c r="A50" s="38"/>
      <c r="B50" s="16"/>
      <c r="C50" s="50" t="s">
        <v>75</v>
      </c>
      <c r="D50" s="205"/>
      <c r="E50" s="205"/>
      <c r="F50" s="168"/>
      <c r="G50" s="91"/>
      <c r="H50" s="34"/>
      <c r="I50" s="133"/>
      <c r="J50" s="134"/>
      <c r="K50" s="34"/>
      <c r="L50" s="34"/>
      <c r="O50" s="36"/>
      <c r="P50" s="82"/>
      <c r="Q50" s="82"/>
    </row>
    <row r="51" spans="1:17">
      <c r="A51" s="38"/>
      <c r="B51" s="16"/>
      <c r="C51" s="50" t="s">
        <v>76</v>
      </c>
      <c r="D51" s="154"/>
      <c r="E51" s="154"/>
      <c r="F51" s="207"/>
      <c r="G51" s="91"/>
      <c r="H51" s="34"/>
      <c r="I51" s="133"/>
      <c r="J51" s="134"/>
      <c r="K51" s="34"/>
      <c r="L51" s="34"/>
      <c r="O51" s="36"/>
      <c r="P51" s="82"/>
      <c r="Q51" s="82"/>
    </row>
    <row r="52" spans="1:17">
      <c r="A52" s="38"/>
      <c r="B52" s="16"/>
      <c r="C52" s="50" t="s">
        <v>77</v>
      </c>
      <c r="D52" s="154"/>
      <c r="E52" s="154"/>
      <c r="F52" s="208"/>
      <c r="G52" s="91"/>
      <c r="H52" s="34"/>
      <c r="I52" s="133"/>
      <c r="J52" s="134"/>
      <c r="K52" s="34"/>
      <c r="L52" s="34"/>
      <c r="O52" s="36"/>
      <c r="P52" s="82"/>
      <c r="Q52" s="82"/>
    </row>
    <row r="53" spans="1:17">
      <c r="A53" s="38"/>
      <c r="B53" s="16"/>
      <c r="C53" s="50" t="s">
        <v>81</v>
      </c>
      <c r="D53" s="154"/>
      <c r="E53" s="154"/>
      <c r="F53" s="208"/>
      <c r="G53" s="91"/>
      <c r="H53" s="34"/>
      <c r="I53" s="133"/>
      <c r="J53" s="134"/>
      <c r="K53" s="34"/>
      <c r="L53" s="34"/>
      <c r="O53" s="36"/>
      <c r="P53" s="82"/>
      <c r="Q53" s="82"/>
    </row>
    <row r="54" spans="1:17">
      <c r="A54" s="38"/>
      <c r="B54" s="16"/>
      <c r="C54" s="50" t="s">
        <v>103</v>
      </c>
      <c r="D54" s="154"/>
      <c r="E54" s="154"/>
      <c r="F54" s="209"/>
      <c r="G54" s="91"/>
      <c r="H54" s="34"/>
      <c r="I54" s="133"/>
      <c r="J54" s="134"/>
      <c r="K54" s="34"/>
      <c r="L54" s="34"/>
      <c r="O54" s="36"/>
      <c r="P54" s="82"/>
      <c r="Q54" s="82"/>
    </row>
    <row r="55" spans="1:17">
      <c r="A55" s="38"/>
      <c r="B55" s="16"/>
      <c r="C55" s="50" t="s">
        <v>80</v>
      </c>
      <c r="D55" s="154"/>
      <c r="E55" s="154"/>
      <c r="F55" s="208"/>
      <c r="G55" s="91"/>
      <c r="H55" s="34"/>
      <c r="I55" s="133"/>
      <c r="J55" s="134"/>
      <c r="K55" s="34"/>
      <c r="L55" s="34"/>
      <c r="O55" s="36"/>
      <c r="P55" s="82"/>
      <c r="Q55" s="82"/>
    </row>
    <row r="56" spans="1:17">
      <c r="A56" s="38"/>
      <c r="B56" s="16"/>
      <c r="C56" s="50" t="s">
        <v>78</v>
      </c>
      <c r="D56" s="154"/>
      <c r="E56" s="154"/>
      <c r="F56" s="210"/>
      <c r="G56" s="91"/>
      <c r="H56" s="34"/>
      <c r="I56" s="133"/>
      <c r="J56" s="134"/>
      <c r="K56" s="34"/>
      <c r="L56" s="34"/>
      <c r="O56" s="36"/>
      <c r="P56" s="82"/>
      <c r="Q56" s="82"/>
    </row>
    <row r="57" spans="1:17">
      <c r="A57" s="38"/>
      <c r="B57" s="16"/>
      <c r="C57" s="50" t="s">
        <v>120</v>
      </c>
      <c r="D57" s="211"/>
      <c r="E57" s="211"/>
      <c r="F57" s="207"/>
      <c r="G57" s="91"/>
      <c r="H57" s="34"/>
      <c r="I57" s="133"/>
      <c r="J57" s="134"/>
      <c r="K57" s="34"/>
      <c r="L57" s="34"/>
      <c r="O57" s="36"/>
      <c r="P57" s="82"/>
      <c r="Q57" s="82"/>
    </row>
    <row r="58" spans="1:17">
      <c r="A58" s="38"/>
      <c r="B58" s="16"/>
      <c r="C58" s="185" t="s">
        <v>108</v>
      </c>
      <c r="D58" s="137"/>
      <c r="E58" s="138"/>
      <c r="F58" s="139"/>
      <c r="G58" s="91"/>
      <c r="H58" s="34"/>
      <c r="I58" s="133"/>
      <c r="J58" s="134"/>
      <c r="K58" s="34"/>
      <c r="L58" s="34"/>
      <c r="O58" s="36"/>
      <c r="P58" s="82"/>
      <c r="Q58" s="82"/>
    </row>
    <row r="59" spans="1:17">
      <c r="A59" s="38"/>
      <c r="B59" s="16"/>
      <c r="C59" s="50" t="s">
        <v>82</v>
      </c>
      <c r="D59" s="155"/>
      <c r="E59" s="156">
        <f>MAX(E34*(MIN(E23,D16)-E47)*100*E26,0)</f>
        <v>0</v>
      </c>
      <c r="F59" s="213">
        <f>(MAX(1-(1-MIN(D16,F23))/(1-F47),0)+F51)*F34</f>
        <v>0</v>
      </c>
      <c r="G59" s="91"/>
      <c r="H59" s="34"/>
      <c r="I59" s="133"/>
      <c r="J59" s="134"/>
      <c r="K59" s="34"/>
      <c r="L59" s="34"/>
      <c r="O59" s="36"/>
      <c r="P59" s="82"/>
      <c r="Q59" s="82"/>
    </row>
    <row r="60" spans="1:17">
      <c r="A60" s="38"/>
      <c r="B60" s="16"/>
      <c r="C60" s="50" t="s">
        <v>28</v>
      </c>
      <c r="D60" s="156">
        <f>D34</f>
        <v>0</v>
      </c>
      <c r="E60" s="156">
        <f>E34-E59</f>
        <v>0</v>
      </c>
      <c r="F60" s="169">
        <f>F34-F59</f>
        <v>0</v>
      </c>
      <c r="G60" s="91"/>
      <c r="H60" s="34"/>
      <c r="I60" s="133"/>
      <c r="J60" s="134"/>
      <c r="K60" s="34"/>
      <c r="L60" s="34"/>
      <c r="O60" s="36"/>
      <c r="P60" s="82"/>
      <c r="Q60" s="82"/>
    </row>
    <row r="61" spans="1:17">
      <c r="A61" s="38"/>
      <c r="B61" s="16"/>
      <c r="C61" s="94" t="s">
        <v>86</v>
      </c>
      <c r="D61" s="158">
        <f>D46*D60</f>
        <v>0</v>
      </c>
      <c r="E61" s="158">
        <f t="shared" ref="E61:F61" si="2">E46*E60</f>
        <v>0</v>
      </c>
      <c r="F61" s="170">
        <f t="shared" si="2"/>
        <v>0</v>
      </c>
      <c r="G61" s="91"/>
      <c r="H61" s="34"/>
      <c r="I61" s="133"/>
      <c r="J61" s="134"/>
      <c r="K61" s="34"/>
      <c r="L61" s="34"/>
      <c r="O61" s="36"/>
      <c r="P61" s="82"/>
      <c r="Q61" s="82"/>
    </row>
    <row r="62" spans="1:17">
      <c r="A62" s="38"/>
      <c r="B62" s="16"/>
      <c r="C62" s="50" t="s">
        <v>112</v>
      </c>
      <c r="D62" s="212">
        <f>(D48+IF(D45&gt;D49,(D45-D49)*D50,0))*D60</f>
        <v>0</v>
      </c>
      <c r="E62" s="212">
        <f>(E48+IF(E45&gt;E49,(E45-E49)*E50,0))*E60</f>
        <v>0</v>
      </c>
      <c r="F62" s="169"/>
      <c r="G62" s="91"/>
      <c r="H62" s="34"/>
      <c r="I62" s="133"/>
      <c r="J62" s="134"/>
      <c r="K62" s="34"/>
      <c r="L62" s="34"/>
      <c r="O62" s="36"/>
      <c r="P62" s="82"/>
      <c r="Q62" s="82"/>
    </row>
    <row r="63" spans="1:17">
      <c r="A63" s="38"/>
      <c r="B63" s="16"/>
      <c r="C63" s="50" t="s">
        <v>85</v>
      </c>
      <c r="D63" s="154">
        <f>D22*D57*(D45/12)*D60</f>
        <v>0</v>
      </c>
      <c r="E63" s="154">
        <f>E22*E57*(E45/12)*E60</f>
        <v>0</v>
      </c>
      <c r="F63" s="168">
        <f>F22*F57*(F45/12)*F60</f>
        <v>0</v>
      </c>
      <c r="G63" s="91"/>
      <c r="H63" s="34"/>
      <c r="I63" s="133"/>
      <c r="J63" s="134"/>
      <c r="K63" s="34"/>
      <c r="L63" s="34"/>
      <c r="O63" s="36"/>
      <c r="P63" s="82"/>
      <c r="Q63" s="82"/>
    </row>
    <row r="64" spans="1:17">
      <c r="A64" s="38"/>
      <c r="B64" s="16"/>
      <c r="C64" s="51" t="s">
        <v>83</v>
      </c>
      <c r="D64" s="154">
        <f>D24*(D23-D47)*D22*100*D60</f>
        <v>0</v>
      </c>
      <c r="E64" s="105"/>
      <c r="F64" s="171"/>
      <c r="G64" s="91"/>
      <c r="H64" s="34"/>
      <c r="I64" s="133"/>
      <c r="J64" s="134"/>
      <c r="K64" s="34"/>
      <c r="L64" s="34"/>
      <c r="O64" s="36"/>
      <c r="P64" s="82"/>
      <c r="Q64" s="82"/>
    </row>
    <row r="65" spans="1:17">
      <c r="A65" s="38"/>
      <c r="B65" s="16"/>
      <c r="C65" s="50" t="s">
        <v>84</v>
      </c>
      <c r="D65" s="153"/>
      <c r="E65" s="154">
        <f>MAX(E25*(MIN(D16,E23)-E47)*100*E34,0)</f>
        <v>0</v>
      </c>
      <c r="F65" s="168">
        <f>MAX(F27*(MIN(D16,F23)-F47)*100*F34,0)</f>
        <v>0</v>
      </c>
      <c r="G65" s="91"/>
      <c r="H65" s="34"/>
      <c r="I65" s="133"/>
      <c r="J65" s="134"/>
      <c r="K65" s="34"/>
      <c r="L65" s="34"/>
      <c r="O65" s="36"/>
      <c r="P65" s="82"/>
      <c r="Q65" s="82"/>
    </row>
    <row r="66" spans="1:17">
      <c r="A66" s="38"/>
      <c r="B66" s="16"/>
      <c r="C66" s="50" t="s">
        <v>101</v>
      </c>
      <c r="D66" s="93"/>
      <c r="E66" s="93"/>
      <c r="F66" s="168">
        <f>0.8*F52*F53*F54*F45</f>
        <v>0</v>
      </c>
      <c r="G66" s="91"/>
      <c r="H66" s="34"/>
      <c r="I66" s="133"/>
      <c r="J66" s="134"/>
      <c r="K66" s="34"/>
      <c r="L66" s="34"/>
      <c r="O66" s="36"/>
      <c r="P66" s="82"/>
      <c r="Q66" s="82"/>
    </row>
    <row r="67" spans="1:17">
      <c r="A67" s="38"/>
      <c r="B67" s="16"/>
      <c r="C67" s="50" t="s">
        <v>90</v>
      </c>
      <c r="D67" s="93"/>
      <c r="E67" s="93"/>
      <c r="F67" s="168">
        <f>F55*F56*F45</f>
        <v>0</v>
      </c>
      <c r="G67" s="91"/>
      <c r="H67" s="34"/>
      <c r="I67" s="133"/>
      <c r="J67" s="134"/>
      <c r="K67" s="34"/>
      <c r="L67" s="34"/>
      <c r="O67" s="36"/>
      <c r="P67" s="82"/>
      <c r="Q67" s="82"/>
    </row>
    <row r="68" spans="1:17">
      <c r="A68" s="38"/>
      <c r="B68" s="16"/>
      <c r="C68" s="51" t="s">
        <v>92</v>
      </c>
      <c r="D68" s="154">
        <f t="shared" ref="D68" si="3">SUM(D62:D67)+D42</f>
        <v>0</v>
      </c>
      <c r="E68" s="154">
        <f>SUM(E62:E67)+E42</f>
        <v>0</v>
      </c>
      <c r="F68" s="168">
        <f t="shared" ref="F68" si="4">SUM(F62:F67)+F42</f>
        <v>0</v>
      </c>
      <c r="G68" s="91"/>
      <c r="H68" s="34"/>
      <c r="I68" s="133"/>
      <c r="J68" s="134"/>
      <c r="K68" s="34"/>
      <c r="L68" s="34"/>
      <c r="O68" s="36"/>
      <c r="P68" s="82"/>
      <c r="Q68" s="82"/>
    </row>
    <row r="69" spans="1:17">
      <c r="A69" s="38"/>
      <c r="B69" s="16"/>
      <c r="C69" s="172" t="s">
        <v>87</v>
      </c>
      <c r="D69" s="153">
        <f>D61-D68</f>
        <v>0</v>
      </c>
      <c r="E69" s="153">
        <f>E61-E68</f>
        <v>0</v>
      </c>
      <c r="F69" s="165">
        <f>F61-F68</f>
        <v>0</v>
      </c>
      <c r="G69" s="91"/>
      <c r="H69" s="34"/>
      <c r="I69" s="133"/>
      <c r="J69" s="134"/>
      <c r="K69" s="34"/>
      <c r="L69" s="34"/>
      <c r="O69" s="36"/>
      <c r="P69" s="82"/>
      <c r="Q69" s="82"/>
    </row>
    <row r="70" spans="1:17">
      <c r="A70" s="38"/>
      <c r="B70" s="16"/>
      <c r="C70" s="51" t="s">
        <v>93</v>
      </c>
      <c r="D70" s="154">
        <f>D69-D43</f>
        <v>0</v>
      </c>
      <c r="E70" s="154">
        <f>E69-E43</f>
        <v>0</v>
      </c>
      <c r="F70" s="168">
        <f>F69-F43</f>
        <v>0</v>
      </c>
      <c r="G70" s="91"/>
      <c r="H70" s="34"/>
      <c r="I70" s="133"/>
      <c r="J70" s="134"/>
      <c r="K70" s="34"/>
      <c r="L70" s="34"/>
      <c r="O70" s="36"/>
      <c r="P70" s="82"/>
      <c r="Q70" s="82"/>
    </row>
    <row r="71" spans="1:17" ht="13.8" thickBot="1">
      <c r="A71" s="38"/>
      <c r="B71" s="16"/>
      <c r="C71" s="173" t="s">
        <v>97</v>
      </c>
      <c r="D71" s="174" t="e">
        <f>(D43+D68)/D60</f>
        <v>#DIV/0!</v>
      </c>
      <c r="E71" s="174" t="e">
        <f>(E43+E68)/E60</f>
        <v>#DIV/0!</v>
      </c>
      <c r="F71" s="175" t="e">
        <f>(F43+F68)/F60</f>
        <v>#DIV/0!</v>
      </c>
      <c r="G71" s="91"/>
      <c r="H71" s="34"/>
      <c r="I71" s="133"/>
      <c r="J71" s="134"/>
      <c r="K71" s="34"/>
      <c r="L71" s="34"/>
      <c r="O71" s="36"/>
      <c r="P71" s="82"/>
      <c r="Q71" s="82"/>
    </row>
    <row r="72" spans="1:17" ht="13.8" thickBot="1">
      <c r="A72" s="38"/>
      <c r="B72" s="16"/>
      <c r="C72" s="107"/>
      <c r="D72" s="153"/>
      <c r="E72" s="153"/>
      <c r="F72" s="153"/>
      <c r="G72" s="91"/>
      <c r="H72" s="34"/>
      <c r="I72" s="133"/>
      <c r="J72" s="134"/>
      <c r="K72" s="34"/>
      <c r="L72" s="34"/>
      <c r="O72" s="36"/>
      <c r="P72" s="82"/>
      <c r="Q72" s="82"/>
    </row>
    <row r="73" spans="1:17" ht="39.6">
      <c r="A73" s="38"/>
      <c r="B73" s="16"/>
      <c r="C73" s="191" t="s">
        <v>104</v>
      </c>
      <c r="D73" s="186" t="s">
        <v>96</v>
      </c>
      <c r="E73" s="186" t="s">
        <v>95</v>
      </c>
      <c r="F73" s="187" t="s">
        <v>94</v>
      </c>
      <c r="G73" s="91"/>
      <c r="H73" s="34"/>
      <c r="I73" s="133"/>
      <c r="J73" s="134"/>
      <c r="K73" s="34"/>
      <c r="L73" s="34"/>
      <c r="O73" s="36"/>
      <c r="P73" s="82"/>
      <c r="Q73" s="82"/>
    </row>
    <row r="74" spans="1:17">
      <c r="A74" s="38"/>
      <c r="B74" s="16"/>
      <c r="C74" s="172" t="s">
        <v>105</v>
      </c>
      <c r="D74" s="153">
        <f>D43</f>
        <v>0</v>
      </c>
      <c r="E74" s="153">
        <f t="shared" ref="E74:F74" si="5">E43</f>
        <v>0</v>
      </c>
      <c r="F74" s="165">
        <f t="shared" si="5"/>
        <v>0</v>
      </c>
      <c r="G74" s="91"/>
      <c r="H74" s="34"/>
      <c r="I74" s="133"/>
      <c r="J74" s="134"/>
      <c r="K74" s="34"/>
      <c r="L74" s="34"/>
      <c r="O74" s="36"/>
      <c r="P74" s="82"/>
      <c r="Q74" s="82"/>
    </row>
    <row r="75" spans="1:17" ht="13.8" thickBot="1">
      <c r="A75" s="38"/>
      <c r="B75" s="16"/>
      <c r="C75" s="188" t="s">
        <v>106</v>
      </c>
      <c r="D75" s="189">
        <f>D69</f>
        <v>0</v>
      </c>
      <c r="E75" s="189">
        <f t="shared" ref="E75:F75" si="6">E69</f>
        <v>0</v>
      </c>
      <c r="F75" s="190">
        <f t="shared" si="6"/>
        <v>0</v>
      </c>
      <c r="G75" s="91"/>
      <c r="H75" s="34"/>
      <c r="I75" s="133"/>
      <c r="J75" s="134"/>
      <c r="K75" s="34"/>
      <c r="L75" s="34"/>
      <c r="O75" s="36"/>
      <c r="P75" s="82"/>
      <c r="Q75" s="82"/>
    </row>
    <row r="76" spans="1:17">
      <c r="A76" s="38"/>
      <c r="B76" s="16"/>
      <c r="C76" s="98"/>
      <c r="D76" s="157"/>
      <c r="E76" s="157"/>
      <c r="F76" s="157"/>
      <c r="G76" s="91"/>
      <c r="H76" s="34"/>
      <c r="I76" s="34"/>
      <c r="J76" s="34"/>
      <c r="K76" s="34"/>
      <c r="L76" s="34"/>
      <c r="O76" s="36"/>
      <c r="P76" s="82"/>
      <c r="Q76" s="82"/>
    </row>
    <row r="77" spans="1:17">
      <c r="C77" s="18" t="s">
        <v>118</v>
      </c>
      <c r="E77" s="11"/>
      <c r="F77" s="12"/>
      <c r="G77" s="12"/>
      <c r="H77" s="12"/>
      <c r="I77" s="12"/>
      <c r="J77" s="12"/>
      <c r="K77" s="12"/>
      <c r="L77" s="12"/>
    </row>
    <row r="78" spans="1:17">
      <c r="C78" s="5" t="s">
        <v>20</v>
      </c>
      <c r="F78" s="13"/>
      <c r="G78" s="13"/>
    </row>
    <row r="79" spans="1:17">
      <c r="C79" s="14" t="s">
        <v>4</v>
      </c>
      <c r="F79" s="13"/>
      <c r="G79" s="13"/>
      <c r="N79" s="34"/>
    </row>
    <row r="80" spans="1:17">
      <c r="C80" s="224">
        <f ca="1">TODAY()</f>
        <v>41940</v>
      </c>
      <c r="D80" s="224"/>
      <c r="E80" s="15"/>
      <c r="F80" s="13"/>
      <c r="G80" s="13"/>
      <c r="I80" s="115"/>
    </row>
    <row r="81" spans="1:17">
      <c r="C81" s="16"/>
      <c r="D81" s="13" t="s">
        <v>0</v>
      </c>
      <c r="F81" s="13"/>
      <c r="G81" s="13"/>
    </row>
    <row r="82" spans="1:17">
      <c r="C82" s="116" t="s">
        <v>2</v>
      </c>
      <c r="E82" s="17"/>
      <c r="F82" s="17"/>
      <c r="G82" s="17"/>
      <c r="H82" s="17"/>
      <c r="I82" s="17"/>
      <c r="J82" s="17"/>
      <c r="K82" s="17"/>
      <c r="L82" s="17"/>
    </row>
    <row r="83" spans="1:17" ht="8.4" customHeight="1">
      <c r="C83" s="220" t="s">
        <v>46</v>
      </c>
      <c r="D83" s="220"/>
      <c r="E83" s="220"/>
      <c r="F83" s="220"/>
      <c r="G83" s="220"/>
      <c r="H83" s="220"/>
      <c r="I83" s="220"/>
      <c r="J83" s="220"/>
      <c r="K83" s="220"/>
      <c r="L83" s="110"/>
      <c r="M83" s="110"/>
    </row>
    <row r="84" spans="1:17">
      <c r="C84" s="220"/>
      <c r="D84" s="220"/>
      <c r="E84" s="220"/>
      <c r="F84" s="220"/>
      <c r="G84" s="220"/>
      <c r="H84" s="220"/>
      <c r="I84" s="220"/>
      <c r="J84" s="220"/>
      <c r="K84" s="220"/>
      <c r="L84" s="110"/>
      <c r="M84" s="110"/>
    </row>
    <row r="85" spans="1:17">
      <c r="C85" s="220" t="s">
        <v>47</v>
      </c>
      <c r="D85" s="220"/>
      <c r="E85" s="220"/>
      <c r="F85" s="220"/>
      <c r="G85" s="220"/>
      <c r="H85" s="220"/>
      <c r="I85" s="220"/>
      <c r="J85" s="220"/>
      <c r="K85" s="220"/>
      <c r="L85" s="110"/>
      <c r="M85" s="110"/>
    </row>
    <row r="86" spans="1:17">
      <c r="A86" s="38"/>
      <c r="B86" s="16"/>
      <c r="C86" s="98"/>
      <c r="D86" s="47"/>
      <c r="E86" s="47"/>
      <c r="F86" s="47"/>
      <c r="G86" s="91"/>
      <c r="O86" s="36"/>
      <c r="P86" s="82"/>
      <c r="Q86" s="82"/>
    </row>
    <row r="87" spans="1:17">
      <c r="A87" s="38"/>
      <c r="B87" s="16"/>
      <c r="C87" s="36"/>
      <c r="D87" s="6"/>
      <c r="E87" s="6"/>
      <c r="F87" s="6"/>
      <c r="G87" s="91"/>
      <c r="O87" s="36"/>
      <c r="P87" s="82"/>
      <c r="Q87" s="82"/>
    </row>
    <row r="88" spans="1:17">
      <c r="A88" s="38"/>
      <c r="B88" s="16"/>
      <c r="C88" s="36"/>
      <c r="D88" s="8"/>
      <c r="E88" s="8"/>
      <c r="F88" s="8"/>
      <c r="G88" s="91"/>
      <c r="O88" s="36"/>
      <c r="P88" s="82"/>
      <c r="Q88" s="82"/>
    </row>
    <row r="89" spans="1:17">
      <c r="A89" s="38"/>
      <c r="B89" s="16"/>
      <c r="C89" s="35"/>
      <c r="D89" s="19"/>
      <c r="E89" s="19"/>
      <c r="F89" s="99"/>
      <c r="G89" s="91"/>
      <c r="O89" s="36"/>
      <c r="P89" s="82"/>
      <c r="Q89" s="82"/>
    </row>
    <row r="90" spans="1:17">
      <c r="A90" s="38"/>
      <c r="B90" s="16"/>
      <c r="C90" s="35"/>
      <c r="D90" s="82"/>
      <c r="E90" s="8"/>
      <c r="F90" s="22"/>
      <c r="G90" s="91"/>
      <c r="O90" s="36"/>
      <c r="P90" s="82"/>
      <c r="Q90" s="82"/>
    </row>
    <row r="91" spans="1:17">
      <c r="A91" s="38"/>
      <c r="B91" s="16"/>
      <c r="C91" s="35"/>
      <c r="D91" s="22"/>
      <c r="E91" s="22"/>
      <c r="F91" s="22"/>
      <c r="G91" s="91"/>
      <c r="O91" s="36"/>
      <c r="P91" s="82"/>
      <c r="Q91" s="82"/>
    </row>
    <row r="92" spans="1:17">
      <c r="A92" s="38"/>
      <c r="B92" s="16"/>
      <c r="C92" s="35"/>
      <c r="D92" s="22"/>
      <c r="E92" s="22"/>
      <c r="F92" s="54"/>
      <c r="G92" s="91"/>
      <c r="O92" s="36"/>
      <c r="P92" s="82"/>
      <c r="Q92" s="82"/>
    </row>
    <row r="93" spans="1:17">
      <c r="A93" s="38"/>
      <c r="B93" s="16"/>
      <c r="C93" s="35"/>
      <c r="D93" s="77"/>
      <c r="E93" s="100"/>
      <c r="F93" s="68"/>
      <c r="G93" s="91"/>
      <c r="O93" s="36"/>
      <c r="P93" s="82"/>
      <c r="Q93" s="82"/>
    </row>
    <row r="94" spans="1:17">
      <c r="A94" s="38"/>
      <c r="B94" s="16"/>
      <c r="C94" s="35"/>
      <c r="D94" s="101"/>
      <c r="E94" s="101"/>
      <c r="F94" s="71"/>
      <c r="G94" s="91"/>
      <c r="O94" s="36"/>
      <c r="P94" s="82"/>
      <c r="Q94" s="82"/>
    </row>
    <row r="95" spans="1:17">
      <c r="A95" s="38"/>
      <c r="B95" s="16"/>
      <c r="C95" s="35"/>
      <c r="D95" s="36"/>
      <c r="E95" s="101"/>
      <c r="F95" s="75"/>
      <c r="G95" s="91"/>
      <c r="O95" s="36"/>
      <c r="P95" s="82"/>
      <c r="Q95" s="82"/>
    </row>
    <row r="96" spans="1:17">
      <c r="A96" s="38"/>
      <c r="B96" s="16"/>
      <c r="C96" s="35"/>
      <c r="D96" s="36"/>
      <c r="E96" s="68"/>
      <c r="F96" s="77"/>
      <c r="G96" s="91"/>
      <c r="O96" s="36"/>
      <c r="P96" s="82"/>
      <c r="Q96" s="82"/>
    </row>
    <row r="97" spans="1:17">
      <c r="A97" s="38"/>
      <c r="B97" s="16"/>
      <c r="C97" s="35"/>
      <c r="D97" s="82"/>
      <c r="E97" s="82"/>
      <c r="F97" s="80"/>
      <c r="G97" s="91"/>
      <c r="O97" s="36"/>
      <c r="P97" s="82"/>
      <c r="Q97" s="82"/>
    </row>
    <row r="98" spans="1:17">
      <c r="A98" s="38"/>
      <c r="B98" s="16"/>
      <c r="C98" s="35"/>
      <c r="D98" s="82"/>
      <c r="E98" s="82"/>
      <c r="F98" s="80"/>
      <c r="G98" s="91"/>
      <c r="O98" s="36"/>
      <c r="P98" s="82"/>
      <c r="Q98" s="82"/>
    </row>
    <row r="99" spans="1:17">
      <c r="A99" s="38"/>
      <c r="B99" s="16"/>
      <c r="C99" s="35"/>
      <c r="D99" s="102"/>
      <c r="E99" s="102"/>
      <c r="F99" s="102"/>
      <c r="G99" s="91"/>
      <c r="O99" s="36"/>
      <c r="P99" s="82"/>
      <c r="Q99" s="82"/>
    </row>
    <row r="100" spans="1:17">
      <c r="A100" s="38"/>
      <c r="B100" s="16"/>
      <c r="C100" s="35"/>
      <c r="D100" s="102"/>
      <c r="E100" s="102"/>
      <c r="F100" s="102"/>
      <c r="G100" s="91"/>
      <c r="O100" s="36"/>
      <c r="P100" s="82"/>
      <c r="Q100" s="82"/>
    </row>
    <row r="101" spans="1:17">
      <c r="A101" s="38"/>
      <c r="B101" s="16"/>
      <c r="C101" s="35"/>
      <c r="D101" s="103"/>
      <c r="E101" s="104"/>
      <c r="F101" s="102"/>
      <c r="G101" s="91"/>
      <c r="O101" s="36"/>
      <c r="P101" s="82"/>
      <c r="Q101" s="82"/>
    </row>
    <row r="102" spans="1:17">
      <c r="A102" s="38"/>
      <c r="B102" s="16"/>
      <c r="C102" s="35"/>
      <c r="D102" s="103"/>
      <c r="E102" s="102"/>
      <c r="F102" s="102"/>
      <c r="G102" s="91"/>
      <c r="O102" s="36"/>
      <c r="P102" s="82"/>
      <c r="Q102" s="82"/>
    </row>
    <row r="103" spans="1:17">
      <c r="A103" s="38"/>
      <c r="B103" s="16"/>
      <c r="C103" s="35"/>
      <c r="D103" s="105"/>
      <c r="E103" s="85"/>
      <c r="F103" s="85"/>
      <c r="G103" s="91"/>
      <c r="O103" s="36"/>
      <c r="P103" s="82"/>
      <c r="Q103" s="82"/>
    </row>
    <row r="104" spans="1:17">
      <c r="A104" s="38"/>
      <c r="B104" s="16"/>
      <c r="C104" s="35"/>
      <c r="D104" s="105"/>
      <c r="E104" s="105"/>
      <c r="F104" s="105"/>
      <c r="G104" s="91"/>
      <c r="O104" s="36"/>
      <c r="P104" s="82"/>
      <c r="Q104" s="82"/>
    </row>
    <row r="105" spans="1:17">
      <c r="A105" s="38"/>
      <c r="B105" s="16"/>
      <c r="C105" s="35"/>
      <c r="D105" s="106"/>
      <c r="E105" s="88"/>
      <c r="F105" s="88"/>
      <c r="G105" s="91"/>
      <c r="O105" s="36"/>
      <c r="P105" s="82"/>
      <c r="Q105" s="82"/>
    </row>
    <row r="106" spans="1:17">
      <c r="A106" s="38"/>
      <c r="B106" s="16"/>
      <c r="C106" s="35"/>
      <c r="D106" s="106"/>
      <c r="E106" s="88"/>
      <c r="F106" s="88"/>
      <c r="G106" s="91"/>
      <c r="O106" s="36"/>
      <c r="P106" s="82"/>
      <c r="Q106" s="82"/>
    </row>
    <row r="107" spans="1:17">
      <c r="A107" s="38"/>
      <c r="B107" s="16"/>
      <c r="C107" s="35"/>
      <c r="D107" s="103"/>
      <c r="E107" s="91"/>
      <c r="F107" s="91"/>
      <c r="G107" s="91"/>
      <c r="O107" s="36"/>
      <c r="P107" s="82"/>
      <c r="Q107" s="82"/>
    </row>
    <row r="108" spans="1:17">
      <c r="A108" s="38"/>
      <c r="B108" s="16"/>
      <c r="C108" s="35"/>
      <c r="D108" s="103"/>
      <c r="E108" s="91"/>
      <c r="F108" s="91"/>
      <c r="G108" s="91"/>
      <c r="O108" s="36"/>
      <c r="P108" s="82"/>
      <c r="Q108" s="82"/>
    </row>
    <row r="109" spans="1:17">
      <c r="A109" s="38"/>
      <c r="B109" s="16"/>
      <c r="C109" s="36"/>
      <c r="D109" s="103"/>
      <c r="E109" s="91"/>
      <c r="F109" s="88"/>
      <c r="G109" s="91"/>
      <c r="O109" s="36"/>
      <c r="P109" s="82"/>
      <c r="Q109" s="82"/>
    </row>
    <row r="110" spans="1:17">
      <c r="A110" s="38"/>
      <c r="B110" s="16"/>
      <c r="C110" s="107"/>
      <c r="D110" s="93"/>
      <c r="E110" s="93"/>
      <c r="F110" s="93"/>
      <c r="G110" s="91"/>
      <c r="O110" s="36"/>
      <c r="P110" s="82"/>
      <c r="Q110" s="82"/>
    </row>
    <row r="111" spans="1:17">
      <c r="A111" s="38"/>
      <c r="C111" s="35"/>
      <c r="D111" s="1"/>
      <c r="E111" s="1"/>
      <c r="F111" s="1"/>
      <c r="G111" s="1"/>
      <c r="O111" s="36"/>
      <c r="P111" s="41"/>
      <c r="Q111" s="41"/>
    </row>
  </sheetData>
  <sheetProtection sheet="1" objects="1" scenarios="1"/>
  <mergeCells count="7">
    <mergeCell ref="C85:K85"/>
    <mergeCell ref="C3:G3"/>
    <mergeCell ref="D10:E10"/>
    <mergeCell ref="D11:E11"/>
    <mergeCell ref="I11:K11"/>
    <mergeCell ref="C80:D80"/>
    <mergeCell ref="C83:K84"/>
  </mergeCells>
  <conditionalFormatting sqref="D17:D18">
    <cfRule type="cellIs" dxfId="1" priority="2" operator="equal">
      <formula>0.17</formula>
    </cfRule>
  </conditionalFormatting>
  <conditionalFormatting sqref="D71:F71">
    <cfRule type="containsErrors" dxfId="0" priority="1">
      <formula>ISERROR(D71)</formula>
    </cfRule>
  </conditionalFormatting>
  <dataValidations count="3">
    <dataValidation allowBlank="1" showInputMessage="1" showErrorMessage="1" prompt="Use rate paid to hired labor, or estimated value of operator labor." sqref="I14"/>
    <dataValidation allowBlank="1" showInputMessage="1" showErrorMessage="1" prompt="Divide the hours that a person is needed to operate the drying system by the total hours the system is in use." sqref="I15"/>
    <dataValidation allowBlank="1" showInputMessage="1" showErrorMessage="1" prompt="Initial cost of drying system, excluding bins used for storage." sqref="I19"/>
  </dataValidations>
  <hyperlinks>
    <hyperlink ref="C78" r:id="rId1"/>
    <hyperlink ref="C3" r:id="rId2" display="Crop Production Cost Budgets has more information on the cost and returns for growing a corn crop after a previous crop of corn."/>
    <hyperlink ref="C3:G3" r:id="rId3" display="Cost of Storing Grain has more information on the costs of storing grain past harvest in commercial storage or an existing farm facility."/>
  </hyperlinks>
  <pageMargins left="0.25" right="0.25" top="0.75" bottom="0.75" header="0.3" footer="0.3"/>
  <pageSetup scale="55" orientation="portrait" r:id="rId4"/>
  <headerFooter alignWithMargins="0">
    <oddHeader>&amp;LIowa State University Extension and Outreach&amp;RAg Decision Maker Decision Tool A2-32</oddHeader>
  </headerFooter>
  <rowBreaks count="1" manualBreakCount="1">
    <brk id="43" min="1" max="10" man="1"/>
  </rowBreaks>
  <drawing r:id="rId5"/>
  <legacyDrawing r:id="rId6"/>
  <mc:AlternateContent xmlns:mc="http://schemas.openxmlformats.org/markup-compatibility/2006">
    <mc:Choice Requires="x14">
      <controls>
        <mc:AlternateContent xmlns:mc="http://schemas.openxmlformats.org/markup-compatibility/2006">
          <mc:Choice Requires="x14">
            <control shapeId="6145" r:id="rId7" name="Drop Down 1">
              <controlPr defaultSize="0" autoLine="0" autoPict="0">
                <anchor moveWithCells="1">
                  <from>
                    <xdr:col>3</xdr:col>
                    <xdr:colOff>0</xdr:colOff>
                    <xdr:row>9</xdr:row>
                    <xdr:rowOff>137160</xdr:rowOff>
                  </from>
                  <to>
                    <xdr:col>5</xdr:col>
                    <xdr:colOff>121920</xdr:colOff>
                    <xdr:row>11</xdr:row>
                    <xdr:rowOff>0</xdr:rowOff>
                  </to>
                </anchor>
              </controlPr>
            </control>
          </mc:Choice>
        </mc:AlternateContent>
        <mc:AlternateContent xmlns:mc="http://schemas.openxmlformats.org/markup-compatibility/2006">
          <mc:Choice Requires="x14">
            <control shapeId="6146" r:id="rId8" name="Drop Down 2">
              <controlPr defaultSize="0" autoLine="0" autoPict="0">
                <anchor moveWithCells="1">
                  <from>
                    <xdr:col>3</xdr:col>
                    <xdr:colOff>0</xdr:colOff>
                    <xdr:row>8</xdr:row>
                    <xdr:rowOff>99060</xdr:rowOff>
                  </from>
                  <to>
                    <xdr:col>5</xdr:col>
                    <xdr:colOff>121920</xdr:colOff>
                    <xdr:row>9</xdr:row>
                    <xdr:rowOff>137160</xdr:rowOff>
                  </to>
                </anchor>
              </controlPr>
            </control>
          </mc:Choice>
        </mc:AlternateContent>
        <mc:AlternateContent xmlns:mc="http://schemas.openxmlformats.org/markup-compatibility/2006">
          <mc:Choice Requires="x14">
            <control shapeId="6147" r:id="rId9" name="Drop Down 3">
              <controlPr defaultSize="0" autoLine="0" autoPict="0">
                <anchor moveWithCells="1">
                  <from>
                    <xdr:col>8</xdr:col>
                    <xdr:colOff>0</xdr:colOff>
                    <xdr:row>9</xdr:row>
                    <xdr:rowOff>121920</xdr:rowOff>
                  </from>
                  <to>
                    <xdr:col>11</xdr:col>
                    <xdr:colOff>0</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Blank</vt:lpstr>
      <vt:lpstr>Blank!Print_Area</vt:lpstr>
      <vt:lpstr>Example!Print_Area</vt:lpstr>
    </vt:vector>
  </TitlesOfParts>
  <Company>ISU Extension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Edwards</dc:creator>
  <cp:lastModifiedBy>Johanns, Ann M [ECONA]</cp:lastModifiedBy>
  <cp:lastPrinted>2014-10-22T14:42:35Z</cp:lastPrinted>
  <dcterms:created xsi:type="dcterms:W3CDTF">2000-11-08T21:50:06Z</dcterms:created>
  <dcterms:modified xsi:type="dcterms:W3CDTF">2014-10-28T16:55:36Z</dcterms:modified>
</cp:coreProperties>
</file>