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736" windowHeight="8599"/>
  </bookViews>
  <sheets>
    <sheet name="Your Production Estimates" sheetId="7" r:id="rId1"/>
    <sheet name="Chart Comparison of Returns" sheetId="13" r:id="rId2"/>
    <sheet name="Default Values" sheetId="12" r:id="rId3"/>
    <sheet name="Advanced Inputs" sheetId="3" r:id="rId4"/>
    <sheet name="Resources &amp; Guide" sheetId="10" r:id="rId5"/>
    <sheet name="Sheet1" sheetId="11" state="hidden" r:id="rId6"/>
    <sheet name="Lists for Dropdowns" sheetId="9" state="hidden" r:id="rId7"/>
  </sheets>
  <externalReferences>
    <externalReference r:id="rId8"/>
  </externalReferences>
  <definedNames>
    <definedName name="CroppingHistory" localSheetId="2">'[1]Lists for Dropdowns'!$B$3:$B$6</definedName>
    <definedName name="CroppingHistory">'Lists for Dropdowns'!$B$3:$B$6</definedName>
    <definedName name="_xlnm.Print_Area" localSheetId="3">'Advanced Inputs'!$B$1:$R$66</definedName>
    <definedName name="_xlnm.Print_Area" localSheetId="2">'Default Values'!$A$1:$I$42</definedName>
    <definedName name="_xlnm.Print_Area" localSheetId="6">'Lists for Dropdowns'!$A$26:$G$40</definedName>
    <definedName name="_xlnm.Print_Area" localSheetId="0">'Your Production Estimates'!$C$1:$H$49</definedName>
    <definedName name="Role" localSheetId="2">'[1]Lists for Dropdowns'!$A$3:$A$4</definedName>
    <definedName name="Role">'Lists for Dropdowns'!$A$3:$A$4</definedName>
    <definedName name="Years" localSheetId="2">'[1]Lists for Dropdowns'!$D$3:$D$18</definedName>
    <definedName name="Years">'Lists for Dropdowns'!$D$3:$D$18</definedName>
    <definedName name="YesNo">'Lists for Dropdowns'!$C$3:$C$4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47" i="3" l="1"/>
  <c r="O46" i="3"/>
  <c r="P46" i="3" s="1"/>
  <c r="P49" i="3" s="1"/>
  <c r="E16" i="7"/>
  <c r="E12" i="7"/>
  <c r="F12" i="7"/>
  <c r="E17" i="7"/>
  <c r="D15" i="7"/>
  <c r="D18" i="7"/>
  <c r="C20" i="11"/>
  <c r="G11" i="3"/>
  <c r="C16" i="7"/>
  <c r="C17" i="7"/>
  <c r="H48" i="3"/>
  <c r="H47" i="3"/>
  <c r="H46" i="3"/>
  <c r="H49" i="3" s="1"/>
  <c r="H45" i="3"/>
  <c r="H39" i="3"/>
  <c r="H38" i="3"/>
  <c r="H36" i="3"/>
  <c r="H35" i="3"/>
  <c r="H34" i="3"/>
  <c r="H33" i="3"/>
  <c r="H31" i="3"/>
  <c r="H30" i="3"/>
  <c r="H26" i="3"/>
  <c r="H25" i="3"/>
  <c r="H24" i="3"/>
  <c r="H23" i="3"/>
  <c r="H22" i="3"/>
  <c r="H27" i="3" s="1"/>
  <c r="H42" i="3" s="1"/>
  <c r="G18" i="3"/>
  <c r="H18" i="3" s="1"/>
  <c r="G17" i="3"/>
  <c r="H17" i="3"/>
  <c r="G16" i="3"/>
  <c r="H16" i="3" s="1"/>
  <c r="G15" i="3"/>
  <c r="H15" i="3"/>
  <c r="G14" i="3"/>
  <c r="H14" i="3" s="1"/>
  <c r="D17" i="7"/>
  <c r="D16" i="7"/>
  <c r="G12" i="7" s="1"/>
  <c r="H40" i="3"/>
  <c r="C12" i="7"/>
  <c r="F25" i="7"/>
  <c r="E19" i="11"/>
  <c r="D13" i="7"/>
  <c r="G25" i="7" s="1"/>
  <c r="C14" i="7"/>
  <c r="D14" i="7"/>
  <c r="J20" i="7"/>
  <c r="F22" i="7"/>
  <c r="E18" i="7"/>
  <c r="C18" i="7"/>
  <c r="C15" i="7"/>
  <c r="E15" i="7"/>
  <c r="K45" i="3"/>
  <c r="L45" i="3" s="1"/>
  <c r="C6" i="3"/>
  <c r="R10" i="3" s="1"/>
  <c r="C4" i="3"/>
  <c r="C13" i="7"/>
  <c r="C11" i="7"/>
  <c r="E14" i="7"/>
  <c r="E13" i="7"/>
  <c r="G14" i="7"/>
  <c r="G13" i="7"/>
  <c r="D11" i="3"/>
  <c r="H11" i="3"/>
  <c r="C5" i="3"/>
  <c r="A17" i="9"/>
  <c r="A15" i="9"/>
  <c r="A12" i="9"/>
  <c r="C7" i="3"/>
  <c r="K48" i="3"/>
  <c r="Q48" i="3"/>
  <c r="K46" i="3"/>
  <c r="L46" i="3" s="1"/>
  <c r="O48" i="3"/>
  <c r="Q46" i="3"/>
  <c r="R46" i="3" s="1"/>
  <c r="R49" i="3" s="1"/>
  <c r="L48" i="3"/>
  <c r="R47" i="3"/>
  <c r="R45" i="3"/>
  <c r="R39" i="3"/>
  <c r="R38" i="3"/>
  <c r="R36" i="3"/>
  <c r="R35" i="3"/>
  <c r="R34" i="3"/>
  <c r="R30" i="3"/>
  <c r="R40" i="3" s="1"/>
  <c r="R26" i="3"/>
  <c r="R25" i="3"/>
  <c r="R24" i="3"/>
  <c r="R23" i="3"/>
  <c r="R27" i="3" s="1"/>
  <c r="R42" i="3" s="1"/>
  <c r="R22" i="3"/>
  <c r="R18" i="3"/>
  <c r="R17" i="3"/>
  <c r="R16" i="3"/>
  <c r="R19" i="3" s="1"/>
  <c r="R51" i="3" s="1"/>
  <c r="R15" i="3"/>
  <c r="R14" i="3"/>
  <c r="R11" i="3"/>
  <c r="P47" i="3"/>
  <c r="P45" i="3"/>
  <c r="P39" i="3"/>
  <c r="P38" i="3"/>
  <c r="P36" i="3"/>
  <c r="P35" i="3"/>
  <c r="P34" i="3"/>
  <c r="P33" i="3"/>
  <c r="P31" i="3"/>
  <c r="P30" i="3"/>
  <c r="P26" i="3"/>
  <c r="P25" i="3"/>
  <c r="P24" i="3"/>
  <c r="P27" i="3" s="1"/>
  <c r="P42" i="3" s="1"/>
  <c r="P23" i="3"/>
  <c r="P22" i="3"/>
  <c r="P18" i="3"/>
  <c r="P17" i="3"/>
  <c r="P16" i="3"/>
  <c r="P15" i="3"/>
  <c r="P14" i="3"/>
  <c r="P19" i="3" s="1"/>
  <c r="P11" i="3"/>
  <c r="L47" i="3"/>
  <c r="L39" i="3"/>
  <c r="L38" i="3"/>
  <c r="L36" i="3"/>
  <c r="L35" i="3"/>
  <c r="L34" i="3"/>
  <c r="L33" i="3"/>
  <c r="L31" i="3"/>
  <c r="L30" i="3"/>
  <c r="L26" i="3"/>
  <c r="L25" i="3"/>
  <c r="L27" i="3" s="1"/>
  <c r="L42" i="3" s="1"/>
  <c r="L24" i="3"/>
  <c r="L23" i="3"/>
  <c r="L22" i="3"/>
  <c r="L18" i="3"/>
  <c r="L17" i="3"/>
  <c r="L16" i="3"/>
  <c r="L15" i="3"/>
  <c r="L14" i="3"/>
  <c r="L19" i="3" s="1"/>
  <c r="L11" i="3"/>
  <c r="P40" i="3"/>
  <c r="B62" i="3"/>
  <c r="R31" i="3"/>
  <c r="R33" i="3"/>
  <c r="P48" i="3"/>
  <c r="R48" i="3"/>
  <c r="L40" i="3"/>
  <c r="L49" i="3" l="1"/>
  <c r="H19" i="3"/>
  <c r="H51" i="3" s="1"/>
  <c r="L53" i="3" s="1"/>
  <c r="H25" i="7"/>
  <c r="E21" i="11"/>
  <c r="P51" i="3"/>
  <c r="Q10" i="3"/>
  <c r="G2" i="12"/>
  <c r="G54" i="3"/>
  <c r="L54" i="3" l="1"/>
  <c r="L55" i="3" s="1"/>
  <c r="L57" i="3" s="1"/>
  <c r="E20" i="11"/>
  <c r="E22" i="11"/>
  <c r="E23" i="11" s="1"/>
  <c r="E24" i="11" s="1"/>
  <c r="E25" i="11" s="1"/>
  <c r="E26" i="11" s="1"/>
  <c r="E27" i="11" s="1"/>
  <c r="E28" i="11" s="1"/>
  <c r="E29" i="11" s="1"/>
  <c r="E30" i="11" s="1"/>
  <c r="L51" i="3"/>
  <c r="G20" i="7" l="1"/>
  <c r="G11" i="7"/>
  <c r="G19" i="7"/>
  <c r="G18" i="7"/>
  <c r="F17" i="7" s="1"/>
  <c r="E34" i="11"/>
  <c r="E33" i="11"/>
  <c r="D23" i="11" l="1"/>
  <c r="D24" i="11" s="1"/>
  <c r="D25" i="11" s="1"/>
  <c r="D26" i="11" s="1"/>
  <c r="D27" i="11" s="1"/>
  <c r="D28" i="11" s="1"/>
  <c r="D29" i="11" s="1"/>
  <c r="D30" i="11" s="1"/>
  <c r="D22" i="11"/>
  <c r="D21" i="11"/>
  <c r="D33" i="11" s="1"/>
  <c r="D20" i="11"/>
  <c r="G24" i="7"/>
  <c r="D34" i="11" l="1"/>
  <c r="F26" i="7"/>
  <c r="G26" i="7"/>
  <c r="H26" i="7" s="1"/>
</calcChain>
</file>

<file path=xl/comments1.xml><?xml version="1.0" encoding="utf-8"?>
<comments xmlns="http://schemas.openxmlformats.org/spreadsheetml/2006/main">
  <authors>
    <author>Author</author>
  </authors>
  <commentList>
    <comment ref="D10" authorId="0" shapeId="0">
      <text>
        <r>
          <rPr>
            <b/>
            <sz val="9"/>
            <color indexed="81"/>
            <rFont val="Tahoma"/>
            <family val="2"/>
          </rPr>
          <t>Author:</t>
        </r>
        <r>
          <rPr>
            <sz val="9"/>
            <color indexed="81"/>
            <rFont val="Tahoma"/>
            <family val="2"/>
          </rPr>
          <t xml:space="preserve">
The calculation assumes soybeans will follow both CRP and Switchgrass production systems.</t>
        </r>
      </text>
    </comment>
  </commentList>
</comments>
</file>

<file path=xl/comments2.xml><?xml version="1.0" encoding="utf-8"?>
<comments xmlns="http://schemas.openxmlformats.org/spreadsheetml/2006/main">
  <authors>
    <author>Author</author>
  </authors>
  <commentList>
    <comment ref="A20" authorId="0" shapeId="0">
      <text>
        <r>
          <rPr>
            <sz val="9"/>
            <color indexed="81"/>
            <rFont val="Tahoma"/>
            <family val="2"/>
          </rPr>
          <t>Iowa State University Soil Research lab does the soil test for 5-acres plot.  
Soil test is done in the pre-establishment year. Based on field fertility 
condition, soil test might be required to determine nutrient requirements 
in the later years as well.</t>
        </r>
      </text>
    </comment>
  </commentList>
</comments>
</file>

<file path=xl/comments3.xml><?xml version="1.0" encoding="utf-8"?>
<comments xmlns="http://schemas.openxmlformats.org/spreadsheetml/2006/main">
  <authors>
    <author>Author</author>
  </authors>
  <commentList>
    <comment ref="B30" authorId="0" shapeId="0">
      <text>
        <r>
          <rPr>
            <sz val="9"/>
            <color indexed="81"/>
            <rFont val="Tahoma"/>
            <family val="2"/>
          </rPr>
          <t>Iowa State University Soil Research lab does the soil test for 5-acres plot.  
Soil test is done in the pre-establishment year. Based on field fertility 
condition, soil test might be required to determine nutrient requirements 
in the later years as well.</t>
        </r>
      </text>
    </comment>
  </commentList>
</comments>
</file>

<file path=xl/sharedStrings.xml><?xml version="1.0" encoding="utf-8"?>
<sst xmlns="http://schemas.openxmlformats.org/spreadsheetml/2006/main" count="325" uniqueCount="205">
  <si>
    <t>Brush Mowing</t>
  </si>
  <si>
    <t>Soil Finishing</t>
  </si>
  <si>
    <t>Operating Expenses</t>
  </si>
  <si>
    <t>Soil Test</t>
  </si>
  <si>
    <t>Annual Lime (including its application)</t>
  </si>
  <si>
    <t>Herbicide</t>
  </si>
  <si>
    <t>$ per acre</t>
  </si>
  <si>
    <t>$ per bale</t>
  </si>
  <si>
    <t>Windrowing</t>
  </si>
  <si>
    <t>Moving to Storage</t>
  </si>
  <si>
    <t>Disking, Tandem</t>
  </si>
  <si>
    <t>Total Cost for Pre-establishment and Field Preparation</t>
  </si>
  <si>
    <t>$ per pass</t>
  </si>
  <si>
    <t>$ per test</t>
  </si>
  <si>
    <t>$ per pound</t>
  </si>
  <si>
    <t>$ per ton</t>
  </si>
  <si>
    <t>$ per ounce</t>
  </si>
  <si>
    <t>Spraying Chemicals</t>
  </si>
  <si>
    <t>Fertilizer Spreading</t>
  </si>
  <si>
    <t>Pre-harvest Machinery Operations</t>
  </si>
  <si>
    <t>Total Pre-harvest Machinery Operations</t>
  </si>
  <si>
    <t>Fertilizer</t>
  </si>
  <si>
    <t>Nitrogen (N)</t>
  </si>
  <si>
    <t>Total Operating Expenses</t>
  </si>
  <si>
    <t>Land Charge</t>
  </si>
  <si>
    <t>Pre-establishment Cost for Field Preparation</t>
  </si>
  <si>
    <t>Interest rate</t>
  </si>
  <si>
    <t>8 month loan</t>
  </si>
  <si>
    <t>Harvest Machinery Operations</t>
  </si>
  <si>
    <t>Baling</t>
  </si>
  <si>
    <t>Total Harvest Machinery Operations</t>
  </si>
  <si>
    <t xml:space="preserve">Amortization Factor </t>
  </si>
  <si>
    <t>Date Printed:</t>
  </si>
  <si>
    <t>. . . and justice for all</t>
  </si>
  <si>
    <t xml:space="preserve">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 </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</si>
  <si>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</si>
  <si>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Drilling, grass seed</t>
  </si>
  <si>
    <t>$ per lb</t>
  </si>
  <si>
    <t>Post-emergence (2,4 D L)</t>
  </si>
  <si>
    <t>Swathing</t>
  </si>
  <si>
    <t>Seed Cost (pure live seed)</t>
  </si>
  <si>
    <t>Pre-emergence (Facet L)</t>
  </si>
  <si>
    <t>This work is supported by CenUSA Bioenergy and funded by Agriculture and Food Research Initiative Competitive Grant no. 2011-68005-30411 from the USDA National Institute of Food and Agriculture.</t>
  </si>
  <si>
    <t>Role</t>
  </si>
  <si>
    <t>Owner and Operator</t>
  </si>
  <si>
    <t>Cash Renter</t>
  </si>
  <si>
    <t>CRP</t>
  </si>
  <si>
    <t>Continuous Corn</t>
  </si>
  <si>
    <t>Corn/Soybean Rotation</t>
  </si>
  <si>
    <t>Pasture</t>
  </si>
  <si>
    <t>Yes</t>
  </si>
  <si>
    <t>No</t>
  </si>
  <si>
    <t>CroppingHistory</t>
  </si>
  <si>
    <t>Questions</t>
  </si>
  <si>
    <t>CC</t>
  </si>
  <si>
    <t>CS</t>
  </si>
  <si>
    <t>Per-acre annual CRP payment</t>
  </si>
  <si>
    <t>Per-acre annual maintenance costs paid by you</t>
  </si>
  <si>
    <t>Expected corn yield</t>
  </si>
  <si>
    <t xml:space="preserve">Per-acre corn stover payment </t>
  </si>
  <si>
    <t>Per-acre cash rental rate equivalent</t>
  </si>
  <si>
    <t>Expected soybean yield</t>
  </si>
  <si>
    <t>Per-acre cash rental rate for this pasture</t>
  </si>
  <si>
    <t>Expected average corn marketing price</t>
  </si>
  <si>
    <t>Expected soybean marketing price</t>
  </si>
  <si>
    <t>Expected corn marketing price</t>
  </si>
  <si>
    <t>Yes/No</t>
  </si>
  <si>
    <t>General Production Information for this Field</t>
  </si>
  <si>
    <t>Years</t>
  </si>
  <si>
    <t>More than 15</t>
  </si>
  <si>
    <t>B9="CRP","If this field were in production, what would be its per-acre cash rent equivalent?",IF(B9="Continuous Corn","What is the per-acre cash rent equivalent for this field?",IF(B9="Corn/Soybean Rotation","What is the per-acre cash rent equivalent for this field?",IF(B9="Pasture","What is the per-acre cash rent equivalent for this field?",""))))</t>
  </si>
  <si>
    <t>(B9="CRP","What is the per-acre annual CRP payment?",IF(B9="Continuous Corn","What is the expected per-acre corn yield?",IF(B9="Corn/Soybean Rotation","What is the expected per-acre corn yield?","")))</t>
  </si>
  <si>
    <t>(B9="CRP","What is your portion of the annual maintenance costs?",IF(B9="Continuous Corn","What is your expected marketing-year average corn price?",IF(B9="Corn/Soybean Rotation","What is your expected marketing-year average corn price?","")))</t>
  </si>
  <si>
    <t>B9="Continuous Corn","If stover will be removed, what is expected per-acre net revenue from stover?",IF(B9="Corn/Soybean Rotation","If stover will be removed, what is expected per-acre net revenue from stover?",""))</t>
  </si>
  <si>
    <t>(B9="Corn/Soybean Rotation","What is the expected per acre soybean yield on this field?","")</t>
  </si>
  <si>
    <t>B9="Corn/Soybean Rotation","What is your expected marketing-year average soybean price?","")</t>
  </si>
  <si>
    <t>lbs/bale</t>
  </si>
  <si>
    <t>Bales per acre</t>
  </si>
  <si>
    <t>Expected Grass Yield (tons/acre)</t>
  </si>
  <si>
    <t>Expected Stand Life (years)</t>
  </si>
  <si>
    <t>Interest Expense on Pre-harvest Machinery Ops and Op Expenses</t>
  </si>
  <si>
    <t>Total Cost of Production by Year (per acre)</t>
  </si>
  <si>
    <t>Total Establishment Costs (per acre)</t>
  </si>
  <si>
    <t>Prorated Annual Establishment Costs (per acre)</t>
  </si>
  <si>
    <t>Pasture for Grazing/Haying</t>
  </si>
  <si>
    <t>** The User will not see this worksheet.</t>
  </si>
  <si>
    <t>Basic Decision Tool</t>
  </si>
  <si>
    <t>C/S</t>
  </si>
  <si>
    <t>cash/rent equiv</t>
  </si>
  <si>
    <t>crp paymnet</t>
  </si>
  <si>
    <t>maintenance costs</t>
  </si>
  <si>
    <t>corn price</t>
  </si>
  <si>
    <t>stover revenue</t>
  </si>
  <si>
    <t>corn yield</t>
  </si>
  <si>
    <t>corn  price</t>
  </si>
  <si>
    <t>bean yield</t>
  </si>
  <si>
    <t>bean price</t>
  </si>
  <si>
    <t>bu / acre</t>
  </si>
  <si>
    <t>$ / bu</t>
  </si>
  <si>
    <t>net return</t>
  </si>
  <si>
    <t>$ / acre</t>
  </si>
  <si>
    <t>9. At what price ($ / ton dryweight) do you expect to be able to sell the harvested grass?</t>
  </si>
  <si>
    <t>Advanced Decision Tool</t>
  </si>
  <si>
    <t>Purpose</t>
  </si>
  <si>
    <t>Assumptions In This Decision Tool</t>
  </si>
  <si>
    <t>•  If you lease the land, does a lease stewardship clause exist and how does this impact your ability to make decisions on this land?</t>
  </si>
  <si>
    <t>Bale Size (lbs/bale)</t>
  </si>
  <si>
    <t>Price per unit (all years)</t>
  </si>
  <si>
    <t>Average Annual Costs Per Acre Including Establishment</t>
  </si>
  <si>
    <t>Expected annual revenue in remaining years</t>
  </si>
  <si>
    <t>Expected annualized costs</t>
  </si>
  <si>
    <t>Output: Switchgrass Summary &amp; Enterprise Comparison</t>
  </si>
  <si>
    <t>Costs and Revenues of Switchgrass for Biomass</t>
  </si>
  <si>
    <t>Break even Factors of Switchgrass for Biomass</t>
  </si>
  <si>
    <t>Switchgrass Production Inputs</t>
  </si>
  <si>
    <t>4. How many years do you anticipate having this field in switchgrass?</t>
  </si>
  <si>
    <t>The system is expected to break even in</t>
  </si>
  <si>
    <t>Switchgrass Costs (per acre)</t>
  </si>
  <si>
    <t>Year</t>
  </si>
  <si>
    <t>Switchgrass</t>
  </si>
  <si>
    <t>Yr. 2</t>
  </si>
  <si>
    <t>Yr. 3</t>
  </si>
  <si>
    <t>Yr. 4</t>
  </si>
  <si>
    <t>Yr. 5</t>
  </si>
  <si>
    <t xml:space="preserve">Yr. 6 </t>
  </si>
  <si>
    <t>Yr. 7</t>
  </si>
  <si>
    <t>Yr. 8</t>
  </si>
  <si>
    <t xml:space="preserve">Yr. 9 </t>
  </si>
  <si>
    <t>Yr. 10</t>
  </si>
  <si>
    <t>Average annual net return to switchgrass</t>
  </si>
  <si>
    <t>Winter-Killed Ground Cover (Oats)</t>
  </si>
  <si>
    <t>Units in Field Preparation Year</t>
  </si>
  <si>
    <t>Costs in Field Preparation Year</t>
  </si>
  <si>
    <t>Units in Grass Planting Year</t>
  </si>
  <si>
    <t>Costs in Grass Planting Year</t>
  </si>
  <si>
    <t>Units in 1st Year after Planting</t>
  </si>
  <si>
    <t>Costs in 1st Year after Planting</t>
  </si>
  <si>
    <t>Production Input Quantities During Field Preparation Year</t>
  </si>
  <si>
    <t>Production Input Quantities During Grass Planting Year</t>
  </si>
  <si>
    <t>Production Input Quantities After Planting Year</t>
  </si>
  <si>
    <t>5. How many years of productivity do you expect from the initial planting?</t>
  </si>
  <si>
    <t>Expected revenue in year following planting</t>
  </si>
  <si>
    <t>Herbicide Tolerant Crop</t>
  </si>
  <si>
    <t>Units in Field Preparation Year**</t>
  </si>
  <si>
    <t>Planting</t>
  </si>
  <si>
    <t>Effective years</t>
  </si>
  <si>
    <t xml:space="preserve">* Your responses to the questions in the "Your Production Estimates" worksheet will populate this sheet.  </t>
  </si>
  <si>
    <t>Additional Resources</t>
  </si>
  <si>
    <t>Switchgrass Production</t>
  </si>
  <si>
    <t>Fast Pyrolysis of Switchgrass</t>
  </si>
  <si>
    <t>Biochar: A Co-Product of Fast Pyrolysis</t>
  </si>
  <si>
    <t>Overviews of Biofuel from Switchgrass</t>
  </si>
  <si>
    <t>Best Practices and Production Management</t>
  </si>
  <si>
    <t>Stand Establishment Guide</t>
  </si>
  <si>
    <t>Stand Establishment Video</t>
  </si>
  <si>
    <t>Harvest Logistics Guide</t>
  </si>
  <si>
    <t>Harvest Logistics Video</t>
  </si>
  <si>
    <t>Drill Calibration Video</t>
  </si>
  <si>
    <t>Weed Control Guide</t>
  </si>
  <si>
    <t>Economics and Costs</t>
  </si>
  <si>
    <t>Switchgrass Diseases Video</t>
  </si>
  <si>
    <t>Liberty Switchgrass Production Cost Estimates</t>
  </si>
  <si>
    <t>Economics of Perennial Grasses</t>
  </si>
  <si>
    <t xml:space="preserve">* To use the advanced tool, input your own values in the yellow highlighted cells.  The shaded grey boxes can be changed by changing your inputs on the "Your Production Estimates" worksheet. </t>
  </si>
  <si>
    <t xml:space="preserve">Authors </t>
  </si>
  <si>
    <t>Chad E. Hart, Associate Professor &amp; Extension Economist, Iowa State University, chart@iastate.edu</t>
  </si>
  <si>
    <t>Rob Mitchell, Adjunct Associate Professor, University of Nebraska-Lincoln, USDA Research Agronomist, Rob.Mitchell@ars.usda.gov</t>
  </si>
  <si>
    <t>Keri L. Jacobs, Assistant Professor &amp; Extension Economist, Iowa State University, kljacobs@iastate.edu</t>
  </si>
  <si>
    <t>This work is supported by CenUSA Bioenergy and funded by Agriculture and Food Research Initiative Competitive Grant no. 2011-68005-30411 from the USDA National Institute of Food and Agriculture</t>
  </si>
  <si>
    <t>Please provide information in the yellow boxes specific to the field or field portion on which you are considering switchgrass for biomass.</t>
  </si>
  <si>
    <t>yrs</t>
  </si>
  <si>
    <t>$/ton</t>
  </si>
  <si>
    <t>/ton</t>
  </si>
  <si>
    <t>$/acre</t>
  </si>
  <si>
    <t>tons/acre</t>
  </si>
  <si>
    <t>/acre</t>
  </si>
  <si>
    <t>A Tool for Comparing Returns to Switchgrass for Bioenergy with Annual Crops and CRP</t>
  </si>
  <si>
    <t>To Grow or Not Grow: A Tool for Comparing Returns to Switchgrass For Bioenergy with Annual Crops and CRP</t>
  </si>
  <si>
    <t>To Grow or Not Grow:</t>
  </si>
  <si>
    <t>Authors: Keri L. Jacobs, Rob Mitchell, and Chad Hart</t>
  </si>
  <si>
    <r>
      <t>2. How many of the</t>
    </r>
    <r>
      <rPr>
        <b/>
        <sz val="10"/>
        <color theme="1"/>
        <rFont val="Arial"/>
        <family val="2"/>
      </rPr>
      <t xml:space="preserve"> acres</t>
    </r>
    <r>
      <rPr>
        <sz val="10"/>
        <color theme="1"/>
        <rFont val="Arial"/>
        <family val="2"/>
      </rPr>
      <t xml:space="preserve"> in this field do you want to consider for switchgrass?</t>
    </r>
  </si>
  <si>
    <r>
      <t xml:space="preserve">3. What is the recent cropping </t>
    </r>
    <r>
      <rPr>
        <b/>
        <sz val="10"/>
        <color theme="1"/>
        <rFont val="Arial"/>
        <family val="2"/>
      </rPr>
      <t>history</t>
    </r>
    <r>
      <rPr>
        <sz val="10"/>
        <color theme="1"/>
        <rFont val="Arial"/>
        <family val="2"/>
      </rPr>
      <t xml:space="preserve"> of the field?</t>
    </r>
  </si>
  <si>
    <r>
      <t>Grass</t>
    </r>
    <r>
      <rPr>
        <b/>
        <sz val="10"/>
        <color theme="1"/>
        <rFont val="Arial"/>
        <family val="2"/>
      </rPr>
      <t xml:space="preserve"> yield</t>
    </r>
    <r>
      <rPr>
        <sz val="10"/>
        <color theme="1"/>
        <rFont val="Arial"/>
        <family val="2"/>
      </rPr>
      <t xml:space="preserve"> needed to break even</t>
    </r>
  </si>
  <si>
    <r>
      <t xml:space="preserve">Grass </t>
    </r>
    <r>
      <rPr>
        <b/>
        <sz val="10"/>
        <color theme="1"/>
        <rFont val="Arial"/>
        <family val="2"/>
      </rPr>
      <t>price</t>
    </r>
    <r>
      <rPr>
        <sz val="10"/>
        <color theme="1"/>
        <rFont val="Arial"/>
        <family val="2"/>
      </rPr>
      <t xml:space="preserve"> needed to break even</t>
    </r>
  </si>
  <si>
    <r>
      <t xml:space="preserve">6. What is the expected yield of harvested biomass in the </t>
    </r>
    <r>
      <rPr>
        <u/>
        <sz val="10"/>
        <rFont val="Arial"/>
        <family val="2"/>
      </rPr>
      <t>year of planting</t>
    </r>
    <r>
      <rPr>
        <sz val="10"/>
        <rFont val="Arial"/>
        <family val="2"/>
      </rPr>
      <t>? (Note: 1.5-2.5 tons/acre is typical)</t>
    </r>
  </si>
  <si>
    <r>
      <t xml:space="preserve">7. What is the expected yield of harvested biomass in the </t>
    </r>
    <r>
      <rPr>
        <u/>
        <sz val="10"/>
        <rFont val="Arial"/>
        <family val="2"/>
      </rPr>
      <t>year following planting</t>
    </r>
    <r>
      <rPr>
        <sz val="10"/>
        <rFont val="Arial"/>
        <family val="2"/>
      </rPr>
      <t>? (Note: 3-4 tons/acre is typical)</t>
    </r>
  </si>
  <si>
    <r>
      <t xml:space="preserve">8. What is the expected yield of harvested biomass in the </t>
    </r>
    <r>
      <rPr>
        <u/>
        <sz val="10"/>
        <rFont val="Arial"/>
        <family val="2"/>
      </rPr>
      <t>remaining years of the stand</t>
    </r>
    <r>
      <rPr>
        <sz val="10"/>
        <rFont val="Arial"/>
        <family val="2"/>
      </rPr>
      <t>? (Note: 4-6 tons/acre is typical)</t>
    </r>
  </si>
  <si>
    <t>Ag Decision Maker -- Iowa State University Extension and Outreach</t>
  </si>
  <si>
    <r>
      <rPr>
        <sz val="10"/>
        <rFont val="Arial"/>
        <family val="2"/>
      </rPr>
      <t xml:space="preserve">See Information File, </t>
    </r>
    <r>
      <rPr>
        <u/>
        <sz val="10"/>
        <color rgb="FFC00000"/>
        <rFont val="Arial"/>
        <family val="2"/>
      </rPr>
      <t>To Grow or Not Grow: A Tool for Comparing Returns to Switchgrass For Bioenergy with Annual Crops and CRP</t>
    </r>
    <r>
      <rPr>
        <sz val="10"/>
        <rFont val="Arial"/>
        <family val="2"/>
      </rPr>
      <t xml:space="preserve"> for more information.</t>
    </r>
  </si>
  <si>
    <t>Version 1.0</t>
  </si>
  <si>
    <t>This decision tool is intended to be a guide for producers considering switchgrass for biomass. As such, the production estimates, returns, and costs provided are based on the best available information from the CenUSA team and other researchers. When evaluating switchgrass as a production alternative, producers should consider their specific field characteristics and productive capabilities and adjust, as necessary, the default values supplied.</t>
  </si>
  <si>
    <t>Unless you change the default values in the "Advanced Inputs" worksheet, the analysis is calculated using expected values from research for machinery requirements and costs, yields, and productive life of the switchgrass stand, among other things. You should consider your specific production situation to gain the most value from this tool. Most importantly, consider how the following will impact the economic feasibility of switchgrass on your land:</t>
  </si>
  <si>
    <t>•  How long will you control the field?  If you rent the land, uncertainty over securing the land for multiple years is a risk that should be accounted for. This tool does not incorporate that risk as a cost.</t>
  </si>
  <si>
    <t>•  If you are in an area without a reliable buyer for biomass from perennial grasses, there is uncertainty over the ability to sell at a given price and time. Marketing risks are not incorporated in this tool.</t>
  </si>
  <si>
    <t>•  The effect of perennial grasses on crop insurance is not included. Check with your crop insurance provider to understand the associated costs and impact.</t>
  </si>
  <si>
    <t>To use the basic decision tool, start with the worksheet named, "Your Production Estimates." This information you supply here will be used to construct break-even analyses and also chart the returns to switchgrass based on your input and other production information. System summaries are provided in the "Switchgrass Summary and Enterprise Comparison" output on the same page; charted returns for switchgrass and the comparison crop are in the worksheet titled, "Chart Comparison of Returns."</t>
  </si>
  <si>
    <t>To use the more advanced form of the decision tool, start with the worksheet named, "Your Production Estimates." Supply the appropriate information. Then, go to the "Advanced Inputs" worksheet. In this worksheet, you can supply detailed enterprise budget information by changing the yellow highlighted cells. This adjusted information is incorporated into the "Switchgrass Summary and Enterprise Comparison" output.</t>
  </si>
  <si>
    <r>
      <t>Default Values for Switchgrass Production Costs in the Midwest</t>
    </r>
    <r>
      <rPr>
        <b/>
        <vertAlign val="superscript"/>
        <sz val="10"/>
        <color theme="1"/>
        <rFont val="Arial"/>
        <family val="2"/>
      </rPr>
      <t>*</t>
    </r>
  </si>
  <si>
    <r>
      <t>Phosphorus (P</t>
    </r>
    <r>
      <rPr>
        <vertAlign val="subscript"/>
        <sz val="10"/>
        <rFont val="Arial"/>
        <family val="2"/>
      </rPr>
      <t>2</t>
    </r>
    <r>
      <rPr>
        <sz val="10"/>
        <rFont val="Arial"/>
        <family val="2"/>
      </rPr>
      <t>O</t>
    </r>
    <r>
      <rPr>
        <vertAlign val="subscript"/>
        <sz val="10"/>
        <rFont val="Arial"/>
        <family val="2"/>
      </rPr>
      <t>2</t>
    </r>
    <r>
      <rPr>
        <sz val="10"/>
        <rFont val="Arial"/>
        <family val="2"/>
      </rPr>
      <t>)</t>
    </r>
  </si>
  <si>
    <r>
      <t>Potassium (K</t>
    </r>
    <r>
      <rPr>
        <vertAlign val="subscript"/>
        <sz val="10"/>
        <rFont val="Arial"/>
        <family val="2"/>
      </rPr>
      <t>2</t>
    </r>
    <r>
      <rPr>
        <sz val="10"/>
        <rFont val="Arial"/>
        <family val="2"/>
      </rPr>
      <t>O)</t>
    </r>
  </si>
  <si>
    <t>10. What size of bale will use in collection? (Note: the typical bale size is 1,250 lbs / bale)</t>
  </si>
  <si>
    <r>
      <rPr>
        <i/>
        <vertAlign val="superscript"/>
        <sz val="10"/>
        <rFont val="Arial"/>
        <family val="2"/>
      </rPr>
      <t>**</t>
    </r>
    <r>
      <rPr>
        <i/>
        <sz val="10"/>
        <rFont val="Arial"/>
        <family val="2"/>
      </rPr>
      <t xml:space="preserve"> For continuous corn or corn/soybean rotation conversions, please set the field preparation units to zero.</t>
    </r>
  </si>
  <si>
    <r>
      <t xml:space="preserve">* Default values derived from ISU's Ag Decision Maker file </t>
    </r>
    <r>
      <rPr>
        <i/>
        <u/>
        <sz val="10"/>
        <color theme="3"/>
        <rFont val="Arial"/>
        <family val="2"/>
      </rPr>
      <t>AgDM A1-29, "Estimated Cost of Establishment and Production of Switchgrass in Iowa"</t>
    </r>
    <r>
      <rPr>
        <i/>
        <sz val="10"/>
        <rFont val="Arial"/>
        <family val="2"/>
      </rPr>
      <t xml:space="preserve"> and based on conversion from pasture/CRP.</t>
    </r>
  </si>
  <si>
    <r>
      <t xml:space="preserve">1. How do you </t>
    </r>
    <r>
      <rPr>
        <b/>
        <sz val="10"/>
        <color theme="1"/>
        <rFont val="Arial"/>
        <family val="2"/>
      </rPr>
      <t>control</t>
    </r>
    <r>
      <rPr>
        <sz val="10"/>
        <color theme="1"/>
        <rFont val="Arial"/>
        <family val="2"/>
      </rPr>
      <t xml:space="preserve"> this field (i.e. cash renter, owner and operator)?</t>
    </r>
  </si>
  <si>
    <t>Switchgrass stands are generally assumed to have a productive life of 10 years before reestablishment is needed. Stand life and productivity are based on a number of factors, including location, cultivar planted, rainfall, and management. Please indicate here the assumptions under which you wish to calculate the returns to switchgrass production. For more information, refer to the "Resources &amp; Guide"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</si>
</sst>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0.0"/>
  </numFmts>
  <fonts count="45"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name val="Arial"/>
      <family val="2"/>
    </font>
    <font>
      <u/>
      <sz val="10"/>
      <color indexed="12"/>
      <name val="Arial"/>
      <family val="2"/>
    </font>
    <font>
      <sz val="9"/>
      <color indexed="81"/>
      <name val="Tahoma"/>
      <family val="2"/>
    </font>
    <font>
      <sz val="11"/>
      <color rgb="FFC00000"/>
      <name val="Calibri"/>
      <family val="2"/>
      <scheme val="minor"/>
    </font>
    <font>
      <b/>
      <sz val="11"/>
      <color theme="1"/>
      <name val="Calibri"/>
      <family val="2"/>
      <scheme val="minor"/>
    </font>
    <font>
      <u/>
      <sz val="11"/>
      <color theme="10"/>
      <name val="Calibri"/>
      <family val="2"/>
      <scheme val="minor"/>
    </font>
    <font>
      <sz val="10"/>
      <color rgb="FFFF0000"/>
      <name val="Arial"/>
      <family val="2"/>
    </font>
    <font>
      <b/>
      <sz val="10"/>
      <color theme="1"/>
      <name val="Arial"/>
      <family val="2"/>
    </font>
    <font>
      <sz val="10"/>
      <color theme="0"/>
      <name val="Arial"/>
      <family val="2"/>
    </font>
    <font>
      <sz val="12"/>
      <color theme="1"/>
      <name val="Arial"/>
      <family val="2"/>
    </font>
    <font>
      <b/>
      <sz val="18"/>
      <name val="Arial"/>
      <family val="2"/>
    </font>
    <font>
      <b/>
      <sz val="12"/>
      <color theme="1"/>
      <name val="Arial"/>
      <family val="2"/>
    </font>
    <font>
      <sz val="12"/>
      <name val="Arial"/>
      <family val="2"/>
    </font>
    <font>
      <sz val="14"/>
      <color theme="0"/>
      <name val="Arial"/>
      <family val="2"/>
    </font>
    <font>
      <b/>
      <sz val="14"/>
      <color theme="0"/>
      <name val="Arial"/>
      <family val="2"/>
    </font>
    <font>
      <b/>
      <sz val="11"/>
      <color theme="0"/>
      <name val="Arial"/>
      <family val="2"/>
    </font>
    <font>
      <sz val="10"/>
      <color theme="2" tint="-9.9978637043366805E-2"/>
      <name val="Arial"/>
      <family val="2"/>
    </font>
    <font>
      <i/>
      <sz val="10"/>
      <name val="Arial"/>
      <family val="2"/>
    </font>
    <font>
      <b/>
      <sz val="10"/>
      <color rgb="FFC00000"/>
      <name val="Arial"/>
      <family val="2"/>
    </font>
    <font>
      <u/>
      <sz val="10"/>
      <name val="Arial"/>
      <family val="2"/>
    </font>
    <font>
      <u/>
      <sz val="10"/>
      <color theme="1"/>
      <name val="Arial"/>
      <family val="2"/>
    </font>
    <font>
      <b/>
      <i/>
      <sz val="10"/>
      <color theme="1"/>
      <name val="Arial"/>
      <family val="2"/>
    </font>
    <font>
      <i/>
      <sz val="10"/>
      <color theme="1"/>
      <name val="Arial"/>
      <family val="2"/>
    </font>
    <font>
      <b/>
      <sz val="11"/>
      <color rgb="FF333333"/>
      <name val="Arial"/>
      <family val="2"/>
    </font>
    <font>
      <sz val="10"/>
      <color rgb="FFC00000"/>
      <name val="Arial"/>
      <family val="2"/>
    </font>
    <font>
      <u/>
      <sz val="10"/>
      <color rgb="FFC00000"/>
      <name val="Arial"/>
      <family val="2"/>
    </font>
    <font>
      <sz val="6"/>
      <color rgb="FF333333"/>
      <name val="Arial"/>
      <family val="2"/>
    </font>
    <font>
      <sz val="10"/>
      <color theme="6" tint="-0.499984740745262"/>
      <name val="Arial"/>
      <family val="2"/>
    </font>
    <font>
      <b/>
      <sz val="10"/>
      <name val="Arial"/>
      <family val="2"/>
    </font>
    <font>
      <b/>
      <i/>
      <sz val="11"/>
      <color theme="0"/>
      <name val="Arial"/>
      <family val="2"/>
    </font>
    <font>
      <sz val="12"/>
      <color indexed="63"/>
      <name val="Arial"/>
      <family val="2"/>
    </font>
    <font>
      <b/>
      <vertAlign val="superscript"/>
      <sz val="10"/>
      <color theme="1"/>
      <name val="Arial"/>
      <family val="2"/>
    </font>
    <font>
      <vertAlign val="subscript"/>
      <sz val="10"/>
      <name val="Arial"/>
      <family val="2"/>
    </font>
    <font>
      <i/>
      <u/>
      <sz val="10"/>
      <color theme="3"/>
      <name val="Arial"/>
      <family val="2"/>
    </font>
    <font>
      <i/>
      <vertAlign val="superscript"/>
      <sz val="10"/>
      <name val="Arial"/>
      <family val="2"/>
    </font>
    <font>
      <sz val="10"/>
      <color rgb="FF000000"/>
      <name val="Arial"/>
      <family val="2"/>
    </font>
    <font>
      <sz val="10"/>
      <color indexed="63"/>
      <name val="Arial"/>
      <family val="2"/>
    </font>
    <font>
      <b/>
      <sz val="12"/>
      <color indexed="60"/>
      <name val="Arial"/>
      <family val="2"/>
    </font>
    <font>
      <b/>
      <sz val="12"/>
      <color indexed="63"/>
      <name val="Arial"/>
      <family val="2"/>
    </font>
    <font>
      <b/>
      <sz val="10"/>
      <color indexed="9"/>
      <name val="Arial"/>
      <family val="2"/>
    </font>
    <font>
      <b/>
      <sz val="9"/>
      <color indexed="81"/>
      <name val="Tahoma"/>
      <family val="2"/>
    </font>
  </fonts>
  <fills count="8">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C00000"/>
        <bgColor indexed="64"/>
      </patternFill>
    </fill>
  </fills>
  <borders count="20">
    <border>
      <left/>
      <right/>
      <top/>
      <bottom/>
      <diagonal/>
    </border>
    <border>
      <left/>
      <right/>
      <top/>
      <bottom style="thin">
        <color auto="1"/>
      </bottom>
      <diagonal/>
    </border>
    <border>
      <left/>
      <right/>
      <top/>
      <bottom style="double">
        <color auto="1"/>
      </bottom>
      <diagonal/>
    </border>
    <border>
      <left/>
      <right/>
      <top style="thin">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style="thin">
        <color theme="1" tint="0.499984740745262"/>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2" tint="-9.9948118533890809E-2"/>
      </bottom>
      <diagonal/>
    </border>
    <border>
      <left style="thin">
        <color auto="1"/>
      </left>
      <right style="thin">
        <color auto="1"/>
      </right>
      <top/>
      <bottom style="thin">
        <color auto="1"/>
      </bottom>
      <diagonal/>
    </border>
    <border>
      <left style="thin">
        <color theme="1" tint="0.499984740745262"/>
      </left>
      <right/>
      <top/>
      <bottom style="thin">
        <color auto="1"/>
      </bottom>
      <diagonal/>
    </border>
  </borders>
  <cellStyleXfs count="7">
    <xf numFmtId="0" fontId="0" fillId="0" borderId="0"/>
    <xf numFmtId="44" fontId="3" fillId="0" borderId="0" applyFont="0" applyFill="0" applyBorder="0" applyAlignment="0" applyProtection="0"/>
    <xf numFmtId="0" fontId="4" fillId="0" borderId="0"/>
    <xf numFmtId="0" fontId="5" fillId="0" borderId="0" applyNumberFormat="0" applyFill="0" applyBorder="0" applyAlignment="0" applyProtection="0">
      <alignment vertical="top"/>
      <protection locked="0"/>
    </xf>
    <xf numFmtId="9" fontId="3" fillId="0" borderId="0" applyFont="0" applyFill="0" applyBorder="0" applyAlignment="0" applyProtection="0"/>
    <xf numFmtId="43" fontId="3" fillId="0" borderId="0" applyFont="0" applyFill="0" applyBorder="0" applyAlignment="0" applyProtection="0"/>
    <xf numFmtId="0" fontId="9" fillId="0" borderId="0" applyNumberFormat="0" applyFill="0" applyBorder="0" applyAlignment="0" applyProtection="0"/>
  </cellStyleXfs>
  <cellXfs count="243">
    <xf numFmtId="0" fontId="0" fillId="0" borderId="0" xfId="0"/>
    <xf numFmtId="0" fontId="7" fillId="0" borderId="0" xfId="0" applyFont="1"/>
    <xf numFmtId="0" fontId="8" fillId="0" borderId="0" xfId="0" applyFont="1"/>
    <xf numFmtId="2" fontId="0" fillId="0" borderId="0" xfId="0" applyNumberFormat="1" applyAlignment="1">
      <alignment horizontal="center"/>
    </xf>
    <xf numFmtId="0" fontId="20" fillId="6" borderId="0" xfId="0" applyFont="1" applyFill="1"/>
    <xf numFmtId="0" fontId="2" fillId="0" borderId="0" xfId="0" applyFont="1"/>
    <xf numFmtId="0" fontId="2" fillId="0" borderId="0" xfId="0" applyFont="1" applyAlignment="1">
      <alignment horizontal="left" indent="2"/>
    </xf>
    <xf numFmtId="0" fontId="2" fillId="2" borderId="13" xfId="0" applyFont="1" applyFill="1" applyBorder="1" applyAlignment="1" applyProtection="1">
      <alignment horizontal="center"/>
      <protection locked="0"/>
    </xf>
    <xf numFmtId="0" fontId="2" fillId="3" borderId="9" xfId="0" applyFont="1" applyFill="1" applyBorder="1"/>
    <xf numFmtId="0" fontId="2" fillId="3" borderId="0" xfId="0" applyFont="1" applyFill="1" applyBorder="1" applyAlignment="1">
      <alignment horizontal="right"/>
    </xf>
    <xf numFmtId="0" fontId="2" fillId="3" borderId="10" xfId="0" applyFont="1" applyFill="1" applyBorder="1"/>
    <xf numFmtId="1" fontId="2" fillId="2" borderId="13" xfId="0" applyNumberFormat="1" applyFont="1" applyFill="1" applyBorder="1" applyAlignment="1" applyProtection="1">
      <alignment horizontal="center"/>
      <protection locked="0"/>
    </xf>
    <xf numFmtId="0" fontId="11" fillId="5" borderId="9" xfId="0" applyFont="1" applyFill="1" applyBorder="1" applyAlignment="1">
      <alignment horizontal="left" indent="1"/>
    </xf>
    <xf numFmtId="0" fontId="2" fillId="5" borderId="0" xfId="0" applyFont="1" applyFill="1" applyBorder="1" applyAlignment="1">
      <alignment horizontal="right"/>
    </xf>
    <xf numFmtId="0" fontId="2" fillId="5" borderId="10" xfId="0" applyFont="1" applyFill="1" applyBorder="1"/>
    <xf numFmtId="0" fontId="11" fillId="3" borderId="9" xfId="0" applyFont="1" applyFill="1" applyBorder="1"/>
    <xf numFmtId="0" fontId="2" fillId="0" borderId="0" xfId="0" applyFont="1" applyAlignment="1">
      <alignment horizontal="left" indent="4"/>
    </xf>
    <xf numFmtId="4" fontId="2" fillId="2" borderId="13" xfId="1" applyNumberFormat="1" applyFont="1" applyFill="1" applyBorder="1" applyAlignment="1" applyProtection="1">
      <alignment horizontal="center"/>
      <protection locked="0"/>
    </xf>
    <xf numFmtId="0" fontId="2" fillId="3" borderId="9" xfId="0" applyFont="1" applyFill="1" applyBorder="1" applyAlignment="1">
      <alignment horizontal="left" indent="2"/>
    </xf>
    <xf numFmtId="164" fontId="11" fillId="3" borderId="0" xfId="1" applyNumberFormat="1" applyFont="1" applyFill="1" applyBorder="1" applyAlignment="1">
      <alignment horizontal="center"/>
    </xf>
    <xf numFmtId="4" fontId="2" fillId="0" borderId="0" xfId="1" applyNumberFormat="1" applyFont="1" applyFill="1" applyBorder="1" applyAlignment="1" applyProtection="1">
      <alignment horizontal="center"/>
      <protection locked="0"/>
    </xf>
    <xf numFmtId="44" fontId="2" fillId="3" borderId="0" xfId="1" applyFont="1" applyFill="1" applyBorder="1" applyAlignment="1">
      <alignment horizontal="right"/>
    </xf>
    <xf numFmtId="44" fontId="2" fillId="5" borderId="0" xfId="1" applyFont="1" applyFill="1" applyBorder="1" applyAlignment="1">
      <alignment horizontal="right"/>
    </xf>
    <xf numFmtId="0" fontId="22" fillId="3" borderId="9" xfId="0" applyFont="1" applyFill="1" applyBorder="1" applyAlignment="1">
      <alignment horizontal="left" indent="2"/>
    </xf>
    <xf numFmtId="1" fontId="11" fillId="3" borderId="0" xfId="1" applyNumberFormat="1" applyFont="1" applyFill="1" applyBorder="1" applyAlignment="1">
      <alignment horizontal="center"/>
    </xf>
    <xf numFmtId="0" fontId="2" fillId="3" borderId="10" xfId="0" applyNumberFormat="1" applyFont="1" applyFill="1" applyBorder="1" applyAlignment="1">
      <alignment horizontal="left"/>
    </xf>
    <xf numFmtId="2" fontId="11" fillId="3" borderId="0" xfId="0" applyNumberFormat="1" applyFont="1" applyFill="1" applyBorder="1" applyAlignment="1">
      <alignment horizontal="center"/>
    </xf>
    <xf numFmtId="0" fontId="2" fillId="0" borderId="0" xfId="0" applyFont="1" applyAlignment="1">
      <alignment horizontal="left" indent="3"/>
    </xf>
    <xf numFmtId="0" fontId="2" fillId="0" borderId="0" xfId="1" applyNumberFormat="1" applyFont="1" applyFill="1" applyAlignment="1">
      <alignment horizontal="center"/>
    </xf>
    <xf numFmtId="164" fontId="11" fillId="3" borderId="0" xfId="0" applyNumberFormat="1" applyFont="1" applyFill="1" applyBorder="1" applyAlignment="1">
      <alignment horizontal="center"/>
    </xf>
    <xf numFmtId="0" fontId="10" fillId="3" borderId="9" xfId="0" applyFont="1" applyFill="1" applyBorder="1" applyAlignment="1">
      <alignment horizontal="left" indent="2"/>
    </xf>
    <xf numFmtId="0" fontId="4" fillId="0" borderId="0" xfId="0" applyFont="1" applyAlignment="1">
      <alignment horizontal="left" indent="3"/>
    </xf>
    <xf numFmtId="2" fontId="2" fillId="2" borderId="13" xfId="0" applyNumberFormat="1" applyFont="1" applyFill="1" applyBorder="1" applyAlignment="1" applyProtection="1">
      <alignment horizontal="center"/>
      <protection locked="0"/>
    </xf>
    <xf numFmtId="0" fontId="2" fillId="3" borderId="11" xfId="0" applyFont="1" applyFill="1" applyBorder="1"/>
    <xf numFmtId="0" fontId="2" fillId="3" borderId="1" xfId="0" applyFont="1" applyFill="1" applyBorder="1" applyAlignment="1">
      <alignment horizontal="right"/>
    </xf>
    <xf numFmtId="0" fontId="2" fillId="3" borderId="12" xfId="0" applyFont="1" applyFill="1" applyBorder="1"/>
    <xf numFmtId="0" fontId="2" fillId="0" borderId="0" xfId="0" applyFont="1" applyAlignment="1">
      <alignment horizontal="right"/>
    </xf>
    <xf numFmtId="2" fontId="2" fillId="2" borderId="13" xfId="1" applyNumberFormat="1" applyFont="1" applyFill="1" applyBorder="1" applyAlignment="1" applyProtection="1">
      <alignment horizontal="center" vertical="center"/>
      <protection locked="0"/>
    </xf>
    <xf numFmtId="37" fontId="2" fillId="2" borderId="13" xfId="5" applyNumberFormat="1" applyFont="1" applyFill="1" applyBorder="1" applyAlignment="1" applyProtection="1">
      <alignment horizontal="center"/>
      <protection locked="0"/>
    </xf>
    <xf numFmtId="165" fontId="24" fillId="0" borderId="0" xfId="0" applyNumberFormat="1" applyFont="1" applyFill="1" applyAlignment="1">
      <alignment horizontal="center"/>
    </xf>
    <xf numFmtId="0" fontId="2" fillId="0" borderId="0" xfId="0" applyFont="1" applyAlignment="1">
      <alignment horizontal="center"/>
    </xf>
    <xf numFmtId="0" fontId="17" fillId="7" borderId="17" xfId="0" applyFont="1" applyFill="1" applyBorder="1"/>
    <xf numFmtId="0" fontId="27" fillId="0" borderId="0" xfId="0" applyFont="1"/>
    <xf numFmtId="0" fontId="23" fillId="0" borderId="0" xfId="6" applyFont="1"/>
    <xf numFmtId="0" fontId="30" fillId="0" borderId="0" xfId="0" applyFont="1" applyAlignment="1">
      <alignment vertical="center"/>
    </xf>
    <xf numFmtId="0" fontId="0" fillId="0" borderId="0" xfId="0" applyAlignment="1">
      <alignment vertical="center" wrapText="1"/>
    </xf>
    <xf numFmtId="0" fontId="20" fillId="0" borderId="0" xfId="0" applyFont="1" applyFill="1"/>
    <xf numFmtId="0" fontId="25" fillId="0" borderId="0" xfId="0" applyFont="1"/>
    <xf numFmtId="0" fontId="2" fillId="0" borderId="0" xfId="0" applyFont="1" applyAlignment="1">
      <alignment horizontal="left" indent="1"/>
    </xf>
    <xf numFmtId="0" fontId="31" fillId="0" borderId="0" xfId="6" applyFont="1" applyAlignment="1">
      <alignment horizontal="left" indent="2"/>
    </xf>
    <xf numFmtId="0" fontId="12" fillId="7" borderId="3" xfId="0" applyFont="1" applyFill="1" applyBorder="1"/>
    <xf numFmtId="0" fontId="12" fillId="7" borderId="8" xfId="0" applyFont="1" applyFill="1" applyBorder="1"/>
    <xf numFmtId="0" fontId="12" fillId="7" borderId="1" xfId="0" applyFont="1" applyFill="1" applyBorder="1"/>
    <xf numFmtId="0" fontId="12" fillId="7" borderId="12" xfId="0" applyFont="1" applyFill="1" applyBorder="1"/>
    <xf numFmtId="0" fontId="25" fillId="6" borderId="14" xfId="0" applyFont="1" applyFill="1" applyBorder="1"/>
    <xf numFmtId="0" fontId="11" fillId="6" borderId="15" xfId="0" applyFont="1" applyFill="1" applyBorder="1"/>
    <xf numFmtId="0" fontId="11" fillId="6" borderId="16" xfId="0" applyFont="1" applyFill="1" applyBorder="1"/>
    <xf numFmtId="0" fontId="19" fillId="7" borderId="11" xfId="0" applyFont="1" applyFill="1" applyBorder="1"/>
    <xf numFmtId="0" fontId="33" fillId="7" borderId="1" xfId="0" applyFont="1" applyFill="1" applyBorder="1"/>
    <xf numFmtId="0" fontId="19" fillId="7" borderId="1" xfId="0" applyFont="1" applyFill="1" applyBorder="1"/>
    <xf numFmtId="2" fontId="13" fillId="0" borderId="0" xfId="0" applyNumberFormat="1" applyFont="1" applyBorder="1" applyAlignment="1" applyProtection="1">
      <alignment horizontal="center"/>
    </xf>
    <xf numFmtId="2" fontId="13" fillId="0" borderId="0" xfId="0" applyNumberFormat="1" applyFont="1" applyAlignment="1" applyProtection="1">
      <alignment horizontal="left"/>
    </xf>
    <xf numFmtId="0" fontId="13" fillId="0" borderId="0" xfId="0" applyFont="1" applyProtection="1"/>
    <xf numFmtId="0" fontId="16" fillId="0" borderId="0" xfId="0" applyFont="1" applyProtection="1"/>
    <xf numFmtId="0" fontId="34" fillId="0" borderId="0" xfId="0" applyFont="1" applyAlignment="1" applyProtection="1">
      <alignment wrapText="1"/>
    </xf>
    <xf numFmtId="2" fontId="2" fillId="0" borderId="0" xfId="0" applyNumberFormat="1" applyFont="1" applyBorder="1" applyProtection="1"/>
    <xf numFmtId="2" fontId="11" fillId="0" borderId="0" xfId="0" applyNumberFormat="1" applyFont="1" applyBorder="1" applyAlignment="1" applyProtection="1">
      <alignment horizontal="center" vertical="center" wrapText="1"/>
    </xf>
    <xf numFmtId="2" fontId="11" fillId="0" borderId="0" xfId="0" applyNumberFormat="1" applyFont="1" applyBorder="1" applyAlignment="1" applyProtection="1">
      <alignment horizontal="center" wrapText="1"/>
    </xf>
    <xf numFmtId="2" fontId="2" fillId="0" borderId="0" xfId="0" applyNumberFormat="1" applyFont="1" applyBorder="1" applyAlignment="1" applyProtection="1"/>
    <xf numFmtId="164" fontId="2" fillId="3" borderId="4" xfId="0" applyNumberFormat="1" applyFont="1" applyFill="1" applyBorder="1" applyAlignment="1" applyProtection="1">
      <alignment horizontal="center"/>
      <protection locked="0"/>
    </xf>
    <xf numFmtId="2" fontId="2" fillId="3" borderId="4"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right"/>
    </xf>
    <xf numFmtId="0" fontId="2" fillId="0" borderId="0" xfId="0" applyFont="1" applyBorder="1" applyProtection="1">
      <protection locked="0"/>
    </xf>
    <xf numFmtId="2" fontId="2" fillId="0" borderId="0" xfId="0" applyNumberFormat="1" applyFont="1" applyBorder="1" applyAlignment="1" applyProtection="1">
      <alignment horizontal="left"/>
      <protection locked="0"/>
    </xf>
    <xf numFmtId="164" fontId="2" fillId="0" borderId="0" xfId="0" applyNumberFormat="1" applyFont="1" applyBorder="1" applyAlignment="1" applyProtection="1">
      <alignment horizontal="center"/>
      <protection locked="0"/>
    </xf>
    <xf numFmtId="2" fontId="2" fillId="0" borderId="0" xfId="0" applyNumberFormat="1" applyFont="1" applyBorder="1" applyAlignment="1" applyProtection="1">
      <alignment horizontal="left" indent="5"/>
    </xf>
    <xf numFmtId="2" fontId="4" fillId="0" borderId="0" xfId="0" applyNumberFormat="1" applyFont="1" applyBorder="1" applyAlignment="1" applyProtection="1">
      <alignment horizontal="left" indent="5"/>
    </xf>
    <xf numFmtId="2" fontId="2" fillId="0" borderId="0" xfId="0" applyNumberFormat="1" applyFont="1" applyBorder="1" applyAlignment="1" applyProtection="1">
      <alignment horizontal="left"/>
    </xf>
    <xf numFmtId="164" fontId="4" fillId="0" borderId="0" xfId="0" applyNumberFormat="1" applyFont="1" applyBorder="1" applyAlignment="1" applyProtection="1">
      <alignment horizontal="center"/>
      <protection locked="0"/>
    </xf>
    <xf numFmtId="2" fontId="2" fillId="0" borderId="0" xfId="0" applyNumberFormat="1" applyFont="1" applyFill="1" applyBorder="1" applyAlignment="1" applyProtection="1">
      <alignment horizontal="left"/>
      <protection locked="0"/>
    </xf>
    <xf numFmtId="164" fontId="11" fillId="0" borderId="0" xfId="0" applyNumberFormat="1" applyFont="1" applyBorder="1" applyAlignment="1" applyProtection="1">
      <alignment horizontal="center"/>
      <protection locked="0"/>
    </xf>
    <xf numFmtId="2" fontId="11" fillId="0" borderId="0" xfId="0" applyNumberFormat="1" applyFont="1" applyBorder="1" applyAlignment="1" applyProtection="1">
      <alignment horizontal="left"/>
      <protection locked="0"/>
    </xf>
    <xf numFmtId="2" fontId="4" fillId="3" borderId="4" xfId="0" applyNumberFormat="1" applyFont="1" applyFill="1" applyBorder="1" applyAlignment="1" applyProtection="1">
      <alignment horizontal="center"/>
      <protection locked="0"/>
    </xf>
    <xf numFmtId="2" fontId="4" fillId="0" borderId="0" xfId="0" applyNumberFormat="1" applyFont="1" applyBorder="1" applyAlignment="1" applyProtection="1"/>
    <xf numFmtId="2" fontId="4" fillId="0" borderId="0" xfId="0" applyNumberFormat="1" applyFont="1" applyBorder="1" applyProtection="1"/>
    <xf numFmtId="2" fontId="2" fillId="0" borderId="0" xfId="0" applyNumberFormat="1" applyFont="1" applyBorder="1" applyAlignment="1" applyProtection="1">
      <alignment horizontal="center"/>
      <protection locked="0"/>
    </xf>
    <xf numFmtId="2" fontId="11" fillId="0" borderId="0" xfId="0" applyNumberFormat="1" applyFont="1" applyBorder="1" applyAlignment="1" applyProtection="1">
      <alignment horizontal="center"/>
      <protection locked="0"/>
    </xf>
    <xf numFmtId="164" fontId="4" fillId="0" borderId="0" xfId="0" applyNumberFormat="1" applyFont="1" applyFill="1" applyBorder="1" applyAlignment="1" applyProtection="1">
      <alignment horizontal="center"/>
      <protection locked="0"/>
    </xf>
    <xf numFmtId="2" fontId="2" fillId="0" borderId="0" xfId="0" applyNumberFormat="1" applyFont="1" applyFill="1" applyBorder="1" applyAlignment="1" applyProtection="1">
      <alignment horizontal="center"/>
      <protection locked="0"/>
    </xf>
    <xf numFmtId="2" fontId="4" fillId="0" borderId="0" xfId="0" applyNumberFormat="1" applyFont="1" applyBorder="1" applyAlignment="1" applyProtection="1">
      <alignment horizontal="left" indent="8"/>
    </xf>
    <xf numFmtId="2" fontId="4" fillId="0" borderId="0" xfId="0" applyNumberFormat="1" applyFont="1" applyFill="1" applyBorder="1" applyAlignment="1" applyProtection="1">
      <alignment horizontal="center"/>
      <protection locked="0"/>
    </xf>
    <xf numFmtId="2" fontId="4" fillId="0" borderId="5" xfId="0" applyNumberFormat="1" applyFont="1" applyFill="1" applyBorder="1" applyAlignment="1" applyProtection="1">
      <alignment horizontal="center"/>
      <protection locked="0"/>
    </xf>
    <xf numFmtId="2" fontId="4" fillId="0" borderId="0" xfId="0" applyNumberFormat="1" applyFont="1" applyFill="1" applyBorder="1" applyAlignment="1" applyProtection="1"/>
    <xf numFmtId="164" fontId="2" fillId="0"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xf>
    <xf numFmtId="2" fontId="2" fillId="0" borderId="0" xfId="0" applyNumberFormat="1" applyFont="1" applyAlignment="1" applyProtection="1">
      <alignment horizontal="left"/>
    </xf>
    <xf numFmtId="2" fontId="4" fillId="0" borderId="0" xfId="0" applyNumberFormat="1" applyFont="1" applyProtection="1"/>
    <xf numFmtId="2" fontId="4" fillId="0" borderId="0" xfId="0" applyNumberFormat="1" applyFont="1" applyBorder="1" applyAlignment="1" applyProtection="1">
      <alignment horizontal="center"/>
    </xf>
    <xf numFmtId="0" fontId="2" fillId="0" borderId="0" xfId="0" applyFont="1" applyProtection="1"/>
    <xf numFmtId="2" fontId="21" fillId="0" borderId="0" xfId="0" applyNumberFormat="1" applyFont="1" applyAlignment="1" applyProtection="1">
      <alignment horizontal="left"/>
    </xf>
    <xf numFmtId="2" fontId="32" fillId="0" borderId="0" xfId="0" applyNumberFormat="1" applyFont="1" applyProtection="1"/>
    <xf numFmtId="2" fontId="32" fillId="0" borderId="0" xfId="0" applyNumberFormat="1" applyFont="1" applyAlignment="1" applyProtection="1">
      <alignment horizontal="center"/>
    </xf>
    <xf numFmtId="2" fontId="4" fillId="0" borderId="0" xfId="0" applyNumberFormat="1" applyFont="1" applyAlignment="1" applyProtection="1">
      <alignment horizontal="left"/>
    </xf>
    <xf numFmtId="2" fontId="4" fillId="0" borderId="0" xfId="0" applyNumberFormat="1" applyFont="1" applyBorder="1" applyAlignment="1" applyProtection="1">
      <alignment horizontal="left"/>
    </xf>
    <xf numFmtId="0" fontId="4" fillId="0" borderId="0" xfId="2" applyFont="1" applyProtection="1"/>
    <xf numFmtId="0" fontId="21" fillId="0" borderId="0" xfId="0" applyFont="1" applyProtection="1"/>
    <xf numFmtId="0" fontId="4" fillId="0" borderId="0" xfId="0" applyFont="1" applyProtection="1"/>
    <xf numFmtId="0" fontId="39" fillId="0" borderId="0" xfId="0" applyFont="1" applyAlignment="1">
      <alignment vertical="center" wrapText="1"/>
    </xf>
    <xf numFmtId="0" fontId="40" fillId="0" borderId="0" xfId="0" applyFont="1" applyAlignment="1" applyProtection="1">
      <alignment wrapText="1"/>
    </xf>
    <xf numFmtId="0" fontId="13" fillId="0" borderId="0" xfId="0" applyFont="1" applyFill="1" applyBorder="1" applyProtection="1"/>
    <xf numFmtId="164" fontId="15" fillId="0" borderId="0" xfId="0" applyNumberFormat="1" applyFont="1" applyFill="1" applyBorder="1" applyAlignment="1" applyProtection="1">
      <alignment horizontal="center"/>
    </xf>
    <xf numFmtId="2" fontId="13" fillId="0" borderId="0" xfId="0" applyNumberFormat="1" applyFont="1" applyFill="1" applyAlignment="1" applyProtection="1">
      <alignment horizontal="center"/>
    </xf>
    <xf numFmtId="0" fontId="13" fillId="0" borderId="0" xfId="0" applyFont="1" applyFill="1" applyProtection="1"/>
    <xf numFmtId="2" fontId="13" fillId="0" borderId="0" xfId="0" applyNumberFormat="1" applyFont="1" applyAlignment="1" applyProtection="1">
      <alignment horizontal="center"/>
    </xf>
    <xf numFmtId="164" fontId="15" fillId="0" borderId="0" xfId="0" applyNumberFormat="1" applyFont="1" applyBorder="1" applyAlignment="1" applyProtection="1">
      <alignment horizontal="center"/>
    </xf>
    <xf numFmtId="2" fontId="13" fillId="0" borderId="0" xfId="0" applyNumberFormat="1" applyFont="1" applyProtection="1"/>
    <xf numFmtId="2" fontId="15" fillId="0" borderId="0" xfId="0" applyNumberFormat="1" applyFont="1" applyProtection="1"/>
    <xf numFmtId="1" fontId="16" fillId="0" borderId="0" xfId="4" applyNumberFormat="1" applyFont="1" applyFill="1" applyBorder="1" applyAlignment="1" applyProtection="1">
      <alignment horizontal="center"/>
    </xf>
    <xf numFmtId="44" fontId="13" fillId="0" borderId="0" xfId="1" applyFont="1" applyProtection="1"/>
    <xf numFmtId="0" fontId="16" fillId="0" borderId="0" xfId="0" applyFont="1" applyFill="1" applyProtection="1"/>
    <xf numFmtId="0" fontId="41" fillId="0" borderId="0" xfId="0" applyFont="1" applyProtection="1"/>
    <xf numFmtId="0" fontId="41" fillId="0" borderId="0" xfId="0" applyFont="1" applyFill="1" applyProtection="1"/>
    <xf numFmtId="0" fontId="42" fillId="0" borderId="0" xfId="0" applyFont="1" applyAlignment="1" applyProtection="1">
      <alignment horizontal="left"/>
    </xf>
    <xf numFmtId="0" fontId="34" fillId="0" borderId="0" xfId="0" applyFont="1" applyFill="1" applyAlignment="1" applyProtection="1">
      <alignment wrapText="1"/>
    </xf>
    <xf numFmtId="0" fontId="34" fillId="0" borderId="0" xfId="0" applyFont="1" applyAlignment="1" applyProtection="1">
      <alignment horizontal="left" wrapText="1"/>
    </xf>
    <xf numFmtId="0" fontId="32" fillId="0" borderId="0" xfId="2" applyFont="1" applyFill="1" applyBorder="1" applyAlignment="1" applyProtection="1"/>
    <xf numFmtId="0" fontId="43" fillId="0" borderId="0" xfId="2" applyFont="1" applyFill="1" applyBorder="1" applyAlignment="1" applyProtection="1"/>
    <xf numFmtId="0" fontId="2" fillId="0" borderId="0" xfId="0" applyFont="1" applyFill="1" applyBorder="1" applyProtection="1"/>
    <xf numFmtId="0" fontId="32" fillId="0" borderId="7" xfId="2" applyFont="1" applyFill="1" applyBorder="1" applyAlignment="1" applyProtection="1"/>
    <xf numFmtId="0" fontId="43" fillId="0" borderId="8" xfId="2" applyFont="1" applyFill="1" applyBorder="1" applyAlignment="1" applyProtection="1"/>
    <xf numFmtId="0" fontId="43" fillId="0" borderId="3" xfId="2" applyFont="1" applyFill="1" applyBorder="1" applyAlignment="1" applyProtection="1"/>
    <xf numFmtId="2" fontId="4" fillId="0" borderId="9" xfId="0" applyNumberFormat="1" applyFont="1" applyBorder="1" applyAlignment="1" applyProtection="1">
      <alignment horizontal="right"/>
    </xf>
    <xf numFmtId="2" fontId="4" fillId="3" borderId="10" xfId="0" applyNumberFormat="1" applyFont="1" applyFill="1" applyBorder="1" applyAlignment="1" applyProtection="1">
      <alignment horizontal="right"/>
      <protection locked="0"/>
    </xf>
    <xf numFmtId="2" fontId="2" fillId="0" borderId="0" xfId="0" applyNumberFormat="1" applyFont="1" applyFill="1" applyBorder="1" applyAlignment="1" applyProtection="1">
      <alignment horizontal="center"/>
    </xf>
    <xf numFmtId="2" fontId="2" fillId="0" borderId="10" xfId="0" applyNumberFormat="1" applyFont="1" applyFill="1" applyBorder="1" applyAlignment="1" applyProtection="1">
      <alignment horizontal="center"/>
    </xf>
    <xf numFmtId="165" fontId="4" fillId="0" borderId="0" xfId="0" applyNumberFormat="1" applyFont="1" applyBorder="1" applyAlignment="1" applyProtection="1">
      <alignment horizontal="right"/>
    </xf>
    <xf numFmtId="165" fontId="4" fillId="0" borderId="0" xfId="0" applyNumberFormat="1" applyFont="1" applyFill="1" applyBorder="1" applyAlignment="1" applyProtection="1">
      <alignment horizontal="right"/>
    </xf>
    <xf numFmtId="0" fontId="2" fillId="0" borderId="0" xfId="0" applyFont="1" applyBorder="1" applyProtection="1"/>
    <xf numFmtId="2" fontId="4" fillId="0" borderId="11" xfId="0" applyNumberFormat="1" applyFont="1" applyBorder="1" applyAlignment="1" applyProtection="1">
      <alignment horizontal="right"/>
    </xf>
    <xf numFmtId="2" fontId="4" fillId="3" borderId="12" xfId="0" applyNumberFormat="1" applyFont="1" applyFill="1" applyBorder="1" applyAlignment="1" applyProtection="1">
      <alignment horizontal="right"/>
    </xf>
    <xf numFmtId="2" fontId="2" fillId="0" borderId="1" xfId="0" applyNumberFormat="1" applyFont="1" applyBorder="1" applyAlignment="1" applyProtection="1">
      <alignment horizontal="center"/>
    </xf>
    <xf numFmtId="2" fontId="2" fillId="0" borderId="1" xfId="0" applyNumberFormat="1" applyFont="1" applyFill="1" applyBorder="1" applyAlignment="1" applyProtection="1">
      <alignment horizontal="center"/>
    </xf>
    <xf numFmtId="2" fontId="2" fillId="0" borderId="12" xfId="0" applyNumberFormat="1" applyFont="1" applyFill="1" applyBorder="1" applyAlignment="1" applyProtection="1">
      <alignment horizontal="center"/>
    </xf>
    <xf numFmtId="2" fontId="4" fillId="0" borderId="0" xfId="0" applyNumberFormat="1" applyFont="1" applyBorder="1" applyAlignment="1" applyProtection="1">
      <alignment horizontal="right"/>
    </xf>
    <xf numFmtId="2" fontId="4" fillId="0" borderId="0" xfId="0" applyNumberFormat="1" applyFont="1" applyFill="1" applyBorder="1" applyAlignment="1" applyProtection="1">
      <alignment horizontal="right"/>
    </xf>
    <xf numFmtId="2" fontId="11" fillId="0" borderId="0" xfId="0" applyNumberFormat="1" applyFont="1" applyFill="1" applyBorder="1" applyAlignment="1" applyProtection="1">
      <alignment horizontal="center"/>
    </xf>
    <xf numFmtId="2" fontId="11" fillId="0" borderId="0" xfId="0" applyNumberFormat="1" applyFont="1" applyFill="1" applyBorder="1" applyAlignment="1" applyProtection="1">
      <alignment horizontal="center" wrapText="1"/>
    </xf>
    <xf numFmtId="164" fontId="2" fillId="0" borderId="0" xfId="0" applyNumberFormat="1" applyFont="1" applyFill="1" applyBorder="1" applyAlignment="1" applyProtection="1">
      <alignment horizontal="center"/>
    </xf>
    <xf numFmtId="164" fontId="11" fillId="0" borderId="0" xfId="0" applyNumberFormat="1" applyFont="1" applyFill="1" applyBorder="1" applyAlignment="1" applyProtection="1">
      <alignment horizontal="center"/>
    </xf>
    <xf numFmtId="164" fontId="2" fillId="2" borderId="4" xfId="0" applyNumberFormat="1" applyFont="1" applyFill="1" applyBorder="1" applyAlignment="1" applyProtection="1">
      <alignment horizontal="center"/>
      <protection locked="0"/>
    </xf>
    <xf numFmtId="2" fontId="2" fillId="2" borderId="4" xfId="0" applyNumberFormat="1" applyFont="1" applyFill="1" applyBorder="1" applyAlignment="1" applyProtection="1">
      <alignment horizontal="center"/>
      <protection locked="0"/>
    </xf>
    <xf numFmtId="164" fontId="4" fillId="2" borderId="4" xfId="0" applyNumberFormat="1" applyFont="1" applyFill="1" applyBorder="1" applyAlignment="1" applyProtection="1">
      <alignment horizontal="center"/>
      <protection locked="0"/>
    </xf>
    <xf numFmtId="164" fontId="4" fillId="0" borderId="0" xfId="0" applyNumberFormat="1" applyFont="1" applyFill="1" applyBorder="1" applyAlignment="1" applyProtection="1">
      <alignment horizontal="center"/>
    </xf>
    <xf numFmtId="164" fontId="2" fillId="0" borderId="6" xfId="0" applyNumberFormat="1" applyFont="1" applyFill="1" applyBorder="1" applyAlignment="1" applyProtection="1">
      <alignment horizontal="center"/>
    </xf>
    <xf numFmtId="2" fontId="4" fillId="2" borderId="4" xfId="0" applyNumberFormat="1" applyFont="1" applyFill="1" applyBorder="1" applyAlignment="1" applyProtection="1">
      <alignment horizontal="center"/>
      <protection locked="0"/>
    </xf>
    <xf numFmtId="2" fontId="11" fillId="0" borderId="0" xfId="0" applyNumberFormat="1" applyFont="1" applyBorder="1" applyProtection="1"/>
    <xf numFmtId="2" fontId="2" fillId="0" borderId="0" xfId="0" applyNumberFormat="1" applyFont="1" applyFill="1" applyAlignment="1" applyProtection="1">
      <alignment horizontal="center"/>
    </xf>
    <xf numFmtId="9" fontId="2" fillId="2" borderId="4" xfId="4" applyFont="1" applyFill="1" applyBorder="1" applyAlignment="1" applyProtection="1">
      <alignment horizontal="center"/>
      <protection locked="0"/>
    </xf>
    <xf numFmtId="9" fontId="2" fillId="0" borderId="0" xfId="4" applyFont="1" applyFill="1" applyAlignment="1" applyProtection="1">
      <alignment horizontal="center"/>
    </xf>
    <xf numFmtId="164" fontId="32" fillId="0" borderId="0" xfId="1" applyNumberFormat="1" applyFont="1" applyFill="1" applyBorder="1" applyAlignment="1" applyProtection="1">
      <alignment horizontal="center"/>
    </xf>
    <xf numFmtId="164" fontId="4" fillId="0" borderId="0" xfId="0" applyNumberFormat="1" applyFont="1" applyBorder="1" applyAlignment="1" applyProtection="1">
      <alignment horizontal="center"/>
    </xf>
    <xf numFmtId="0" fontId="2" fillId="0" borderId="0" xfId="0" applyFont="1" applyFill="1" applyProtection="1"/>
    <xf numFmtId="2" fontId="32" fillId="0" borderId="0" xfId="0" applyNumberFormat="1" applyFont="1" applyFill="1" applyAlignment="1" applyProtection="1">
      <alignment horizontal="center"/>
    </xf>
    <xf numFmtId="2" fontId="2" fillId="0" borderId="0" xfId="0" applyNumberFormat="1" applyFont="1" applyAlignment="1" applyProtection="1">
      <alignment horizontal="center"/>
    </xf>
    <xf numFmtId="164" fontId="4" fillId="0" borderId="0" xfId="0" applyNumberFormat="1" applyFont="1" applyFill="1" applyAlignment="1" applyProtection="1">
      <alignment horizontal="center"/>
    </xf>
    <xf numFmtId="2" fontId="4" fillId="0" borderId="0" xfId="2" applyNumberFormat="1" applyFont="1" applyProtection="1"/>
    <xf numFmtId="2" fontId="32" fillId="0" borderId="0" xfId="2" applyNumberFormat="1" applyFont="1" applyProtection="1"/>
    <xf numFmtId="164" fontId="32" fillId="0" borderId="0" xfId="2" applyNumberFormat="1" applyFont="1" applyAlignment="1" applyProtection="1">
      <alignment horizontal="center"/>
    </xf>
    <xf numFmtId="164" fontId="32" fillId="0" borderId="0" xfId="2" applyNumberFormat="1" applyFont="1" applyFill="1" applyAlignment="1" applyProtection="1">
      <alignment horizontal="center"/>
    </xf>
    <xf numFmtId="164" fontId="11" fillId="0" borderId="3" xfId="0" applyNumberFormat="1" applyFont="1" applyBorder="1" applyAlignment="1" applyProtection="1">
      <alignment horizontal="center"/>
    </xf>
    <xf numFmtId="164" fontId="11" fillId="0" borderId="0" xfId="0" applyNumberFormat="1" applyFont="1" applyBorder="1" applyAlignment="1" applyProtection="1">
      <alignment horizontal="center"/>
    </xf>
    <xf numFmtId="2" fontId="11" fillId="0" borderId="0" xfId="0" applyNumberFormat="1" applyFont="1" applyBorder="1" applyAlignment="1" applyProtection="1">
      <alignment horizontal="left"/>
    </xf>
    <xf numFmtId="2" fontId="32" fillId="0" borderId="0" xfId="0" applyNumberFormat="1" applyFont="1" applyBorder="1" applyAlignment="1" applyProtection="1">
      <alignment horizontal="left"/>
    </xf>
    <xf numFmtId="0" fontId="4" fillId="0" borderId="0" xfId="2" applyFont="1" applyFill="1" applyProtection="1"/>
    <xf numFmtId="0" fontId="4" fillId="0" borderId="2" xfId="2" applyFont="1" applyBorder="1" applyProtection="1"/>
    <xf numFmtId="0" fontId="4" fillId="0" borderId="0" xfId="2" applyFont="1" applyFill="1" applyBorder="1" applyProtection="1"/>
    <xf numFmtId="0" fontId="4" fillId="0" borderId="0" xfId="2" applyFont="1" applyBorder="1" applyProtection="1"/>
    <xf numFmtId="2" fontId="2" fillId="0" borderId="2" xfId="0" applyNumberFormat="1" applyFont="1" applyBorder="1" applyAlignment="1" applyProtection="1">
      <alignment horizontal="center"/>
    </xf>
    <xf numFmtId="2" fontId="11" fillId="4" borderId="0" xfId="0" applyNumberFormat="1" applyFont="1" applyFill="1" applyProtection="1"/>
    <xf numFmtId="2" fontId="2" fillId="4" borderId="0" xfId="0" applyNumberFormat="1" applyFont="1" applyFill="1" applyAlignment="1" applyProtection="1">
      <alignment horizontal="center"/>
    </xf>
    <xf numFmtId="2" fontId="2" fillId="4" borderId="0" xfId="0" applyNumberFormat="1" applyFont="1" applyFill="1" applyAlignment="1" applyProtection="1">
      <alignment horizontal="left"/>
    </xf>
    <xf numFmtId="164" fontId="11" fillId="4" borderId="0" xfId="0" applyNumberFormat="1" applyFont="1" applyFill="1" applyBorder="1" applyAlignment="1" applyProtection="1">
      <alignment horizontal="center"/>
    </xf>
    <xf numFmtId="2" fontId="2" fillId="4" borderId="0" xfId="0" applyNumberFormat="1" applyFont="1" applyFill="1" applyBorder="1" applyAlignment="1" applyProtection="1">
      <alignment horizontal="center"/>
    </xf>
    <xf numFmtId="2" fontId="2" fillId="0" borderId="0" xfId="0" applyNumberFormat="1" applyFont="1" applyProtection="1"/>
    <xf numFmtId="2" fontId="11" fillId="0" borderId="0" xfId="0" applyNumberFormat="1" applyFont="1" applyProtection="1"/>
    <xf numFmtId="2" fontId="4" fillId="0" borderId="7" xfId="0" applyNumberFormat="1" applyFont="1" applyFill="1" applyBorder="1" applyProtection="1"/>
    <xf numFmtId="2" fontId="4" fillId="0" borderId="3" xfId="0" applyNumberFormat="1" applyFont="1" applyFill="1" applyBorder="1" applyProtection="1"/>
    <xf numFmtId="2" fontId="4" fillId="0" borderId="3" xfId="0" applyNumberFormat="1" applyFont="1" applyFill="1" applyBorder="1" applyAlignment="1" applyProtection="1">
      <alignment horizontal="center"/>
    </xf>
    <xf numFmtId="2" fontId="2" fillId="0" borderId="3" xfId="0" applyNumberFormat="1" applyFont="1" applyFill="1" applyBorder="1" applyAlignment="1" applyProtection="1">
      <alignment horizontal="left"/>
    </xf>
    <xf numFmtId="164" fontId="32" fillId="0" borderId="8" xfId="1" applyNumberFormat="1" applyFont="1" applyFill="1" applyBorder="1" applyAlignment="1" applyProtection="1">
      <alignment horizontal="center"/>
    </xf>
    <xf numFmtId="2" fontId="4" fillId="0" borderId="9" xfId="0" applyNumberFormat="1" applyFont="1" applyFill="1" applyBorder="1" applyAlignment="1" applyProtection="1">
      <alignment horizontal="left" indent="5"/>
    </xf>
    <xf numFmtId="9" fontId="4" fillId="2" borderId="4" xfId="4" applyFont="1" applyFill="1" applyBorder="1" applyAlignment="1" applyProtection="1">
      <alignment horizontal="center"/>
      <protection locked="0"/>
    </xf>
    <xf numFmtId="9" fontId="4" fillId="0" borderId="0" xfId="4" applyFont="1" applyFill="1" applyBorder="1" applyAlignment="1" applyProtection="1">
      <alignment horizontal="center"/>
    </xf>
    <xf numFmtId="1" fontId="4" fillId="0" borderId="0" xfId="4" applyNumberFormat="1" applyFont="1" applyFill="1" applyBorder="1" applyAlignment="1" applyProtection="1">
      <alignment horizontal="center"/>
    </xf>
    <xf numFmtId="2" fontId="4" fillId="0" borderId="0" xfId="0" applyNumberFormat="1" applyFont="1" applyFill="1" applyBorder="1" applyAlignment="1" applyProtection="1">
      <alignment horizontal="left"/>
    </xf>
    <xf numFmtId="2" fontId="4" fillId="0" borderId="10" xfId="0" applyNumberFormat="1" applyFont="1" applyFill="1" applyBorder="1" applyAlignment="1" applyProtection="1">
      <alignment horizontal="center"/>
    </xf>
    <xf numFmtId="2" fontId="4" fillId="0" borderId="0" xfId="0" applyNumberFormat="1" applyFont="1" applyFill="1" applyBorder="1" applyAlignment="1" applyProtection="1">
      <alignment horizontal="center"/>
    </xf>
    <xf numFmtId="2" fontId="4" fillId="0" borderId="11" xfId="0" applyNumberFormat="1" applyFont="1" applyFill="1" applyBorder="1" applyAlignment="1" applyProtection="1">
      <alignment horizontal="left"/>
    </xf>
    <xf numFmtId="2" fontId="4" fillId="0" borderId="1" xfId="0" applyNumberFormat="1" applyFont="1" applyFill="1" applyBorder="1" applyAlignment="1" applyProtection="1">
      <alignment horizontal="right"/>
    </xf>
    <xf numFmtId="2" fontId="4" fillId="0" borderId="1" xfId="0" applyNumberFormat="1" applyFont="1" applyFill="1" applyBorder="1" applyAlignment="1" applyProtection="1">
      <alignment horizontal="center"/>
    </xf>
    <xf numFmtId="2" fontId="4" fillId="0" borderId="1" xfId="0" applyNumberFormat="1" applyFont="1" applyFill="1" applyBorder="1" applyAlignment="1" applyProtection="1">
      <alignment horizontal="left"/>
    </xf>
    <xf numFmtId="164" fontId="32" fillId="0" borderId="12" xfId="1" applyNumberFormat="1" applyFont="1" applyFill="1" applyBorder="1" applyAlignment="1" applyProtection="1">
      <alignment horizontal="center"/>
    </xf>
    <xf numFmtId="0" fontId="28" fillId="0" borderId="0" xfId="0" applyFont="1" applyProtection="1"/>
    <xf numFmtId="0" fontId="4" fillId="0" borderId="0" xfId="3" applyFont="1" applyAlignment="1" applyProtection="1">
      <alignment horizontal="left"/>
    </xf>
    <xf numFmtId="0" fontId="2" fillId="2" borderId="18" xfId="0" applyFont="1" applyFill="1" applyBorder="1" applyAlignment="1" applyProtection="1">
      <alignment horizontal="center"/>
      <protection locked="0"/>
    </xf>
    <xf numFmtId="2" fontId="2" fillId="0" borderId="0" xfId="0" applyNumberFormat="1" applyFont="1" applyFill="1" applyAlignment="1">
      <alignment horizontal="center"/>
    </xf>
    <xf numFmtId="0" fontId="2" fillId="2" borderId="18" xfId="1" applyNumberFormat="1" applyFont="1" applyFill="1" applyBorder="1" applyAlignment="1" applyProtection="1">
      <alignment horizontal="center"/>
      <protection locked="0"/>
    </xf>
    <xf numFmtId="0" fontId="21" fillId="0" borderId="0" xfId="0" applyFont="1" applyFill="1" applyAlignment="1">
      <alignment vertical="center" wrapText="1"/>
    </xf>
    <xf numFmtId="0" fontId="32" fillId="2" borderId="14" xfId="2" applyFont="1" applyFill="1" applyBorder="1" applyAlignment="1" applyProtection="1"/>
    <xf numFmtId="0" fontId="32" fillId="2" borderId="15" xfId="2" applyFont="1" applyFill="1" applyBorder="1" applyAlignment="1" applyProtection="1"/>
    <xf numFmtId="0" fontId="32" fillId="2" borderId="16" xfId="2" applyFont="1" applyFill="1" applyBorder="1" applyAlignment="1" applyProtection="1"/>
    <xf numFmtId="0" fontId="1" fillId="0" borderId="0" xfId="0" applyFont="1" applyAlignment="1">
      <alignment horizontal="left" indent="2"/>
    </xf>
    <xf numFmtId="164" fontId="2" fillId="0" borderId="19" xfId="0" applyNumberFormat="1" applyFont="1" applyFill="1" applyBorder="1" applyAlignment="1" applyProtection="1">
      <alignment horizontal="center"/>
    </xf>
    <xf numFmtId="0" fontId="30" fillId="0" borderId="0" xfId="0" applyFont="1" applyAlignment="1">
      <alignment vertical="center" wrapText="1"/>
    </xf>
    <xf numFmtId="0" fontId="18" fillId="7" borderId="17" xfId="0" applyFont="1" applyFill="1" applyBorder="1" applyAlignment="1">
      <alignment horizontal="left" vertical="center" wrapText="1"/>
    </xf>
    <xf numFmtId="0" fontId="26" fillId="0" borderId="0" xfId="0" applyFont="1" applyAlignment="1">
      <alignment horizontal="left" vertical="top" wrapText="1"/>
    </xf>
    <xf numFmtId="0" fontId="4" fillId="6" borderId="9" xfId="0" applyFont="1" applyFill="1" applyBorder="1" applyAlignment="1">
      <alignment horizontal="left" vertical="top" wrapText="1" indent="1"/>
    </xf>
    <xf numFmtId="0" fontId="4" fillId="6" borderId="10" xfId="0" applyFont="1" applyFill="1" applyBorder="1" applyAlignment="1">
      <alignment horizontal="left" vertical="top" wrapText="1" indent="1"/>
    </xf>
    <xf numFmtId="0" fontId="4" fillId="6" borderId="11" xfId="0" applyFont="1" applyFill="1" applyBorder="1" applyAlignment="1">
      <alignment horizontal="left" vertical="top" wrapText="1" indent="1"/>
    </xf>
    <xf numFmtId="0" fontId="4" fillId="6" borderId="12" xfId="0" applyFont="1" applyFill="1" applyBorder="1" applyAlignment="1">
      <alignment horizontal="left" vertical="top" wrapText="1" indent="1"/>
    </xf>
    <xf numFmtId="0" fontId="11" fillId="5" borderId="7"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8" xfId="0" applyFont="1" applyFill="1" applyBorder="1" applyAlignment="1">
      <alignment horizontal="center" vertical="center"/>
    </xf>
    <xf numFmtId="0" fontId="11" fillId="6" borderId="14" xfId="0" applyFont="1" applyFill="1" applyBorder="1" applyAlignment="1">
      <alignment horizontal="left" indent="1"/>
    </xf>
    <xf numFmtId="0" fontId="11" fillId="6" borderId="16" xfId="0" applyFont="1" applyFill="1" applyBorder="1" applyAlignment="1">
      <alignment horizontal="left" indent="1"/>
    </xf>
    <xf numFmtId="0" fontId="11" fillId="6" borderId="7" xfId="0" applyFont="1" applyFill="1" applyBorder="1" applyAlignment="1">
      <alignment horizontal="left" indent="1"/>
    </xf>
    <xf numFmtId="0" fontId="11" fillId="6" borderId="8" xfId="0" applyFont="1" applyFill="1" applyBorder="1" applyAlignment="1">
      <alignment horizontal="left" indent="1"/>
    </xf>
    <xf numFmtId="0" fontId="21" fillId="2" borderId="14"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11" fillId="6" borderId="0" xfId="0" applyFont="1" applyFill="1" applyAlignment="1">
      <alignment horizontal="center"/>
    </xf>
    <xf numFmtId="14" fontId="4" fillId="0" borderId="0" xfId="0" applyNumberFormat="1" applyFont="1" applyAlignment="1" applyProtection="1">
      <alignment horizontal="left"/>
    </xf>
    <xf numFmtId="0" fontId="21" fillId="0" borderId="0" xfId="6" applyFont="1" applyProtection="1"/>
    <xf numFmtId="0" fontId="14" fillId="6" borderId="0" xfId="2" applyFont="1" applyFill="1" applyBorder="1" applyAlignment="1" applyProtection="1">
      <alignment horizontal="center"/>
    </xf>
    <xf numFmtId="0" fontId="34" fillId="0" borderId="0" xfId="0" applyFont="1" applyAlignment="1" applyProtection="1">
      <alignment horizontal="left" wrapText="1"/>
    </xf>
    <xf numFmtId="164" fontId="11" fillId="6" borderId="0" xfId="0" applyNumberFormat="1" applyFont="1" applyFill="1" applyBorder="1" applyAlignment="1" applyProtection="1">
      <alignment horizontal="center" vertical="center" textRotation="90"/>
    </xf>
    <xf numFmtId="0" fontId="31" fillId="0" borderId="0" xfId="6" applyFont="1" applyAlignment="1">
      <alignment horizontal="left" indent="2"/>
    </xf>
    <xf numFmtId="0" fontId="19" fillId="7" borderId="7" xfId="0" applyFont="1" applyFill="1" applyBorder="1"/>
    <xf numFmtId="0" fontId="19" fillId="7" borderId="3" xfId="0" applyFont="1" applyFill="1" applyBorder="1"/>
    <xf numFmtId="0" fontId="2" fillId="0" borderId="0" xfId="0" applyFont="1" applyAlignment="1">
      <alignment horizontal="left" vertical="top" wrapText="1" indent="3"/>
    </xf>
    <xf numFmtId="0" fontId="2" fillId="0" borderId="0" xfId="0" applyFont="1" applyAlignment="1">
      <alignment horizontal="left" wrapText="1" indent="3"/>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indent="3"/>
    </xf>
  </cellXfs>
  <cellStyles count="7">
    <cellStyle name="Comma" xfId="5" builtinId="3"/>
    <cellStyle name="Currency" xfId="1" builtinId="4"/>
    <cellStyle name="Hyperlink" xfId="6" builtinId="8"/>
    <cellStyle name="Hyperlink 2" xfId="3"/>
    <cellStyle name="Normal" xfId="0" builtinId="0"/>
    <cellStyle name="Normal 2" xfId="2"/>
    <cellStyle name="Percent" xfId="4" builtinId="5"/>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theme="0" tint="-4.9989318521683403E-2"/>
        </patternFill>
      </fill>
    </dxf>
  </dxfs>
  <tableStyles count="0" defaultTableStyle="TableStyleMedium2" defaultPivotStyle="PivotStyleMedium9"/>
  <colors>
    <mruColors>
      <color rgb="FFFFFF99"/>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0"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161051696069311"/>
          <c:y val="3.2269389589613097E-2"/>
          <c:w val="0.82282203280362898"/>
          <c:h val="0.66162396365452203"/>
        </c:manualLayout>
      </c:layout>
      <c:barChart>
        <c:barDir val="col"/>
        <c:grouping val="clustered"/>
        <c:varyColors val="0"/>
        <c:ser>
          <c:idx val="0"/>
          <c:order val="0"/>
          <c:tx>
            <c:strRef>
              <c:f>Sheet1!$D$19</c:f>
              <c:strCache>
                <c:ptCount val="1"/>
                <c:pt idx="0">
                  <c:v>Switchgrass</c:v>
                </c:pt>
              </c:strCache>
            </c:strRef>
          </c:tx>
          <c:invertIfNegative val="0"/>
          <c:cat>
            <c:strRef>
              <c:f>Sheet1!$C$20:$C$30</c:f>
              <c:strCache>
                <c:ptCount val="11"/>
                <c:pt idx="0">
                  <c:v>Field Prep</c:v>
                </c:pt>
                <c:pt idx="1">
                  <c:v>Planting</c:v>
                </c:pt>
                <c:pt idx="2">
                  <c:v>Yr. 2</c:v>
                </c:pt>
                <c:pt idx="3">
                  <c:v>Yr. 3</c:v>
                </c:pt>
                <c:pt idx="4">
                  <c:v>Yr. 4</c:v>
                </c:pt>
                <c:pt idx="5">
                  <c:v>Yr. 5</c:v>
                </c:pt>
                <c:pt idx="6">
                  <c:v>Yr. 6 </c:v>
                </c:pt>
                <c:pt idx="7">
                  <c:v>Yr. 7</c:v>
                </c:pt>
                <c:pt idx="8">
                  <c:v>Yr. 8</c:v>
                </c:pt>
                <c:pt idx="9">
                  <c:v>Yr. 9 </c:v>
                </c:pt>
                <c:pt idx="10">
                  <c:v>Yr. 10</c:v>
                </c:pt>
              </c:strCache>
            </c:strRef>
          </c:cat>
          <c:val>
            <c:numRef>
              <c:f>Sheet1!$D$20:$D$30</c:f>
              <c:numCache>
                <c:formatCode>0.00</c:formatCode>
                <c:ptCount val="11"/>
                <c:pt idx="0">
                  <c:v>115.73069799577974</c:v>
                </c:pt>
                <c:pt idx="1">
                  <c:v>-145.26930200422026</c:v>
                </c:pt>
                <c:pt idx="2">
                  <c:v>-40.269302004220265</c:v>
                </c:pt>
                <c:pt idx="3">
                  <c:v>169.73069799577974</c:v>
                </c:pt>
                <c:pt idx="4">
                  <c:v>169.73069799577974</c:v>
                </c:pt>
                <c:pt idx="5">
                  <c:v>169.73069799577974</c:v>
                </c:pt>
                <c:pt idx="6">
                  <c:v>169.73069799577974</c:v>
                </c:pt>
                <c:pt idx="7">
                  <c:v>169.73069799577974</c:v>
                </c:pt>
                <c:pt idx="8">
                  <c:v>169.73069799577974</c:v>
                </c:pt>
                <c:pt idx="9">
                  <c:v>169.73069799577974</c:v>
                </c:pt>
                <c:pt idx="10">
                  <c:v>169.73069799577974</c:v>
                </c:pt>
              </c:numCache>
            </c:numRef>
          </c:val>
        </c:ser>
        <c:ser>
          <c:idx val="1"/>
          <c:order val="1"/>
          <c:tx>
            <c:strRef>
              <c:f>Sheet1!$E$19</c:f>
              <c:strCache>
                <c:ptCount val="1"/>
                <c:pt idx="0">
                  <c:v>CRP</c:v>
                </c:pt>
              </c:strCache>
            </c:strRef>
          </c:tx>
          <c:invertIfNegative val="0"/>
          <c:cat>
            <c:strRef>
              <c:f>Sheet1!$C$20:$C$30</c:f>
              <c:strCache>
                <c:ptCount val="11"/>
                <c:pt idx="0">
                  <c:v>Field Prep</c:v>
                </c:pt>
                <c:pt idx="1">
                  <c:v>Planting</c:v>
                </c:pt>
                <c:pt idx="2">
                  <c:v>Yr. 2</c:v>
                </c:pt>
                <c:pt idx="3">
                  <c:v>Yr. 3</c:v>
                </c:pt>
                <c:pt idx="4">
                  <c:v>Yr. 4</c:v>
                </c:pt>
                <c:pt idx="5">
                  <c:v>Yr. 5</c:v>
                </c:pt>
                <c:pt idx="6">
                  <c:v>Yr. 6 </c:v>
                </c:pt>
                <c:pt idx="7">
                  <c:v>Yr. 7</c:v>
                </c:pt>
                <c:pt idx="8">
                  <c:v>Yr. 8</c:v>
                </c:pt>
                <c:pt idx="9">
                  <c:v>Yr. 9 </c:v>
                </c:pt>
                <c:pt idx="10">
                  <c:v>Yr. 10</c:v>
                </c:pt>
              </c:strCache>
            </c:strRef>
          </c:cat>
          <c:val>
            <c:numRef>
              <c:f>Sheet1!$E$20:$E$30</c:f>
              <c:numCache>
                <c:formatCode>0.00</c:formatCode>
                <c:ptCount val="11"/>
                <c:pt idx="0">
                  <c:v>-3.75</c:v>
                </c:pt>
                <c:pt idx="1">
                  <c:v>-3.75</c:v>
                </c:pt>
                <c:pt idx="2">
                  <c:v>-3.75</c:v>
                </c:pt>
                <c:pt idx="3">
                  <c:v>-3.75</c:v>
                </c:pt>
                <c:pt idx="4">
                  <c:v>-3.75</c:v>
                </c:pt>
                <c:pt idx="5">
                  <c:v>-3.75</c:v>
                </c:pt>
                <c:pt idx="6">
                  <c:v>-3.75</c:v>
                </c:pt>
                <c:pt idx="7">
                  <c:v>-3.75</c:v>
                </c:pt>
                <c:pt idx="8">
                  <c:v>-3.75</c:v>
                </c:pt>
                <c:pt idx="9">
                  <c:v>-3.75</c:v>
                </c:pt>
                <c:pt idx="10">
                  <c:v>-3.75</c:v>
                </c:pt>
              </c:numCache>
            </c:numRef>
          </c:val>
        </c:ser>
        <c:dLbls>
          <c:showLegendKey val="0"/>
          <c:showVal val="0"/>
          <c:showCatName val="0"/>
          <c:showSerName val="0"/>
          <c:showPercent val="0"/>
          <c:showBubbleSize val="0"/>
        </c:dLbls>
        <c:gapWidth val="150"/>
        <c:axId val="251084584"/>
        <c:axId val="251084976"/>
      </c:barChart>
      <c:catAx>
        <c:axId val="251084584"/>
        <c:scaling>
          <c:orientation val="minMax"/>
        </c:scaling>
        <c:delete val="0"/>
        <c:axPos val="b"/>
        <c:numFmt formatCode="General" sourceLinked="0"/>
        <c:majorTickMark val="out"/>
        <c:minorTickMark val="none"/>
        <c:tickLblPos val="low"/>
        <c:crossAx val="251084976"/>
        <c:crosses val="autoZero"/>
        <c:auto val="1"/>
        <c:lblAlgn val="ctr"/>
        <c:lblOffset val="100"/>
        <c:noMultiLvlLbl val="0"/>
      </c:catAx>
      <c:valAx>
        <c:axId val="251084976"/>
        <c:scaling>
          <c:orientation val="minMax"/>
        </c:scaling>
        <c:delete val="0"/>
        <c:axPos val="l"/>
        <c:majorGridlines/>
        <c:title>
          <c:tx>
            <c:rich>
              <a:bodyPr rot="-5400000" vert="horz"/>
              <a:lstStyle/>
              <a:p>
                <a:pPr>
                  <a:defRPr/>
                </a:pPr>
                <a:r>
                  <a:rPr lang="en-US"/>
                  <a:t>Net Return ($ per acre)</a:t>
                </a:r>
              </a:p>
            </c:rich>
          </c:tx>
          <c:layout>
            <c:manualLayout>
              <c:xMode val="edge"/>
              <c:yMode val="edge"/>
              <c:x val="2.0654564554479136E-2"/>
              <c:y val="0.16268722761080526"/>
            </c:manualLayout>
          </c:layout>
          <c:overlay val="0"/>
        </c:title>
        <c:numFmt formatCode="&quot;$&quot;#,##0" sourceLinked="0"/>
        <c:majorTickMark val="out"/>
        <c:minorTickMark val="none"/>
        <c:tickLblPos val="low"/>
        <c:crossAx val="251084584"/>
        <c:crosses val="autoZero"/>
        <c:crossBetween val="between"/>
      </c:valAx>
    </c:plotArea>
    <c:legend>
      <c:legendPos val="b"/>
      <c:layout>
        <c:manualLayout>
          <c:xMode val="edge"/>
          <c:yMode val="edge"/>
          <c:x val="0.249734412896954"/>
          <c:y val="0.83094715214185699"/>
          <c:w val="0.56796830801016196"/>
          <c:h val="5.6021539520748502E-2"/>
        </c:manualLayout>
      </c:layout>
      <c:overlay val="0"/>
    </c:legend>
    <c:plotVisOnly val="1"/>
    <c:dispBlanksAs val="gap"/>
    <c:showDLblsOverMax val="0"/>
  </c:chart>
  <c:spPr>
    <a:ln>
      <a:noFill/>
    </a:ln>
  </c:spPr>
  <c:txPr>
    <a:bodyPr/>
    <a:lstStyle/>
    <a:p>
      <a:pPr>
        <a:defRPr sz="1800">
          <a:latin typeface="Arial" panose="020B0604020202020204" pitchFamily="34" charset="0"/>
          <a:cs typeface="Arial" panose="020B0604020202020204"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3"/>
  <sheetViews>
    <sheetView zoomScale="80" workbookViewId="0"/>
  </sheetViews>
  <sheetProtection content="1" objects="1"/>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41</xdr:row>
      <xdr:rowOff>7620</xdr:rowOff>
    </xdr:from>
    <xdr:to>
      <xdr:col>2</xdr:col>
      <xdr:colOff>3096491</xdr:colOff>
      <xdr:row>44</xdr:row>
      <xdr:rowOff>86591</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6949440"/>
          <a:ext cx="3096491" cy="5818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58764" cy="6275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0.19607</cdr:x>
      <cdr:y>0.93899</cdr:y>
    </cdr:from>
    <cdr:to>
      <cdr:x>0.885</cdr:x>
      <cdr:y>1</cdr:y>
    </cdr:to>
    <cdr:sp macro="" textlink="">
      <cdr:nvSpPr>
        <cdr:cNvPr id="2" name="TextBox 1"/>
        <cdr:cNvSpPr txBox="1"/>
      </cdr:nvSpPr>
      <cdr:spPr>
        <a:xfrm xmlns:a="http://schemas.openxmlformats.org/drawingml/2006/main">
          <a:off x="1698514" y="5908164"/>
          <a:ext cx="5968112" cy="3838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0.19289</cdr:x>
      <cdr:y>0.88977</cdr:y>
    </cdr:from>
    <cdr:to>
      <cdr:x>0.87028</cdr:x>
      <cdr:y>0.96243</cdr:y>
    </cdr:to>
    <cdr:sp macro="" textlink="">
      <cdr:nvSpPr>
        <cdr:cNvPr id="3" name="TextBox 2"/>
        <cdr:cNvSpPr txBox="1"/>
      </cdr:nvSpPr>
      <cdr:spPr>
        <a:xfrm xmlns:a="http://schemas.openxmlformats.org/drawingml/2006/main">
          <a:off x="1671004" y="5598494"/>
          <a:ext cx="5868150" cy="4571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00">
              <a:latin typeface="Arial" panose="020B0604020202020204" pitchFamily="34" charset="0"/>
              <a:cs typeface="Arial" panose="020B0604020202020204" pitchFamily="34" charset="0"/>
            </a:rPr>
            <a:t>Note: The net return in the field preparation</a:t>
          </a:r>
          <a:r>
            <a:rPr lang="en-US" sz="1000" baseline="0">
              <a:latin typeface="Arial" panose="020B0604020202020204" pitchFamily="34" charset="0"/>
              <a:cs typeface="Arial" panose="020B0604020202020204" pitchFamily="34" charset="0"/>
            </a:rPr>
            <a:t> year is derived from</a:t>
          </a:r>
          <a:r>
            <a:rPr lang="en-US" sz="1000">
              <a:latin typeface="Arial" panose="020B0604020202020204" pitchFamily="34" charset="0"/>
              <a:cs typeface="Arial" panose="020B0604020202020204" pitchFamily="34" charset="0"/>
            </a:rPr>
            <a:t> revenue from herbicide</a:t>
          </a:r>
          <a:r>
            <a:rPr lang="en-US" sz="1000" baseline="0">
              <a:latin typeface="Arial" panose="020B0604020202020204" pitchFamily="34" charset="0"/>
              <a:cs typeface="Arial" panose="020B0604020202020204" pitchFamily="34" charset="0"/>
            </a:rPr>
            <a:t> tolerant</a:t>
          </a:r>
        </a:p>
        <a:p xmlns:a="http://schemas.openxmlformats.org/drawingml/2006/main">
          <a:pPr algn="ctr"/>
          <a:r>
            <a:rPr lang="en-US" sz="1000" baseline="0">
              <a:latin typeface="Arial" panose="020B0604020202020204" pitchFamily="34" charset="0"/>
              <a:cs typeface="Arial" panose="020B0604020202020204" pitchFamily="34" charset="0"/>
            </a:rPr>
            <a:t>soybean crop in the CRP and Pasture for Grazing/Haying scenarios.</a:t>
          </a:r>
          <a:endParaRPr lang="en-US" sz="10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isaJ/Documents/eljaydesignsdocs/Z:/Users/chart/AppData/Local/Microsoft/Windows/Temporary%20Internet%20Files/Content.Outlook/P3EFEC3E/Perennial%20Grass%20Decision%20Tool_0916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for 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tension.iastate.edu/agdm/crops/pdf/a1-27.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extension.iastate.edu/agdm/crops/html/a1-29.html"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hyperlink" Target="http://farmenergymedia.extension.org/video/optimizing-harvest-perennial-grasses-biofuel" TargetMode="External"/><Relationship Id="rId13" Type="http://schemas.openxmlformats.org/officeDocument/2006/relationships/printerSettings" Target="../printerSettings/printerSettings5.bin"/><Relationship Id="rId3" Type="http://schemas.openxmlformats.org/officeDocument/2006/relationships/hyperlink" Target="http://www.extension.org/pages/71760/" TargetMode="External"/><Relationship Id="rId7" Type="http://schemas.openxmlformats.org/officeDocument/2006/relationships/hyperlink" Target="http://www.extension.org/sites/default/files/Factsheet1.OptimizingHarvest.pdf" TargetMode="External"/><Relationship Id="rId12" Type="http://schemas.openxmlformats.org/officeDocument/2006/relationships/hyperlink" Target="http://www.extension.org/pages/72596" TargetMode="External"/><Relationship Id="rId2" Type="http://schemas.openxmlformats.org/officeDocument/2006/relationships/hyperlink" Target="http://www.extension.org/pages/72722/" TargetMode="External"/><Relationship Id="rId1" Type="http://schemas.openxmlformats.org/officeDocument/2006/relationships/hyperlink" Target="http://www.extension.org/pages/26635/" TargetMode="External"/><Relationship Id="rId6" Type="http://schemas.openxmlformats.org/officeDocument/2006/relationships/hyperlink" Target="http://www.extension.org/pages/70396/" TargetMode="External"/><Relationship Id="rId11" Type="http://schemas.openxmlformats.org/officeDocument/2006/relationships/hyperlink" Target="http://extension.iastate.edu/agdm/crops/html/a1-29.html" TargetMode="External"/><Relationship Id="rId5" Type="http://schemas.openxmlformats.org/officeDocument/2006/relationships/hyperlink" Target="http://farmenergymedia.extension.org/video/switchgrass-planting-practices-stand-establishment" TargetMode="External"/><Relationship Id="rId10" Type="http://schemas.openxmlformats.org/officeDocument/2006/relationships/hyperlink" Target="http://viemo.com/70354275" TargetMode="External"/><Relationship Id="rId4" Type="http://schemas.openxmlformats.org/officeDocument/2006/relationships/hyperlink" Target="http://www.extension.org/pages/68050/" TargetMode="External"/><Relationship Id="rId9" Type="http://schemas.openxmlformats.org/officeDocument/2006/relationships/hyperlink" Target="http://farmenergymedia.extension.org/video/intro-no-till-drill-calibration-switchgrass-cap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99"/>
    <pageSetUpPr fitToPage="1"/>
  </sheetPr>
  <dimension ref="A1:M49"/>
  <sheetViews>
    <sheetView showGridLines="0" tabSelected="1" workbookViewId="0"/>
  </sheetViews>
  <sheetFormatPr defaultColWidth="9.125" defaultRowHeight="12.9" x14ac:dyDescent="0.2"/>
  <cols>
    <col min="1" max="1" width="1.875" style="4" customWidth="1"/>
    <col min="2" max="2" width="1.875" style="46" customWidth="1"/>
    <col min="3" max="3" width="101.5" style="5" customWidth="1"/>
    <col min="4" max="4" width="20.125" style="40" bestFit="1" customWidth="1"/>
    <col min="5" max="5" width="8.5" style="5" bestFit="1" customWidth="1"/>
    <col min="6" max="6" width="61.625" style="5" customWidth="1"/>
    <col min="7" max="7" width="9.875" style="36" bestFit="1" customWidth="1"/>
    <col min="8" max="8" width="8.875" style="5" bestFit="1" customWidth="1"/>
    <col min="9" max="9" width="10.125" style="5" bestFit="1" customWidth="1"/>
    <col min="10" max="16384" width="9.125" style="5"/>
  </cols>
  <sheetData>
    <row r="1" spans="3:12" s="41" customFormat="1" ht="19.05" thickBot="1" x14ac:dyDescent="0.35">
      <c r="C1" s="214" t="s">
        <v>177</v>
      </c>
      <c r="D1" s="214"/>
      <c r="E1" s="214"/>
      <c r="F1" s="214"/>
      <c r="G1" s="214"/>
      <c r="H1" s="214"/>
    </row>
    <row r="2" spans="3:12" ht="14.3" x14ac:dyDescent="0.25">
      <c r="C2" s="42" t="s">
        <v>187</v>
      </c>
    </row>
    <row r="3" spans="3:12" x14ac:dyDescent="0.2">
      <c r="C3" s="43" t="s">
        <v>188</v>
      </c>
    </row>
    <row r="4" spans="3:12" x14ac:dyDescent="0.2">
      <c r="C4" s="43"/>
    </row>
    <row r="5" spans="3:12" ht="13.25" customHeight="1" x14ac:dyDescent="0.2">
      <c r="C5" s="227" t="s">
        <v>169</v>
      </c>
      <c r="D5" s="228"/>
      <c r="E5" s="207"/>
      <c r="F5" s="207"/>
      <c r="G5" s="207"/>
      <c r="H5" s="207"/>
    </row>
    <row r="7" spans="3:12" ht="13.6" x14ac:dyDescent="0.25">
      <c r="C7" s="223" t="s">
        <v>67</v>
      </c>
      <c r="D7" s="224"/>
      <c r="F7" s="220" t="s">
        <v>111</v>
      </c>
      <c r="G7" s="221"/>
      <c r="H7" s="222"/>
    </row>
    <row r="8" spans="3:12" ht="13.6" x14ac:dyDescent="0.25">
      <c r="C8" s="211" t="s">
        <v>203</v>
      </c>
      <c r="D8" s="204" t="s">
        <v>44</v>
      </c>
      <c r="F8" s="8"/>
      <c r="G8" s="9"/>
      <c r="H8" s="10"/>
    </row>
    <row r="9" spans="3:12" ht="13.6" x14ac:dyDescent="0.25">
      <c r="C9" s="6" t="s">
        <v>180</v>
      </c>
      <c r="D9" s="11">
        <v>80</v>
      </c>
      <c r="F9" s="12" t="s">
        <v>112</v>
      </c>
      <c r="G9" s="13"/>
      <c r="H9" s="14"/>
    </row>
    <row r="10" spans="3:12" ht="13.6" x14ac:dyDescent="0.25">
      <c r="C10" s="6" t="s">
        <v>181</v>
      </c>
      <c r="D10" s="7" t="s">
        <v>46</v>
      </c>
      <c r="F10" s="15"/>
      <c r="G10" s="9"/>
      <c r="H10" s="10"/>
    </row>
    <row r="11" spans="3:12" ht="13.6" x14ac:dyDescent="0.25">
      <c r="C11" s="16" t="str">
        <f>IF(D10="CRP","3a. If this field were in production (i.e. corn, corn/soybean, pasture), what would be its per-acre cash rent equivalent?",IF(D10="Continuous Corn","3a. What is the per-acre cash rent equivalent for this field?",IF(D10="Corn/Soybean Rotation","3a. What is the per-acre cash rent equivalent for this field?",IF(D10="Pasture for Grazing/Haying","3a. What is the per-acre cash rent equivalent for this field?",""))))</f>
        <v>3a. If this field were in production (i.e. corn, corn/soybean, pasture), what would be its per-acre cash rent equivalent?</v>
      </c>
      <c r="D11" s="17"/>
      <c r="E11" s="5" t="s">
        <v>173</v>
      </c>
      <c r="F11" s="18" t="s">
        <v>110</v>
      </c>
      <c r="G11" s="19">
        <f>'Advanced Inputs'!L57</f>
        <v>250.26930200422026</v>
      </c>
      <c r="H11" s="10" t="s">
        <v>175</v>
      </c>
    </row>
    <row r="12" spans="3:12" ht="13.6" x14ac:dyDescent="0.25">
      <c r="C12" s="16" t="str">
        <f>IF(D10="CRP","3b. What is your per-acre annual CRP payment?",IF(D10="Continuous Corn","3b. What is your expected per-acre corn yield?",IF(D10="Corn/Soybean Rotation","3b. What is your expected per-acre corn yield?",IF(D10="Pasture for Grazing/Haying","3b. What is your estimated return to grazing/haying for this field?",""))))</f>
        <v>3b. What is your per-acre annual CRP payment?</v>
      </c>
      <c r="D12" s="17"/>
      <c r="E12" s="5" t="str">
        <f>IF($D$10="CRP","$/acre",IF($D$10="Pasture for Grazing/Haying","$/acre","bu/acre"))</f>
        <v>$/acre</v>
      </c>
      <c r="F12" s="18" t="str">
        <f>IF(OR(D10="CRP",D10="Pasture for Grazing/Haying"),"Expected revenue in field prep and planting years","Expected revenue in planting year")</f>
        <v>Expected revenue in field prep and planting years</v>
      </c>
      <c r="G12" s="19">
        <f>IF(OR(D10="CRP",D10="Pasture for Grazing/Haying"),D27*D30+D16*D17,D27*D30)</f>
        <v>471</v>
      </c>
      <c r="H12" s="10" t="s">
        <v>175</v>
      </c>
    </row>
    <row r="13" spans="3:12" ht="13.6" x14ac:dyDescent="0.25">
      <c r="C13" s="16" t="str">
        <f>IF(D10="CRP","3c. What is your portion of the annual maintenance costs per acre?",IF(D10="Continuous Corn","3c. What is your expected marketing-year average corn price?",IF(D10="Corn/Soybean Rotation","3c. What is your expected marketing-year average corn price?","Intentionally left blank")))</f>
        <v>3c. What is your portion of the annual maintenance costs per acre?</v>
      </c>
      <c r="D13" s="205">
        <f>IF($D$10="CRP",3.75,IF($D$10="Continuous Corn",3.75,IF($D$10="Corn/Soybean Rotation",3.75,IF($D$10="Pasture for Grazing/Haying",0))))</f>
        <v>3.75</v>
      </c>
      <c r="E13" s="5" t="str">
        <f>IF($D$10="CRP","$ / acre",IF($D$10="Continuous Corn","$ / bu",IF($D$10="Corn/Soybean Rotation","$ / bu",IF($D$10="Pasture for Grazing/Haying",""))))</f>
        <v>$ / acre</v>
      </c>
      <c r="F13" s="18" t="s">
        <v>141</v>
      </c>
      <c r="G13" s="19">
        <f>D28*D30</f>
        <v>210</v>
      </c>
      <c r="H13" s="10" t="s">
        <v>175</v>
      </c>
      <c r="L13" s="20"/>
    </row>
    <row r="14" spans="3:12" ht="13.6" x14ac:dyDescent="0.25">
      <c r="C14" s="16" t="str">
        <f>IF(D10="Continuous Corn","3d. If stover will be removed, what is your expected per-acre net revenue from stover?",IF(D10="Corn/Soybean Rotation","3d. If stover will be removed, what is your expected per-acre net revenue from stover?","Intentionally left blank"))</f>
        <v>Intentionally left blank</v>
      </c>
      <c r="D14" s="205">
        <f>IF($D$10="Continuous Corn",0,IF($D$10="Corn/Soybean Rotation",0,0))</f>
        <v>0</v>
      </c>
      <c r="E14" s="5" t="str">
        <f>IF($D$10="Continuous Corn","$ / acre",IF($D$10="Corn/Soybean Rotation","$ / acre",""))</f>
        <v/>
      </c>
      <c r="F14" s="18" t="s">
        <v>109</v>
      </c>
      <c r="G14" s="19">
        <f>D29*D30</f>
        <v>420</v>
      </c>
      <c r="H14" s="10" t="s">
        <v>175</v>
      </c>
      <c r="L14" s="20"/>
    </row>
    <row r="15" spans="3:12" x14ac:dyDescent="0.2">
      <c r="C15" s="16" t="str">
        <f>IF(D10="Corn/Soybean Rotation","3e. What are your annual non-land production costs for corn on this field?",IF(D10="Continuous Corn","3e. What are the annual non-land production costs for corn on this field?","Intentionally left blank"))</f>
        <v>Intentionally left blank</v>
      </c>
      <c r="D15" s="205">
        <f>IF($D$10="Corn/Soybean Rotation",450,IF($D$10="Continuous Corn",500,0))</f>
        <v>0</v>
      </c>
      <c r="E15" s="5" t="str">
        <f>IF($D$10="Corn/Soybean Rotation","$ / acre",IF($D$10="Continuous Corn","$ / acre",""))</f>
        <v/>
      </c>
      <c r="F15" s="18"/>
      <c r="G15" s="21"/>
      <c r="H15" s="10"/>
      <c r="L15" s="20"/>
    </row>
    <row r="16" spans="3:12" ht="13.6" x14ac:dyDescent="0.25">
      <c r="C16" s="16" t="str">
        <f>IF(D10="Continuous Corn","Intentionally left blank","3f. What is your expected per-acre soybean yield?")</f>
        <v>3f. What is your expected per-acre soybean yield?</v>
      </c>
      <c r="D16" s="205">
        <f>IF($D$10="Continuous Corn",0,40)</f>
        <v>40</v>
      </c>
      <c r="E16" s="5" t="str">
        <f>IF($D$10="Continuous Corn","","bu/acre")</f>
        <v>bu/acre</v>
      </c>
      <c r="F16" s="12" t="s">
        <v>113</v>
      </c>
      <c r="G16" s="22"/>
      <c r="H16" s="14"/>
      <c r="L16" s="20"/>
    </row>
    <row r="17" spans="3:12" ht="13.6" x14ac:dyDescent="0.25">
      <c r="C17" s="16" t="str">
        <f>IF(D10="Continuous Corn","Intentionally left blank","3g. What is your expected marketing-year average soybean price?")</f>
        <v>3g. What is your expected marketing-year average soybean price?</v>
      </c>
      <c r="D17" s="205">
        <f>IF($D$10="Continuous Corn",0,9.15)</f>
        <v>9.15</v>
      </c>
      <c r="E17" s="5" t="str">
        <f>IF($D$10="Continuous Corn","","$/bu")</f>
        <v>$/bu</v>
      </c>
      <c r="F17" s="23" t="str">
        <f>IF(G18&gt;'Advanced Inputs'!G54,"This system does not break even in "&amp;D26&amp;" years.","")</f>
        <v/>
      </c>
      <c r="G17" s="21"/>
      <c r="H17" s="10"/>
      <c r="L17" s="20"/>
    </row>
    <row r="18" spans="3:12" ht="13.6" x14ac:dyDescent="0.25">
      <c r="C18" s="16" t="str">
        <f>IF(D10="Corn/Soybean Rotation","3h. What are your annual non-land production costs for soybeans on this field?","Intentionally left blank")</f>
        <v>Intentionally left blank</v>
      </c>
      <c r="D18" s="205">
        <f>IF($D$10="Corn/Soybean Rotation",270,0)</f>
        <v>0</v>
      </c>
      <c r="E18" s="5" t="str">
        <f>IF($D$10="Corn/Soybean Rotation","$ / acre","")</f>
        <v/>
      </c>
      <c r="F18" s="18" t="s">
        <v>116</v>
      </c>
      <c r="G18" s="24">
        <f>ROUNDUP(('Advanced Inputs'!L57*'Advanced Inputs'!G54)/(('Your Production Estimates'!G12+'Your Production Estimates'!G13+('Your Production Estimates'!G14*('Advanced Inputs'!C6-2)))/'Advanced Inputs'!G54),0)</f>
        <v>8</v>
      </c>
      <c r="H18" s="25" t="s">
        <v>170</v>
      </c>
      <c r="L18" s="20"/>
    </row>
    <row r="19" spans="3:12" ht="13.6" x14ac:dyDescent="0.25">
      <c r="C19" s="16"/>
      <c r="D19" s="20"/>
      <c r="F19" s="18" t="s">
        <v>182</v>
      </c>
      <c r="G19" s="26">
        <f>(('Advanced Inputs'!L57*'Advanced Inputs'!G54-IF(OR(D10="CRP",D10="Pasture for Grazing/Haying"),'Your Production Estimates'!D16*'Your Production Estimates'!D17,0))/'Advanced Inputs'!G54)/'Your Production Estimates'!D30</f>
        <v>3.0999510675927571</v>
      </c>
      <c r="H19" s="10" t="s">
        <v>174</v>
      </c>
    </row>
    <row r="20" spans="3:12" ht="13.6" x14ac:dyDescent="0.25">
      <c r="C20" s="27"/>
      <c r="D20" s="28"/>
      <c r="F20" s="18" t="s">
        <v>183</v>
      </c>
      <c r="G20" s="19">
        <f>(('Advanced Inputs'!L57*'Advanced Inputs'!G54-IF(OR(D10="CRP",D10="Pasture for Grazing/Haying"),'Your Production Estimates'!D16*'Your Production Estimates'!D17,0))/'Advanced Inputs'!G54)/(SUM(D27,D28,(D26-2)*D29)/D26)</f>
        <v>41.332680901236756</v>
      </c>
      <c r="H20" s="10" t="s">
        <v>172</v>
      </c>
      <c r="J20" s="5" t="str">
        <f>""</f>
        <v/>
      </c>
    </row>
    <row r="21" spans="3:12" ht="13.6" x14ac:dyDescent="0.25">
      <c r="C21" s="225" t="s">
        <v>114</v>
      </c>
      <c r="D21" s="226"/>
      <c r="F21" s="18"/>
      <c r="G21" s="21"/>
      <c r="H21" s="10"/>
    </row>
    <row r="22" spans="3:12" ht="13.6" x14ac:dyDescent="0.25">
      <c r="C22" s="216" t="s">
        <v>204</v>
      </c>
      <c r="D22" s="217"/>
      <c r="F22" s="12" t="str">
        <f>"Comparison of Switchgrass for Biomass with "&amp;D10</f>
        <v>Comparison of Switchgrass for Biomass with CRP</v>
      </c>
      <c r="G22" s="13"/>
      <c r="H22" s="14"/>
    </row>
    <row r="23" spans="3:12" ht="13.6" x14ac:dyDescent="0.25">
      <c r="C23" s="216"/>
      <c r="D23" s="217"/>
      <c r="F23" s="15"/>
      <c r="G23" s="9"/>
      <c r="H23" s="10"/>
    </row>
    <row r="24" spans="3:12" ht="13.6" x14ac:dyDescent="0.25">
      <c r="C24" s="218"/>
      <c r="D24" s="219"/>
      <c r="F24" s="18" t="s">
        <v>129</v>
      </c>
      <c r="G24" s="29">
        <f>(SUM(G12,G13,(D26-2)*G14)/'Advanced Inputs'!G54)-G11</f>
        <v>117.09433435941611</v>
      </c>
      <c r="H24" s="10" t="s">
        <v>175</v>
      </c>
    </row>
    <row r="25" spans="3:12" ht="13.6" x14ac:dyDescent="0.25">
      <c r="C25" s="27" t="s">
        <v>115</v>
      </c>
      <c r="D25" s="206">
        <v>10</v>
      </c>
      <c r="E25" s="5" t="s">
        <v>170</v>
      </c>
      <c r="F25" s="18" t="str">
        <f>IF(D10="CRP","Average annual net return to CRP",IF(D10="Continuous Corn","Average annual net return to Continuous Corn",IF(D10="Corn/Soybean Rotation","Average annual expected net return to CS rotation",IF(D10="Pasture for Grazing/Haying","Average annual net return to pasture",""))))</f>
        <v>Average annual net return to CRP</v>
      </c>
      <c r="G25" s="29">
        <f>IF(D10="CRP",D12-D13-D11,IF(D10="Continuous Corn",((D12*D13)+D14-D15-D11),IF(D10="Corn/Soybean Rotation",AVERAGE((D12*D13)+D14-D15-D11,(D16*D17)-D18-D11),IF(D10="Pasture for Grazing/Haying",D12-D11,""))))</f>
        <v>-3.75</v>
      </c>
      <c r="H25" s="10" t="str">
        <f>IF(G25="","","/acre")</f>
        <v>/acre</v>
      </c>
    </row>
    <row r="26" spans="3:12" ht="13.6" x14ac:dyDescent="0.25">
      <c r="C26" s="27" t="s">
        <v>140</v>
      </c>
      <c r="D26" s="7">
        <v>10</v>
      </c>
      <c r="E26" s="5" t="s">
        <v>170</v>
      </c>
      <c r="F26" s="30" t="str">
        <f>IF(AND(G24&gt;G25,G25&lt;&gt;""),"Expected net return advantage of grass",IF(AND(G24&lt;G25,G25&lt;&gt;""),"Grass production is less profitable than "&amp;D10,""))</f>
        <v>Expected net return advantage of grass</v>
      </c>
      <c r="G26" s="29">
        <f>IF(G25="","",G24-G25)</f>
        <v>120.84433435941611</v>
      </c>
      <c r="H26" s="10" t="str">
        <f>IF(G26="","","/acre")</f>
        <v>/acre</v>
      </c>
    </row>
    <row r="27" spans="3:12" x14ac:dyDescent="0.2">
      <c r="C27" s="31" t="s">
        <v>184</v>
      </c>
      <c r="D27" s="32">
        <v>1.5</v>
      </c>
      <c r="E27" s="5" t="s">
        <v>174</v>
      </c>
      <c r="F27" s="8"/>
      <c r="G27" s="9"/>
      <c r="H27" s="10"/>
    </row>
    <row r="28" spans="3:12" x14ac:dyDescent="0.2">
      <c r="C28" s="31" t="s">
        <v>185</v>
      </c>
      <c r="D28" s="32">
        <v>3</v>
      </c>
      <c r="E28" s="5" t="s">
        <v>174</v>
      </c>
      <c r="F28" s="33"/>
      <c r="G28" s="34"/>
      <c r="H28" s="35"/>
    </row>
    <row r="29" spans="3:12" x14ac:dyDescent="0.2">
      <c r="C29" s="31" t="s">
        <v>186</v>
      </c>
      <c r="D29" s="32">
        <v>6</v>
      </c>
      <c r="E29" s="5" t="s">
        <v>174</v>
      </c>
    </row>
    <row r="30" spans="3:12" x14ac:dyDescent="0.2">
      <c r="C30" s="27" t="s">
        <v>101</v>
      </c>
      <c r="D30" s="37">
        <v>70</v>
      </c>
      <c r="E30" s="5" t="s">
        <v>171</v>
      </c>
    </row>
    <row r="31" spans="3:12" x14ac:dyDescent="0.2">
      <c r="C31" s="27" t="s">
        <v>200</v>
      </c>
      <c r="D31" s="38">
        <v>1250</v>
      </c>
      <c r="E31" s="5" t="s">
        <v>76</v>
      </c>
    </row>
    <row r="32" spans="3:12" x14ac:dyDescent="0.2">
      <c r="C32" s="27"/>
      <c r="D32" s="39"/>
    </row>
    <row r="34" spans="3:13" x14ac:dyDescent="0.2">
      <c r="C34" s="5" t="s">
        <v>189</v>
      </c>
    </row>
    <row r="35" spans="3:13" ht="13.6" x14ac:dyDescent="0.25">
      <c r="C35" s="54" t="s">
        <v>164</v>
      </c>
      <c r="D35" s="55"/>
      <c r="E35" s="55"/>
      <c r="F35" s="55"/>
      <c r="G35" s="55"/>
      <c r="H35" s="56"/>
    </row>
    <row r="36" spans="3:13" x14ac:dyDescent="0.2">
      <c r="C36" s="5" t="s">
        <v>167</v>
      </c>
      <c r="D36" s="5"/>
      <c r="G36" s="5"/>
    </row>
    <row r="37" spans="3:13" x14ac:dyDescent="0.2">
      <c r="C37" s="5" t="s">
        <v>166</v>
      </c>
      <c r="D37" s="5"/>
      <c r="G37" s="5"/>
    </row>
    <row r="38" spans="3:13" x14ac:dyDescent="0.2">
      <c r="C38" s="5" t="s">
        <v>165</v>
      </c>
      <c r="D38" s="5"/>
      <c r="G38" s="5"/>
    </row>
    <row r="39" spans="3:13" x14ac:dyDescent="0.2">
      <c r="D39" s="5"/>
      <c r="G39" s="5"/>
    </row>
    <row r="40" spans="3:13" x14ac:dyDescent="0.2">
      <c r="C40" s="215" t="s">
        <v>168</v>
      </c>
      <c r="D40" s="215"/>
      <c r="E40" s="215"/>
      <c r="F40" s="215"/>
      <c r="G40" s="215"/>
      <c r="H40" s="215"/>
      <c r="I40" s="215"/>
      <c r="J40" s="215"/>
      <c r="K40" s="215"/>
      <c r="L40" s="215"/>
      <c r="M40" s="215"/>
    </row>
    <row r="41" spans="3:13" x14ac:dyDescent="0.2">
      <c r="C41" s="215"/>
      <c r="D41" s="215"/>
      <c r="E41" s="215"/>
      <c r="F41" s="215"/>
      <c r="G41" s="215"/>
      <c r="H41" s="215"/>
      <c r="I41" s="215"/>
      <c r="J41" s="215"/>
      <c r="K41" s="215"/>
      <c r="L41" s="215"/>
      <c r="M41" s="215"/>
    </row>
    <row r="42" spans="3:13" x14ac:dyDescent="0.2">
      <c r="C42" s="215"/>
      <c r="D42" s="215"/>
      <c r="E42" s="215"/>
      <c r="F42" s="215"/>
      <c r="G42" s="215"/>
      <c r="H42" s="215"/>
      <c r="I42" s="215"/>
      <c r="J42" s="215"/>
      <c r="K42" s="215"/>
      <c r="L42" s="215"/>
      <c r="M42" s="215"/>
    </row>
    <row r="46" spans="3:13" ht="14.3" x14ac:dyDescent="0.2">
      <c r="C46" s="44" t="s">
        <v>33</v>
      </c>
      <c r="D46" s="45"/>
      <c r="E46" s="45"/>
    </row>
    <row r="47" spans="3:13" ht="14.3" x14ac:dyDescent="0.2">
      <c r="C47" s="213" t="s">
        <v>34</v>
      </c>
      <c r="D47" s="213"/>
      <c r="E47" s="45"/>
    </row>
    <row r="48" spans="3:13" ht="14.3" x14ac:dyDescent="0.2">
      <c r="C48" s="213"/>
      <c r="D48" s="213"/>
      <c r="E48" s="45"/>
    </row>
    <row r="49" spans="3:5" ht="15.45" customHeight="1" x14ac:dyDescent="0.2">
      <c r="C49" s="213" t="s">
        <v>35</v>
      </c>
      <c r="D49" s="213"/>
      <c r="E49" s="45"/>
    </row>
  </sheetData>
  <sheetProtection sheet="1" objects="1" scenarios="1"/>
  <mergeCells count="9">
    <mergeCell ref="C47:D48"/>
    <mergeCell ref="C49:D49"/>
    <mergeCell ref="C1:H1"/>
    <mergeCell ref="C40:M42"/>
    <mergeCell ref="C22:D24"/>
    <mergeCell ref="F7:H7"/>
    <mergeCell ref="C7:D7"/>
    <mergeCell ref="C21:D21"/>
    <mergeCell ref="C5:D5"/>
  </mergeCells>
  <conditionalFormatting sqref="G25:G26">
    <cfRule type="cellIs" dxfId="18" priority="9" stopIfTrue="1" operator="notEqual">
      <formula>$J$20</formula>
    </cfRule>
  </conditionalFormatting>
  <conditionalFormatting sqref="D13">
    <cfRule type="expression" dxfId="17" priority="6">
      <formula>$C$13&lt;&gt;"Intentionally left blank"</formula>
    </cfRule>
  </conditionalFormatting>
  <conditionalFormatting sqref="D14">
    <cfRule type="expression" dxfId="16" priority="5">
      <formula>$C$14&lt;&gt;"Intentionally left blank"</formula>
    </cfRule>
  </conditionalFormatting>
  <conditionalFormatting sqref="D15">
    <cfRule type="expression" dxfId="15" priority="4">
      <formula>$C$15&lt;&gt;"Intentionally left blank"</formula>
    </cfRule>
  </conditionalFormatting>
  <conditionalFormatting sqref="D18">
    <cfRule type="expression" dxfId="14" priority="3">
      <formula>$C$18&lt;&gt;"Intentionally left blank"</formula>
    </cfRule>
  </conditionalFormatting>
  <conditionalFormatting sqref="D16">
    <cfRule type="expression" dxfId="13" priority="2">
      <formula>$C$16&lt;&gt;"Intentionally left blank"</formula>
    </cfRule>
  </conditionalFormatting>
  <conditionalFormatting sqref="D17">
    <cfRule type="expression" dxfId="12" priority="1">
      <formula>$C$17&lt;&gt;"Intentionally left blank"</formula>
    </cfRule>
  </conditionalFormatting>
  <dataValidations count="4">
    <dataValidation type="list" allowBlank="1" showErrorMessage="1" sqref="D8">
      <formula1>Role</formula1>
    </dataValidation>
    <dataValidation type="list" allowBlank="1" showErrorMessage="1" sqref="D10">
      <formula1>CroppingHistory</formula1>
    </dataValidation>
    <dataValidation type="list" allowBlank="1" showErrorMessage="1" sqref="D25">
      <formula1>Years</formula1>
    </dataValidation>
    <dataValidation type="whole" allowBlank="1" showInputMessage="1" showErrorMessage="1" error="Pleave enter a value between 1 and 15." prompt="Please enter a value between 1 and 15." sqref="D26">
      <formula1>1</formula1>
      <formula2>15</formula2>
    </dataValidation>
  </dataValidations>
  <hyperlinks>
    <hyperlink ref="C3" r:id="rId1"/>
  </hyperlinks>
  <printOptions horizontalCentered="1"/>
  <pageMargins left="0.7" right="0.7" top="0.75" bottom="0.75" header="0.3" footer="0.3"/>
  <pageSetup scale="58" orientation="landscape" r:id="rId2"/>
  <headerFooter>
    <oddFooter>&amp;L&amp;A,&amp;F&amp;R&amp;D</oddFooter>
  </headerFooter>
  <colBreaks count="1" manualBreakCount="1">
    <brk id="5" max="48" man="1"/>
  </col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K45"/>
  <sheetViews>
    <sheetView showGridLines="0" workbookViewId="0">
      <selection activeCell="A2" sqref="A2"/>
    </sheetView>
  </sheetViews>
  <sheetFormatPr defaultColWidth="9.125" defaultRowHeight="12.9" x14ac:dyDescent="0.2"/>
  <cols>
    <col min="1" max="1" width="55.375" style="5" customWidth="1"/>
    <col min="2" max="2" width="12.125" style="5" bestFit="1" customWidth="1"/>
    <col min="3" max="7" width="14.875" style="5" customWidth="1"/>
    <col min="8" max="16384" width="9.125" style="5"/>
  </cols>
  <sheetData>
    <row r="1" spans="1:7" ht="15.65" x14ac:dyDescent="0.25">
      <c r="A1" s="229" t="s">
        <v>197</v>
      </c>
      <c r="B1" s="229"/>
      <c r="C1" s="229"/>
      <c r="D1" s="229"/>
      <c r="E1" s="229"/>
      <c r="F1" s="229"/>
      <c r="G1" s="229"/>
    </row>
    <row r="2" spans="1:7" ht="40.75" x14ac:dyDescent="0.25">
      <c r="A2" s="65"/>
      <c r="B2" s="65"/>
      <c r="C2" s="66" t="s">
        <v>107</v>
      </c>
      <c r="D2" s="67" t="s">
        <v>143</v>
      </c>
      <c r="E2" s="67" t="s">
        <v>133</v>
      </c>
      <c r="F2" s="67" t="s">
        <v>135</v>
      </c>
      <c r="G2" s="67" t="str">
        <f>"Units in Full Production Years 3 - "&amp;'Advanced Inputs'!C6</f>
        <v>Units in Full Production Years 3 - 10</v>
      </c>
    </row>
    <row r="3" spans="1:7" ht="15.8" customHeight="1" x14ac:dyDescent="0.2">
      <c r="A3" s="65" t="s">
        <v>24</v>
      </c>
      <c r="B3" s="68" t="s">
        <v>6</v>
      </c>
      <c r="C3" s="149">
        <v>100</v>
      </c>
      <c r="D3" s="150">
        <v>1</v>
      </c>
      <c r="E3" s="150">
        <v>1</v>
      </c>
      <c r="F3" s="150">
        <v>1</v>
      </c>
      <c r="G3" s="150">
        <v>1</v>
      </c>
    </row>
    <row r="4" spans="1:7" x14ac:dyDescent="0.2">
      <c r="A4" s="71"/>
      <c r="B4" s="68"/>
      <c r="C4" s="72"/>
      <c r="D4" s="73"/>
      <c r="E4" s="73"/>
      <c r="F4" s="73"/>
      <c r="G4" s="73"/>
    </row>
    <row r="5" spans="1:7" x14ac:dyDescent="0.2">
      <c r="A5" s="65" t="s">
        <v>25</v>
      </c>
      <c r="B5" s="68"/>
      <c r="C5" s="74"/>
      <c r="D5" s="73"/>
      <c r="E5" s="73"/>
      <c r="F5" s="73"/>
      <c r="G5" s="73"/>
    </row>
    <row r="6" spans="1:7" x14ac:dyDescent="0.2">
      <c r="A6" s="75" t="s">
        <v>0</v>
      </c>
      <c r="B6" s="68" t="s">
        <v>12</v>
      </c>
      <c r="C6" s="149">
        <v>10</v>
      </c>
      <c r="D6" s="150">
        <v>1</v>
      </c>
      <c r="E6" s="150">
        <v>0</v>
      </c>
      <c r="F6" s="150">
        <v>0</v>
      </c>
      <c r="G6" s="150">
        <v>0</v>
      </c>
    </row>
    <row r="7" spans="1:7" x14ac:dyDescent="0.2">
      <c r="A7" s="76" t="s">
        <v>10</v>
      </c>
      <c r="B7" s="68" t="s">
        <v>12</v>
      </c>
      <c r="C7" s="149">
        <v>14.2</v>
      </c>
      <c r="D7" s="150">
        <v>2</v>
      </c>
      <c r="E7" s="150">
        <v>0</v>
      </c>
      <c r="F7" s="150">
        <v>0</v>
      </c>
      <c r="G7" s="150">
        <v>0</v>
      </c>
    </row>
    <row r="8" spans="1:7" x14ac:dyDescent="0.2">
      <c r="A8" s="76" t="s">
        <v>1</v>
      </c>
      <c r="B8" s="68" t="s">
        <v>12</v>
      </c>
      <c r="C8" s="149">
        <v>14.6</v>
      </c>
      <c r="D8" s="150">
        <v>2</v>
      </c>
      <c r="E8" s="150">
        <v>0</v>
      </c>
      <c r="F8" s="150">
        <v>0</v>
      </c>
      <c r="G8" s="150">
        <v>0</v>
      </c>
    </row>
    <row r="9" spans="1:7" x14ac:dyDescent="0.2">
      <c r="A9" s="76" t="s">
        <v>142</v>
      </c>
      <c r="B9" s="68" t="s">
        <v>6</v>
      </c>
      <c r="C9" s="151">
        <v>268.85000000000002</v>
      </c>
      <c r="D9" s="150">
        <v>1</v>
      </c>
      <c r="E9" s="150">
        <v>0</v>
      </c>
      <c r="F9" s="150">
        <v>0</v>
      </c>
      <c r="G9" s="150">
        <v>0</v>
      </c>
    </row>
    <row r="10" spans="1:7" x14ac:dyDescent="0.2">
      <c r="A10" s="76" t="s">
        <v>130</v>
      </c>
      <c r="B10" s="68" t="s">
        <v>6</v>
      </c>
      <c r="C10" s="151">
        <v>31.39</v>
      </c>
      <c r="D10" s="150">
        <v>1</v>
      </c>
      <c r="E10" s="150">
        <v>0</v>
      </c>
      <c r="F10" s="150">
        <v>0</v>
      </c>
      <c r="G10" s="150">
        <v>0</v>
      </c>
    </row>
    <row r="11" spans="1:7" x14ac:dyDescent="0.2">
      <c r="A11" s="77"/>
      <c r="B11" s="68"/>
      <c r="C11" s="78"/>
      <c r="D11" s="73"/>
      <c r="E11" s="73"/>
      <c r="F11" s="73"/>
      <c r="G11" s="79"/>
    </row>
    <row r="12" spans="1:7" ht="13.6" x14ac:dyDescent="0.25">
      <c r="A12" s="68" t="s">
        <v>19</v>
      </c>
      <c r="B12" s="68"/>
      <c r="C12" s="80"/>
      <c r="D12" s="81"/>
      <c r="E12" s="73"/>
      <c r="F12" s="73"/>
      <c r="G12" s="79"/>
    </row>
    <row r="13" spans="1:7" x14ac:dyDescent="0.2">
      <c r="A13" s="76" t="s">
        <v>10</v>
      </c>
      <c r="B13" s="68" t="s">
        <v>12</v>
      </c>
      <c r="C13" s="149">
        <v>14.2</v>
      </c>
      <c r="D13" s="150">
        <v>0</v>
      </c>
      <c r="E13" s="150">
        <v>0</v>
      </c>
      <c r="F13" s="150">
        <v>0</v>
      </c>
      <c r="G13" s="150">
        <v>0</v>
      </c>
    </row>
    <row r="14" spans="1:7" x14ac:dyDescent="0.2">
      <c r="A14" s="76" t="s">
        <v>1</v>
      </c>
      <c r="B14" s="68" t="s">
        <v>12</v>
      </c>
      <c r="C14" s="149">
        <v>14.6</v>
      </c>
      <c r="D14" s="150">
        <v>0</v>
      </c>
      <c r="E14" s="150">
        <v>0</v>
      </c>
      <c r="F14" s="150">
        <v>0</v>
      </c>
      <c r="G14" s="150">
        <v>0</v>
      </c>
    </row>
    <row r="15" spans="1:7" x14ac:dyDescent="0.2">
      <c r="A15" s="76" t="s">
        <v>18</v>
      </c>
      <c r="B15" s="68" t="s">
        <v>12</v>
      </c>
      <c r="C15" s="149">
        <v>5</v>
      </c>
      <c r="D15" s="150">
        <v>0</v>
      </c>
      <c r="E15" s="150">
        <v>0</v>
      </c>
      <c r="F15" s="150">
        <v>1</v>
      </c>
      <c r="G15" s="150">
        <v>1</v>
      </c>
    </row>
    <row r="16" spans="1:7" x14ac:dyDescent="0.2">
      <c r="A16" s="76" t="s">
        <v>17</v>
      </c>
      <c r="B16" s="68" t="s">
        <v>12</v>
      </c>
      <c r="C16" s="149">
        <v>7.55</v>
      </c>
      <c r="D16" s="154">
        <v>0</v>
      </c>
      <c r="E16" s="154">
        <v>2</v>
      </c>
      <c r="F16" s="154">
        <v>1</v>
      </c>
      <c r="G16" s="154">
        <v>1</v>
      </c>
    </row>
    <row r="17" spans="1:7" x14ac:dyDescent="0.2">
      <c r="A17" s="76" t="s">
        <v>36</v>
      </c>
      <c r="B17" s="83" t="s">
        <v>12</v>
      </c>
      <c r="C17" s="149">
        <v>16.05</v>
      </c>
      <c r="D17" s="150">
        <v>0</v>
      </c>
      <c r="E17" s="150">
        <v>1</v>
      </c>
      <c r="F17" s="150">
        <v>1</v>
      </c>
      <c r="G17" s="150">
        <v>0</v>
      </c>
    </row>
    <row r="18" spans="1:7" x14ac:dyDescent="0.2">
      <c r="A18" s="84"/>
      <c r="B18" s="83"/>
      <c r="C18" s="85"/>
      <c r="D18" s="73"/>
    </row>
    <row r="19" spans="1:7" ht="13.6" x14ac:dyDescent="0.25">
      <c r="A19" s="84" t="s">
        <v>2</v>
      </c>
      <c r="B19" s="83"/>
      <c r="C19" s="86"/>
      <c r="D19" s="81"/>
      <c r="E19" s="73"/>
      <c r="F19" s="80"/>
      <c r="G19" s="80"/>
    </row>
    <row r="20" spans="1:7" x14ac:dyDescent="0.2">
      <c r="A20" s="76" t="s">
        <v>3</v>
      </c>
      <c r="B20" s="83" t="s">
        <v>13</v>
      </c>
      <c r="C20" s="149">
        <v>8</v>
      </c>
      <c r="D20" s="150">
        <v>0</v>
      </c>
      <c r="E20" s="150">
        <v>0.2</v>
      </c>
      <c r="F20" s="150">
        <v>0</v>
      </c>
      <c r="G20" s="150">
        <v>0</v>
      </c>
    </row>
    <row r="21" spans="1:7" x14ac:dyDescent="0.2">
      <c r="A21" s="76" t="s">
        <v>40</v>
      </c>
      <c r="B21" s="83" t="s">
        <v>37</v>
      </c>
      <c r="C21" s="149">
        <v>15</v>
      </c>
      <c r="D21" s="154">
        <v>0</v>
      </c>
      <c r="E21" s="154">
        <v>5</v>
      </c>
      <c r="F21" s="150">
        <v>0.5</v>
      </c>
      <c r="G21" s="150">
        <v>0</v>
      </c>
    </row>
    <row r="22" spans="1:7" x14ac:dyDescent="0.2">
      <c r="A22" s="76" t="s">
        <v>21</v>
      </c>
      <c r="B22" s="83"/>
      <c r="C22" s="87"/>
      <c r="D22" s="88"/>
      <c r="E22" s="88"/>
      <c r="F22" s="88"/>
    </row>
    <row r="23" spans="1:7" x14ac:dyDescent="0.2">
      <c r="A23" s="89" t="s">
        <v>22</v>
      </c>
      <c r="B23" s="83" t="s">
        <v>14</v>
      </c>
      <c r="C23" s="151">
        <v>0.44</v>
      </c>
      <c r="D23" s="150">
        <v>0</v>
      </c>
      <c r="E23" s="150">
        <v>0</v>
      </c>
      <c r="F23" s="154">
        <v>60</v>
      </c>
      <c r="G23" s="150">
        <v>60</v>
      </c>
    </row>
    <row r="24" spans="1:7" ht="17" x14ac:dyDescent="0.35">
      <c r="A24" s="89" t="s">
        <v>198</v>
      </c>
      <c r="B24" s="83" t="s">
        <v>14</v>
      </c>
      <c r="C24" s="151">
        <v>0.43</v>
      </c>
      <c r="D24" s="150">
        <v>0</v>
      </c>
      <c r="E24" s="150">
        <v>0</v>
      </c>
      <c r="F24" s="154">
        <v>0</v>
      </c>
      <c r="G24" s="150">
        <v>0</v>
      </c>
    </row>
    <row r="25" spans="1:7" ht="17" x14ac:dyDescent="0.35">
      <c r="A25" s="89" t="s">
        <v>199</v>
      </c>
      <c r="B25" s="83" t="s">
        <v>14</v>
      </c>
      <c r="C25" s="151">
        <v>0.41</v>
      </c>
      <c r="D25" s="150">
        <v>0</v>
      </c>
      <c r="E25" s="150">
        <v>0</v>
      </c>
      <c r="F25" s="154">
        <v>0</v>
      </c>
      <c r="G25" s="150">
        <v>0</v>
      </c>
    </row>
    <row r="26" spans="1:7" x14ac:dyDescent="0.2">
      <c r="A26" s="76" t="s">
        <v>4</v>
      </c>
      <c r="B26" s="83" t="s">
        <v>15</v>
      </c>
      <c r="C26" s="151">
        <v>29</v>
      </c>
      <c r="D26" s="154">
        <v>0</v>
      </c>
      <c r="E26" s="154">
        <v>0</v>
      </c>
      <c r="F26" s="154">
        <v>0</v>
      </c>
      <c r="G26" s="154">
        <v>0</v>
      </c>
    </row>
    <row r="27" spans="1:7" x14ac:dyDescent="0.2">
      <c r="A27" s="76" t="s">
        <v>5</v>
      </c>
      <c r="B27" s="83"/>
      <c r="C27" s="87"/>
      <c r="D27" s="90"/>
      <c r="E27" s="90"/>
      <c r="F27" s="91"/>
    </row>
    <row r="28" spans="1:7" x14ac:dyDescent="0.2">
      <c r="A28" s="89" t="s">
        <v>41</v>
      </c>
      <c r="B28" s="83" t="s">
        <v>16</v>
      </c>
      <c r="C28" s="149">
        <v>0.21</v>
      </c>
      <c r="D28" s="150">
        <v>0</v>
      </c>
      <c r="E28" s="150">
        <v>32</v>
      </c>
      <c r="F28" s="150">
        <v>0</v>
      </c>
      <c r="G28" s="150">
        <v>0</v>
      </c>
    </row>
    <row r="29" spans="1:7" x14ac:dyDescent="0.2">
      <c r="A29" s="89" t="s">
        <v>38</v>
      </c>
      <c r="B29" s="83" t="s">
        <v>16</v>
      </c>
      <c r="C29" s="149">
        <v>0.2</v>
      </c>
      <c r="D29" s="150">
        <v>0</v>
      </c>
      <c r="E29" s="150">
        <v>32</v>
      </c>
      <c r="F29" s="150">
        <v>32</v>
      </c>
      <c r="G29" s="150">
        <v>32</v>
      </c>
    </row>
    <row r="30" spans="1:7" x14ac:dyDescent="0.2">
      <c r="A30" s="89"/>
      <c r="B30" s="92"/>
      <c r="C30" s="93"/>
      <c r="D30" s="88"/>
    </row>
    <row r="31" spans="1:7" x14ac:dyDescent="0.2">
      <c r="A31" s="65"/>
      <c r="B31" s="65"/>
      <c r="C31" s="94" t="s">
        <v>26</v>
      </c>
      <c r="D31" s="95"/>
    </row>
    <row r="32" spans="1:7" x14ac:dyDescent="0.2">
      <c r="A32" s="96" t="s">
        <v>80</v>
      </c>
      <c r="B32" s="96" t="s">
        <v>27</v>
      </c>
      <c r="C32" s="157">
        <v>0.05</v>
      </c>
      <c r="D32" s="95"/>
      <c r="E32" s="95"/>
      <c r="F32" s="95"/>
      <c r="G32" s="97"/>
    </row>
    <row r="33" spans="1:11" x14ac:dyDescent="0.2">
      <c r="A33" s="98"/>
      <c r="B33" s="98"/>
      <c r="C33" s="98"/>
      <c r="D33" s="98"/>
      <c r="E33" s="98"/>
      <c r="F33" s="98"/>
      <c r="G33" s="99"/>
    </row>
    <row r="34" spans="1:11" ht="13.6" x14ac:dyDescent="0.25">
      <c r="A34" s="96" t="s">
        <v>28</v>
      </c>
      <c r="B34" s="100"/>
      <c r="C34" s="101"/>
      <c r="D34" s="102"/>
      <c r="E34" s="102"/>
      <c r="F34" s="102"/>
      <c r="G34" s="99"/>
    </row>
    <row r="35" spans="1:11" x14ac:dyDescent="0.2">
      <c r="A35" s="76" t="s">
        <v>39</v>
      </c>
      <c r="B35" s="103" t="s">
        <v>6</v>
      </c>
      <c r="C35" s="151">
        <v>14.2</v>
      </c>
      <c r="D35" s="154">
        <v>0</v>
      </c>
      <c r="E35" s="154">
        <v>0</v>
      </c>
      <c r="F35" s="154">
        <v>1</v>
      </c>
      <c r="G35" s="154">
        <v>1</v>
      </c>
    </row>
    <row r="36" spans="1:11" x14ac:dyDescent="0.2">
      <c r="A36" s="76" t="s">
        <v>29</v>
      </c>
      <c r="B36" s="103" t="s">
        <v>7</v>
      </c>
      <c r="C36" s="151">
        <v>12.6</v>
      </c>
      <c r="D36" s="154">
        <v>0</v>
      </c>
      <c r="E36" s="154">
        <v>0</v>
      </c>
      <c r="F36" s="154">
        <v>4.8</v>
      </c>
      <c r="G36" s="154">
        <v>8</v>
      </c>
    </row>
    <row r="37" spans="1:11" x14ac:dyDescent="0.2">
      <c r="A37" s="76" t="s">
        <v>8</v>
      </c>
      <c r="B37" s="103" t="s">
        <v>6</v>
      </c>
      <c r="C37" s="151">
        <v>12.9</v>
      </c>
      <c r="D37" s="154">
        <v>0</v>
      </c>
      <c r="E37" s="154">
        <v>0</v>
      </c>
      <c r="F37" s="154">
        <v>0</v>
      </c>
      <c r="G37" s="154">
        <v>0</v>
      </c>
    </row>
    <row r="38" spans="1:11" x14ac:dyDescent="0.2">
      <c r="A38" s="76" t="s">
        <v>9</v>
      </c>
      <c r="B38" s="103" t="s">
        <v>7</v>
      </c>
      <c r="C38" s="151">
        <v>3.3</v>
      </c>
      <c r="D38" s="154">
        <v>0</v>
      </c>
      <c r="E38" s="154">
        <v>0</v>
      </c>
      <c r="F38" s="154">
        <v>4.8</v>
      </c>
      <c r="G38" s="154">
        <v>8</v>
      </c>
    </row>
    <row r="39" spans="1:11" x14ac:dyDescent="0.2">
      <c r="A39" s="104"/>
      <c r="B39" s="104"/>
      <c r="C39" s="104"/>
      <c r="D39" s="104"/>
      <c r="E39" s="104"/>
      <c r="F39" s="104"/>
      <c r="G39" s="104"/>
    </row>
    <row r="40" spans="1:11" x14ac:dyDescent="0.2">
      <c r="A40" s="231" t="s">
        <v>202</v>
      </c>
      <c r="B40" s="231"/>
      <c r="C40" s="231"/>
      <c r="D40" s="231"/>
      <c r="E40" s="231"/>
      <c r="F40" s="231"/>
      <c r="G40" s="231"/>
      <c r="H40" s="231"/>
      <c r="I40" s="231"/>
      <c r="J40" s="231"/>
      <c r="K40" s="231"/>
    </row>
    <row r="41" spans="1:11" ht="14.95" x14ac:dyDescent="0.2">
      <c r="A41" s="105" t="s">
        <v>201</v>
      </c>
      <c r="B41" s="106"/>
      <c r="C41" s="106"/>
      <c r="D41" s="106"/>
      <c r="E41" s="106"/>
      <c r="F41" s="106"/>
      <c r="G41" s="106"/>
    </row>
    <row r="42" spans="1:11" x14ac:dyDescent="0.2">
      <c r="A42" s="230"/>
      <c r="B42" s="230"/>
      <c r="C42" s="106"/>
      <c r="D42" s="106"/>
      <c r="E42" s="106"/>
      <c r="F42" s="106"/>
      <c r="G42" s="106"/>
    </row>
    <row r="43" spans="1:11" x14ac:dyDescent="0.2">
      <c r="A43" s="107"/>
      <c r="B43" s="106"/>
      <c r="C43" s="106"/>
      <c r="D43" s="106"/>
      <c r="E43" s="106"/>
      <c r="F43" s="106"/>
      <c r="G43" s="106"/>
    </row>
    <row r="44" spans="1:11" ht="15.8" customHeight="1" x14ac:dyDescent="0.2">
      <c r="A44" s="98"/>
      <c r="B44" s="108"/>
      <c r="C44" s="108"/>
      <c r="D44" s="108"/>
      <c r="E44" s="108"/>
      <c r="F44" s="108"/>
      <c r="G44" s="108"/>
    </row>
    <row r="45" spans="1:11" x14ac:dyDescent="0.2">
      <c r="A45" s="98"/>
      <c r="B45" s="108"/>
      <c r="C45" s="108"/>
      <c r="D45" s="108"/>
      <c r="E45" s="108"/>
      <c r="F45" s="108"/>
      <c r="G45" s="108"/>
    </row>
  </sheetData>
  <sheetProtection sheet="1" objects="1" scenarios="1"/>
  <mergeCells count="3">
    <mergeCell ref="A1:G1"/>
    <mergeCell ref="A42:B42"/>
    <mergeCell ref="A40:K40"/>
  </mergeCells>
  <conditionalFormatting sqref="C35:G39">
    <cfRule type="containsErrors" dxfId="11" priority="3">
      <formula>ISERROR(C35)</formula>
    </cfRule>
  </conditionalFormatting>
  <conditionalFormatting sqref="C42:C43 D41:G43">
    <cfRule type="containsErrors" dxfId="10" priority="2">
      <formula>ISERROR(#REF!)</formula>
    </cfRule>
  </conditionalFormatting>
  <conditionalFormatting sqref="B42">
    <cfRule type="containsErrors" dxfId="9" priority="1">
      <formula>ISERROR(#REF!)</formula>
    </cfRule>
  </conditionalFormatting>
  <hyperlinks>
    <hyperlink ref="A40:K40" r:id="rId1" display="* Default values derived from ISU's Ag Decision Maker file AgDM A1-29, &quot;Estimated Cost of Establishment and Production of Switchgrass in Iowa&quot; and based on conversion from pasture/CRP"/>
  </hyperlinks>
  <pageMargins left="0.7" right="0.7" top="0.75" bottom="0.75" header="0.3" footer="0.3"/>
  <pageSetup scale="76" orientation="landscape" r:id="rId2"/>
  <colBreaks count="1" manualBreakCount="1">
    <brk id="10" max="41"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Z66"/>
  <sheetViews>
    <sheetView showGridLines="0" zoomScale="90" zoomScaleNormal="90" zoomScalePageLayoutView="90" workbookViewId="0"/>
  </sheetViews>
  <sheetFormatPr defaultColWidth="8.875" defaultRowHeight="15.65" x14ac:dyDescent="0.25"/>
  <cols>
    <col min="1" max="1" width="1.875" style="62" customWidth="1"/>
    <col min="2" max="2" width="46.875" style="62" customWidth="1"/>
    <col min="3" max="3" width="12.875" style="62" bestFit="1" customWidth="1"/>
    <col min="4" max="4" width="14.625" style="62" bestFit="1" customWidth="1"/>
    <col min="5" max="5" width="1.875" style="112" customWidth="1"/>
    <col min="6" max="6" width="6" style="112" customWidth="1"/>
    <col min="7" max="7" width="18.625" style="112" customWidth="1"/>
    <col min="8" max="8" width="15.875" style="112" customWidth="1"/>
    <col min="9" max="9" width="1.875" style="112" customWidth="1"/>
    <col min="10" max="10" width="6.125" style="112" customWidth="1"/>
    <col min="11" max="11" width="15.375" style="62" customWidth="1"/>
    <col min="12" max="12" width="15.125" style="62" customWidth="1"/>
    <col min="13" max="13" width="1.875" style="112" customWidth="1"/>
    <col min="14" max="14" width="10" style="62" customWidth="1"/>
    <col min="15" max="18" width="11.875" style="62" customWidth="1"/>
    <col min="19" max="16384" width="8.875" style="62"/>
  </cols>
  <sheetData>
    <row r="1" spans="2:18" s="109" customFormat="1" ht="23.8" x14ac:dyDescent="0.4">
      <c r="B1" s="232" t="s">
        <v>117</v>
      </c>
      <c r="C1" s="232"/>
      <c r="D1" s="232"/>
      <c r="E1" s="232"/>
      <c r="F1" s="232"/>
      <c r="G1" s="232"/>
      <c r="H1" s="232"/>
      <c r="I1" s="232"/>
      <c r="J1" s="232"/>
      <c r="K1" s="232"/>
      <c r="L1" s="232"/>
      <c r="M1" s="232"/>
      <c r="N1" s="232"/>
      <c r="O1" s="232"/>
      <c r="P1" s="232"/>
      <c r="Q1" s="232"/>
      <c r="R1" s="232"/>
    </row>
    <row r="2" spans="2:18" s="127" customFormat="1" ht="12.25" customHeight="1" x14ac:dyDescent="0.25">
      <c r="B2" s="125"/>
      <c r="C2" s="126"/>
      <c r="L2" s="126"/>
      <c r="M2" s="126"/>
      <c r="N2" s="126"/>
      <c r="O2" s="126"/>
      <c r="P2" s="126"/>
      <c r="Q2" s="126"/>
      <c r="R2" s="126"/>
    </row>
    <row r="3" spans="2:18" s="98" customFormat="1" ht="13.6" x14ac:dyDescent="0.25">
      <c r="B3" s="128" t="s">
        <v>146</v>
      </c>
      <c r="C3" s="129"/>
      <c r="D3" s="130"/>
      <c r="E3" s="130"/>
      <c r="F3" s="130"/>
      <c r="G3" s="129"/>
      <c r="H3" s="126"/>
      <c r="I3" s="126"/>
      <c r="J3" s="126"/>
      <c r="K3" s="126"/>
      <c r="L3" s="126"/>
      <c r="M3" s="126"/>
      <c r="N3" s="126"/>
      <c r="O3" s="126"/>
      <c r="P3" s="126"/>
      <c r="Q3" s="126"/>
      <c r="R3" s="126"/>
    </row>
    <row r="4" spans="2:18" s="98" customFormat="1" ht="12.9" x14ac:dyDescent="0.2">
      <c r="B4" s="131" t="s">
        <v>78</v>
      </c>
      <c r="C4" s="132">
        <f>'Your Production Estimates'!D29</f>
        <v>6</v>
      </c>
      <c r="D4" s="77"/>
      <c r="E4" s="133"/>
      <c r="F4" s="133"/>
      <c r="G4" s="134"/>
      <c r="H4" s="133"/>
      <c r="I4" s="133"/>
      <c r="J4" s="133"/>
      <c r="K4" s="77"/>
      <c r="L4" s="135"/>
      <c r="M4" s="136"/>
      <c r="N4" s="135"/>
      <c r="O4" s="137"/>
      <c r="P4" s="137"/>
      <c r="Q4" s="77"/>
      <c r="R4" s="94"/>
    </row>
    <row r="5" spans="2:18" s="98" customFormat="1" ht="12.9" x14ac:dyDescent="0.2">
      <c r="B5" s="131" t="s">
        <v>106</v>
      </c>
      <c r="C5" s="132">
        <f>IF('Your Production Estimates'!D31="",1500,'Your Production Estimates'!D31)</f>
        <v>1250</v>
      </c>
      <c r="D5" s="77"/>
      <c r="E5" s="133"/>
      <c r="F5" s="133"/>
      <c r="G5" s="134"/>
      <c r="H5" s="133"/>
      <c r="I5" s="133"/>
      <c r="J5" s="133"/>
      <c r="K5" s="77"/>
      <c r="L5" s="137"/>
      <c r="M5" s="127"/>
      <c r="N5" s="137"/>
      <c r="O5" s="137"/>
      <c r="P5" s="137"/>
      <c r="Q5" s="77"/>
      <c r="R5" s="94"/>
    </row>
    <row r="6" spans="2:18" s="98" customFormat="1" ht="12.9" x14ac:dyDescent="0.2">
      <c r="B6" s="131" t="s">
        <v>79</v>
      </c>
      <c r="C6" s="132">
        <f>MIN('Your Production Estimates'!D25,'Your Production Estimates'!D26)</f>
        <v>10</v>
      </c>
      <c r="D6" s="77"/>
      <c r="E6" s="133"/>
      <c r="F6" s="133"/>
      <c r="G6" s="134"/>
      <c r="H6" s="133"/>
      <c r="I6" s="133"/>
      <c r="J6" s="133"/>
      <c r="K6" s="77"/>
      <c r="L6" s="137"/>
      <c r="M6" s="127"/>
      <c r="N6" s="137"/>
      <c r="O6" s="137"/>
      <c r="P6" s="137"/>
      <c r="Q6" s="77"/>
      <c r="R6" s="94"/>
    </row>
    <row r="7" spans="2:18" s="98" customFormat="1" ht="12.9" x14ac:dyDescent="0.2">
      <c r="B7" s="138" t="s">
        <v>77</v>
      </c>
      <c r="C7" s="139">
        <f>ROUND(2000*C4/C5,1)</f>
        <v>9.6</v>
      </c>
      <c r="D7" s="140"/>
      <c r="E7" s="141"/>
      <c r="F7" s="141"/>
      <c r="G7" s="142"/>
      <c r="H7" s="133"/>
      <c r="I7" s="133"/>
      <c r="J7" s="133"/>
      <c r="K7" s="77"/>
      <c r="L7" s="137"/>
      <c r="M7" s="127"/>
      <c r="N7" s="137"/>
      <c r="O7" s="137"/>
      <c r="P7" s="137"/>
      <c r="Q7" s="77"/>
      <c r="R7" s="94"/>
    </row>
    <row r="8" spans="2:18" s="98" customFormat="1" ht="11.25" customHeight="1" x14ac:dyDescent="0.2">
      <c r="B8" s="143"/>
      <c r="C8" s="144"/>
      <c r="D8" s="94"/>
      <c r="E8" s="133"/>
      <c r="F8" s="133"/>
      <c r="G8" s="133"/>
      <c r="H8" s="133"/>
      <c r="I8" s="133"/>
      <c r="J8" s="133"/>
      <c r="K8" s="77"/>
      <c r="L8" s="137"/>
      <c r="M8" s="127"/>
      <c r="N8" s="137"/>
      <c r="O8" s="137"/>
      <c r="P8" s="137"/>
      <c r="Q8" s="77"/>
      <c r="R8" s="94"/>
    </row>
    <row r="9" spans="2:18" s="98" customFormat="1" ht="13.6" x14ac:dyDescent="0.25">
      <c r="B9" s="208" t="s">
        <v>163</v>
      </c>
      <c r="C9" s="209"/>
      <c r="D9" s="209"/>
      <c r="E9" s="209"/>
      <c r="F9" s="209"/>
      <c r="G9" s="209"/>
      <c r="H9" s="209"/>
      <c r="I9" s="209"/>
      <c r="J9" s="209"/>
      <c r="K9" s="209"/>
      <c r="L9" s="209"/>
      <c r="M9" s="209"/>
      <c r="N9" s="209"/>
      <c r="O9" s="210"/>
      <c r="P9" s="126"/>
      <c r="Q9" s="126"/>
      <c r="R9" s="126"/>
    </row>
    <row r="10" spans="2:18" s="98" customFormat="1" ht="54.55" customHeight="1" x14ac:dyDescent="0.25">
      <c r="B10" s="65"/>
      <c r="C10" s="65"/>
      <c r="D10" s="67" t="s">
        <v>107</v>
      </c>
      <c r="E10" s="145"/>
      <c r="F10" s="145"/>
      <c r="G10" s="67" t="s">
        <v>131</v>
      </c>
      <c r="H10" s="67" t="s">
        <v>132</v>
      </c>
      <c r="I10" s="145"/>
      <c r="J10" s="145"/>
      <c r="K10" s="67" t="s">
        <v>133</v>
      </c>
      <c r="L10" s="67" t="s">
        <v>134</v>
      </c>
      <c r="M10" s="146"/>
      <c r="N10" s="67"/>
      <c r="O10" s="67" t="s">
        <v>135</v>
      </c>
      <c r="P10" s="67" t="s">
        <v>136</v>
      </c>
      <c r="Q10" s="67" t="str">
        <f>"Units in Full Production Years 3 - "&amp;C6</f>
        <v>Units in Full Production Years 3 - 10</v>
      </c>
      <c r="R10" s="67" t="str">
        <f>"Costs in Full Production Years 3 - "&amp;C6</f>
        <v>Costs in Full Production Years 3 - 10</v>
      </c>
    </row>
    <row r="11" spans="2:18" s="98" customFormat="1" ht="13.6" x14ac:dyDescent="0.25">
      <c r="B11" s="65" t="s">
        <v>24</v>
      </c>
      <c r="C11" s="68" t="s">
        <v>6</v>
      </c>
      <c r="D11" s="69">
        <f>'Your Production Estimates'!D11</f>
        <v>0</v>
      </c>
      <c r="E11" s="147"/>
      <c r="F11" s="234" t="s">
        <v>137</v>
      </c>
      <c r="G11" s="70">
        <f>IF(OR('Your Production Estimates'!$D$10="CRP",'Your Production Estimates'!$D$10="Pasture for Grazing/Haying"),1,0)</f>
        <v>1</v>
      </c>
      <c r="H11" s="148">
        <f>G11*$D11</f>
        <v>0</v>
      </c>
      <c r="I11" s="147"/>
      <c r="J11" s="234" t="s">
        <v>138</v>
      </c>
      <c r="K11" s="150">
        <v>1</v>
      </c>
      <c r="L11" s="148">
        <f>K11*$D11</f>
        <v>0</v>
      </c>
      <c r="M11" s="148"/>
      <c r="N11" s="234" t="s">
        <v>139</v>
      </c>
      <c r="O11" s="150">
        <v>1</v>
      </c>
      <c r="P11" s="148">
        <f>O11*$D11</f>
        <v>0</v>
      </c>
      <c r="Q11" s="150">
        <v>1</v>
      </c>
      <c r="R11" s="148">
        <f>Q11*$D11</f>
        <v>0</v>
      </c>
    </row>
    <row r="12" spans="2:18" s="98" customFormat="1" ht="12.9" x14ac:dyDescent="0.2">
      <c r="B12" s="71"/>
      <c r="C12" s="68"/>
      <c r="D12" s="72"/>
      <c r="E12" s="127"/>
      <c r="F12" s="234"/>
      <c r="G12" s="73"/>
      <c r="H12" s="133"/>
      <c r="I12" s="127"/>
      <c r="J12" s="234"/>
      <c r="K12" s="73"/>
      <c r="L12" s="133"/>
      <c r="M12" s="133"/>
      <c r="N12" s="234"/>
      <c r="O12" s="73"/>
      <c r="P12" s="133"/>
      <c r="Q12" s="73"/>
      <c r="R12" s="133"/>
    </row>
    <row r="13" spans="2:18" s="98" customFormat="1" ht="12.9" x14ac:dyDescent="0.2">
      <c r="B13" s="65" t="s">
        <v>25</v>
      </c>
      <c r="C13" s="68"/>
      <c r="D13" s="74"/>
      <c r="E13" s="147"/>
      <c r="F13" s="234"/>
      <c r="G13" s="73"/>
      <c r="H13" s="133"/>
      <c r="I13" s="147"/>
      <c r="J13" s="234"/>
      <c r="K13" s="73"/>
      <c r="L13" s="133"/>
      <c r="M13" s="133"/>
      <c r="N13" s="234"/>
      <c r="O13" s="73"/>
      <c r="P13" s="133"/>
      <c r="Q13" s="73"/>
      <c r="R13" s="133"/>
    </row>
    <row r="14" spans="2:18" s="98" customFormat="1" ht="12.9" x14ac:dyDescent="0.2">
      <c r="B14" s="75" t="s">
        <v>0</v>
      </c>
      <c r="C14" s="68" t="s">
        <v>12</v>
      </c>
      <c r="D14" s="149">
        <v>10</v>
      </c>
      <c r="E14" s="147"/>
      <c r="F14" s="234"/>
      <c r="G14" s="70">
        <f>IF(OR('Your Production Estimates'!$D$10="CRP",'Your Production Estimates'!$D$10="Pasture for Grazing/Haying"),1,0)</f>
        <v>1</v>
      </c>
      <c r="H14" s="147">
        <f t="shared" ref="H14:H18" si="0">G14*$D14</f>
        <v>10</v>
      </c>
      <c r="I14" s="147"/>
      <c r="J14" s="234"/>
      <c r="K14" s="150">
        <v>0</v>
      </c>
      <c r="L14" s="147">
        <f t="shared" ref="L14:P18" si="1">K14*$D14</f>
        <v>0</v>
      </c>
      <c r="M14" s="147"/>
      <c r="N14" s="234"/>
      <c r="O14" s="150">
        <v>0</v>
      </c>
      <c r="P14" s="147">
        <f t="shared" si="1"/>
        <v>0</v>
      </c>
      <c r="Q14" s="150">
        <v>0</v>
      </c>
      <c r="R14" s="147">
        <f t="shared" ref="R14" si="2">Q14*$D14</f>
        <v>0</v>
      </c>
    </row>
    <row r="15" spans="2:18" s="98" customFormat="1" ht="12.9" x14ac:dyDescent="0.2">
      <c r="B15" s="76" t="s">
        <v>10</v>
      </c>
      <c r="C15" s="68" t="s">
        <v>12</v>
      </c>
      <c r="D15" s="149">
        <v>14.2</v>
      </c>
      <c r="E15" s="147"/>
      <c r="F15" s="234"/>
      <c r="G15" s="70">
        <f>IF(OR('Your Production Estimates'!$D$10="CRP",'Your Production Estimates'!$D$10="Pasture for Grazing/Haying"),2,0)</f>
        <v>2</v>
      </c>
      <c r="H15" s="147">
        <f t="shared" si="0"/>
        <v>28.4</v>
      </c>
      <c r="I15" s="147"/>
      <c r="J15" s="234"/>
      <c r="K15" s="150">
        <v>0</v>
      </c>
      <c r="L15" s="147">
        <f t="shared" si="1"/>
        <v>0</v>
      </c>
      <c r="M15" s="147"/>
      <c r="N15" s="234"/>
      <c r="O15" s="150">
        <v>0</v>
      </c>
      <c r="P15" s="147">
        <f t="shared" si="1"/>
        <v>0</v>
      </c>
      <c r="Q15" s="150">
        <v>0</v>
      </c>
      <c r="R15" s="147">
        <f t="shared" ref="R15" si="3">Q15*$D15</f>
        <v>0</v>
      </c>
    </row>
    <row r="16" spans="2:18" s="98" customFormat="1" ht="12.9" x14ac:dyDescent="0.2">
      <c r="B16" s="76" t="s">
        <v>1</v>
      </c>
      <c r="C16" s="68" t="s">
        <v>12</v>
      </c>
      <c r="D16" s="149">
        <v>14.6</v>
      </c>
      <c r="E16" s="147"/>
      <c r="F16" s="234"/>
      <c r="G16" s="70">
        <f>IF(OR('Your Production Estimates'!$D$10="CRP",'Your Production Estimates'!$D$10="Pasture for Grazing/Haying"),2,0)</f>
        <v>2</v>
      </c>
      <c r="H16" s="147">
        <f t="shared" si="0"/>
        <v>29.2</v>
      </c>
      <c r="I16" s="147"/>
      <c r="J16" s="234"/>
      <c r="K16" s="150">
        <v>0</v>
      </c>
      <c r="L16" s="147">
        <f t="shared" si="1"/>
        <v>0</v>
      </c>
      <c r="M16" s="147"/>
      <c r="N16" s="234"/>
      <c r="O16" s="150">
        <v>0</v>
      </c>
      <c r="P16" s="147">
        <f t="shared" si="1"/>
        <v>0</v>
      </c>
      <c r="Q16" s="150">
        <v>0</v>
      </c>
      <c r="R16" s="147">
        <f t="shared" ref="R16" si="4">Q16*$D16</f>
        <v>0</v>
      </c>
    </row>
    <row r="17" spans="2:18" s="98" customFormat="1" ht="12.9" x14ac:dyDescent="0.2">
      <c r="B17" s="76" t="s">
        <v>142</v>
      </c>
      <c r="C17" s="68" t="s">
        <v>6</v>
      </c>
      <c r="D17" s="151">
        <v>268.85000000000002</v>
      </c>
      <c r="E17" s="152"/>
      <c r="F17" s="234"/>
      <c r="G17" s="70">
        <f>IF(OR('Your Production Estimates'!$D$10="CRP",'Your Production Estimates'!$D$10="Pasture for Grazing/Haying"),1,0)</f>
        <v>1</v>
      </c>
      <c r="H17" s="147">
        <f t="shared" si="0"/>
        <v>268.85000000000002</v>
      </c>
      <c r="I17" s="152"/>
      <c r="J17" s="234"/>
      <c r="K17" s="150">
        <v>0</v>
      </c>
      <c r="L17" s="147">
        <f t="shared" si="1"/>
        <v>0</v>
      </c>
      <c r="M17" s="147"/>
      <c r="N17" s="234"/>
      <c r="O17" s="150">
        <v>0</v>
      </c>
      <c r="P17" s="147">
        <f t="shared" si="1"/>
        <v>0</v>
      </c>
      <c r="Q17" s="150">
        <v>0</v>
      </c>
      <c r="R17" s="147">
        <f t="shared" ref="R17" si="5">Q17*$D17</f>
        <v>0</v>
      </c>
    </row>
    <row r="18" spans="2:18" s="98" customFormat="1" ht="12.9" x14ac:dyDescent="0.2">
      <c r="B18" s="76" t="s">
        <v>130</v>
      </c>
      <c r="C18" s="68" t="s">
        <v>6</v>
      </c>
      <c r="D18" s="151">
        <v>31.39</v>
      </c>
      <c r="E18" s="152"/>
      <c r="F18" s="234"/>
      <c r="G18" s="70">
        <f>IF(OR('Your Production Estimates'!$D$10="CRP",'Your Production Estimates'!$D$10="Pasture for Grazing/Haying"),1,0)</f>
        <v>1</v>
      </c>
      <c r="H18" s="212">
        <f t="shared" si="0"/>
        <v>31.39</v>
      </c>
      <c r="I18" s="152"/>
      <c r="J18" s="234"/>
      <c r="K18" s="150">
        <v>0</v>
      </c>
      <c r="L18" s="212">
        <f t="shared" si="1"/>
        <v>0</v>
      </c>
      <c r="M18" s="147"/>
      <c r="N18" s="234"/>
      <c r="O18" s="150">
        <v>0</v>
      </c>
      <c r="P18" s="153">
        <f t="shared" si="1"/>
        <v>0</v>
      </c>
      <c r="Q18" s="150">
        <v>0</v>
      </c>
      <c r="R18" s="212">
        <f t="shared" ref="R18" si="6">Q18*$D18</f>
        <v>0</v>
      </c>
    </row>
    <row r="19" spans="2:18" s="98" customFormat="1" ht="13.6" x14ac:dyDescent="0.25">
      <c r="B19" s="77" t="s">
        <v>11</v>
      </c>
      <c r="C19" s="68"/>
      <c r="D19" s="78"/>
      <c r="E19" s="152"/>
      <c r="F19" s="234"/>
      <c r="G19" s="73"/>
      <c r="H19" s="148">
        <f>H14+H15+H16+H17+H18</f>
        <v>367.84000000000003</v>
      </c>
      <c r="I19" s="152"/>
      <c r="J19" s="234"/>
      <c r="K19" s="73"/>
      <c r="L19" s="148">
        <f>L14+L15+L16+L17+L18</f>
        <v>0</v>
      </c>
      <c r="M19" s="148"/>
      <c r="N19" s="234"/>
      <c r="O19" s="73"/>
      <c r="P19" s="148">
        <f>P14+P15+P16+P17+P18</f>
        <v>0</v>
      </c>
      <c r="Q19" s="79"/>
      <c r="R19" s="148">
        <f>R14+R15+R16+R17+R18</f>
        <v>0</v>
      </c>
    </row>
    <row r="20" spans="2:18" s="98" customFormat="1" ht="13.6" x14ac:dyDescent="0.25">
      <c r="B20" s="77"/>
      <c r="C20" s="68"/>
      <c r="D20" s="78"/>
      <c r="E20" s="152"/>
      <c r="F20" s="234"/>
      <c r="G20" s="73"/>
      <c r="H20" s="148"/>
      <c r="I20" s="152"/>
      <c r="J20" s="234"/>
      <c r="K20" s="73"/>
      <c r="L20" s="148"/>
      <c r="M20" s="148"/>
      <c r="N20" s="234"/>
      <c r="O20" s="73"/>
      <c r="P20" s="148"/>
      <c r="Q20" s="79"/>
      <c r="R20" s="148"/>
    </row>
    <row r="21" spans="2:18" s="98" customFormat="1" ht="13.6" x14ac:dyDescent="0.25">
      <c r="B21" s="68" t="s">
        <v>19</v>
      </c>
      <c r="C21" s="68"/>
      <c r="D21" s="80"/>
      <c r="E21" s="148"/>
      <c r="F21" s="234"/>
      <c r="G21" s="81"/>
      <c r="H21" s="148"/>
      <c r="I21" s="148"/>
      <c r="J21" s="234"/>
      <c r="K21" s="81"/>
      <c r="L21" s="148"/>
      <c r="M21" s="148"/>
      <c r="N21" s="234"/>
      <c r="O21" s="81"/>
      <c r="P21" s="148"/>
      <c r="Q21" s="73"/>
      <c r="R21" s="148"/>
    </row>
    <row r="22" spans="2:18" s="98" customFormat="1" ht="12.9" x14ac:dyDescent="0.2">
      <c r="B22" s="76" t="s">
        <v>10</v>
      </c>
      <c r="C22" s="68" t="s">
        <v>12</v>
      </c>
      <c r="D22" s="149">
        <v>14.2</v>
      </c>
      <c r="E22" s="147"/>
      <c r="F22" s="234"/>
      <c r="G22" s="150">
        <v>0</v>
      </c>
      <c r="H22" s="147">
        <f t="shared" ref="H22:H26" si="7">G22*$D22</f>
        <v>0</v>
      </c>
      <c r="I22" s="147"/>
      <c r="J22" s="234"/>
      <c r="K22" s="150">
        <v>0</v>
      </c>
      <c r="L22" s="147">
        <f t="shared" ref="L22:P26" si="8">K22*$D22</f>
        <v>0</v>
      </c>
      <c r="M22" s="147"/>
      <c r="N22" s="234"/>
      <c r="O22" s="150">
        <v>0</v>
      </c>
      <c r="P22" s="147">
        <f t="shared" si="8"/>
        <v>0</v>
      </c>
      <c r="Q22" s="150">
        <v>0</v>
      </c>
      <c r="R22" s="147">
        <f t="shared" ref="R22" si="9">Q22*$D22</f>
        <v>0</v>
      </c>
    </row>
    <row r="23" spans="2:18" s="98" customFormat="1" ht="12.9" x14ac:dyDescent="0.2">
      <c r="B23" s="76" t="s">
        <v>1</v>
      </c>
      <c r="C23" s="68" t="s">
        <v>12</v>
      </c>
      <c r="D23" s="149">
        <v>14.6</v>
      </c>
      <c r="E23" s="147"/>
      <c r="F23" s="234"/>
      <c r="G23" s="150">
        <v>0</v>
      </c>
      <c r="H23" s="147">
        <f t="shared" si="7"/>
        <v>0</v>
      </c>
      <c r="I23" s="147"/>
      <c r="J23" s="234"/>
      <c r="K23" s="150">
        <v>0</v>
      </c>
      <c r="L23" s="147">
        <f t="shared" si="8"/>
        <v>0</v>
      </c>
      <c r="M23" s="147"/>
      <c r="N23" s="234"/>
      <c r="O23" s="150">
        <v>0</v>
      </c>
      <c r="P23" s="147">
        <f t="shared" si="8"/>
        <v>0</v>
      </c>
      <c r="Q23" s="150">
        <v>0</v>
      </c>
      <c r="R23" s="147">
        <f t="shared" ref="R23" si="10">Q23*$D23</f>
        <v>0</v>
      </c>
    </row>
    <row r="24" spans="2:18" s="98" customFormat="1" ht="12.9" x14ac:dyDescent="0.2">
      <c r="B24" s="76" t="s">
        <v>18</v>
      </c>
      <c r="C24" s="68" t="s">
        <v>12</v>
      </c>
      <c r="D24" s="149">
        <v>5</v>
      </c>
      <c r="E24" s="147"/>
      <c r="F24" s="234"/>
      <c r="G24" s="150">
        <v>0</v>
      </c>
      <c r="H24" s="147">
        <f t="shared" si="7"/>
        <v>0</v>
      </c>
      <c r="I24" s="147"/>
      <c r="J24" s="234"/>
      <c r="K24" s="150">
        <v>0</v>
      </c>
      <c r="L24" s="147">
        <f t="shared" si="8"/>
        <v>0</v>
      </c>
      <c r="M24" s="147"/>
      <c r="N24" s="234"/>
      <c r="O24" s="150">
        <v>1</v>
      </c>
      <c r="P24" s="147">
        <f t="shared" si="8"/>
        <v>5</v>
      </c>
      <c r="Q24" s="150">
        <v>1</v>
      </c>
      <c r="R24" s="147">
        <f t="shared" ref="R24" si="11">Q24*$D24</f>
        <v>5</v>
      </c>
    </row>
    <row r="25" spans="2:18" s="98" customFormat="1" ht="12.9" x14ac:dyDescent="0.2">
      <c r="B25" s="76" t="s">
        <v>17</v>
      </c>
      <c r="C25" s="68" t="s">
        <v>12</v>
      </c>
      <c r="D25" s="149">
        <v>7.55</v>
      </c>
      <c r="E25" s="147"/>
      <c r="F25" s="234"/>
      <c r="G25" s="154">
        <v>0</v>
      </c>
      <c r="H25" s="147">
        <f t="shared" si="7"/>
        <v>0</v>
      </c>
      <c r="I25" s="147"/>
      <c r="J25" s="234"/>
      <c r="K25" s="154">
        <v>2</v>
      </c>
      <c r="L25" s="147">
        <f t="shared" si="8"/>
        <v>15.1</v>
      </c>
      <c r="M25" s="147"/>
      <c r="N25" s="234"/>
      <c r="O25" s="154">
        <v>1</v>
      </c>
      <c r="P25" s="147">
        <f t="shared" si="8"/>
        <v>7.55</v>
      </c>
      <c r="Q25" s="154">
        <v>1</v>
      </c>
      <c r="R25" s="147">
        <f t="shared" ref="R25" si="12">Q25*$D25</f>
        <v>7.55</v>
      </c>
    </row>
    <row r="26" spans="2:18" s="98" customFormat="1" ht="12.9" x14ac:dyDescent="0.2">
      <c r="B26" s="76" t="s">
        <v>36</v>
      </c>
      <c r="C26" s="83" t="s">
        <v>12</v>
      </c>
      <c r="D26" s="149">
        <v>16.05</v>
      </c>
      <c r="E26" s="147"/>
      <c r="F26" s="234"/>
      <c r="G26" s="150">
        <v>0</v>
      </c>
      <c r="H26" s="147">
        <f t="shared" si="7"/>
        <v>0</v>
      </c>
      <c r="I26" s="147"/>
      <c r="J26" s="234"/>
      <c r="K26" s="150">
        <v>1</v>
      </c>
      <c r="L26" s="147">
        <f t="shared" si="8"/>
        <v>16.05</v>
      </c>
      <c r="M26" s="147"/>
      <c r="N26" s="234"/>
      <c r="O26" s="150">
        <v>1</v>
      </c>
      <c r="P26" s="147">
        <f t="shared" si="8"/>
        <v>16.05</v>
      </c>
      <c r="Q26" s="150">
        <v>0</v>
      </c>
      <c r="R26" s="147">
        <f t="shared" ref="R26" si="13">Q26*$D26</f>
        <v>0</v>
      </c>
    </row>
    <row r="27" spans="2:18" s="98" customFormat="1" ht="13.6" x14ac:dyDescent="0.25">
      <c r="B27" s="84" t="s">
        <v>20</v>
      </c>
      <c r="C27" s="83"/>
      <c r="D27" s="85"/>
      <c r="E27" s="133"/>
      <c r="F27" s="234"/>
      <c r="G27" s="73"/>
      <c r="H27" s="148">
        <f>SUM(H22:H26)</f>
        <v>0</v>
      </c>
      <c r="I27" s="133"/>
      <c r="J27" s="234"/>
      <c r="K27" s="73"/>
      <c r="L27" s="148">
        <f>SUM(L22:L26)</f>
        <v>31.15</v>
      </c>
      <c r="M27" s="148"/>
      <c r="N27" s="234"/>
      <c r="O27" s="80"/>
      <c r="P27" s="148">
        <f>SUM(P22:P26)</f>
        <v>28.6</v>
      </c>
      <c r="Q27" s="80"/>
      <c r="R27" s="148">
        <f>SUM(R22:R26)</f>
        <v>12.55</v>
      </c>
    </row>
    <row r="28" spans="2:18" s="98" customFormat="1" ht="13.6" x14ac:dyDescent="0.25">
      <c r="B28" s="84"/>
      <c r="C28" s="83"/>
      <c r="D28" s="85"/>
      <c r="E28" s="133"/>
      <c r="F28" s="234"/>
      <c r="G28" s="73"/>
      <c r="H28" s="148"/>
      <c r="I28" s="133"/>
      <c r="J28" s="234"/>
      <c r="K28" s="73"/>
      <c r="L28" s="148"/>
      <c r="M28" s="148"/>
      <c r="N28" s="234"/>
      <c r="O28" s="80"/>
      <c r="P28" s="148"/>
      <c r="Q28" s="80"/>
      <c r="R28" s="148"/>
    </row>
    <row r="29" spans="2:18" s="98" customFormat="1" ht="13.6" x14ac:dyDescent="0.25">
      <c r="B29" s="84" t="s">
        <v>2</v>
      </c>
      <c r="C29" s="83"/>
      <c r="D29" s="86"/>
      <c r="E29" s="145"/>
      <c r="F29" s="234"/>
      <c r="G29" s="81"/>
      <c r="H29" s="148"/>
      <c r="I29" s="145"/>
      <c r="J29" s="234"/>
      <c r="K29" s="81"/>
      <c r="L29" s="148"/>
      <c r="M29" s="148"/>
      <c r="N29" s="234"/>
      <c r="O29" s="81"/>
      <c r="P29" s="148"/>
      <c r="Q29" s="81"/>
      <c r="R29" s="148"/>
    </row>
    <row r="30" spans="2:18" s="98" customFormat="1" ht="12.9" x14ac:dyDescent="0.2">
      <c r="B30" s="76" t="s">
        <v>3</v>
      </c>
      <c r="C30" s="83" t="s">
        <v>13</v>
      </c>
      <c r="D30" s="149">
        <v>8</v>
      </c>
      <c r="E30" s="147"/>
      <c r="F30" s="234"/>
      <c r="G30" s="150">
        <v>0</v>
      </c>
      <c r="H30" s="147">
        <f t="shared" ref="H30:H31" si="14">G30*$D30</f>
        <v>0</v>
      </c>
      <c r="I30" s="147"/>
      <c r="J30" s="234"/>
      <c r="K30" s="150">
        <v>0.2</v>
      </c>
      <c r="L30" s="147">
        <f t="shared" ref="L30:P31" si="15">K30*$D30</f>
        <v>1.6</v>
      </c>
      <c r="M30" s="147"/>
      <c r="N30" s="234"/>
      <c r="O30" s="150">
        <v>0</v>
      </c>
      <c r="P30" s="147">
        <f t="shared" si="15"/>
        <v>0</v>
      </c>
      <c r="Q30" s="150">
        <v>0</v>
      </c>
      <c r="R30" s="147">
        <f t="shared" ref="R30" si="16">Q30*$D30</f>
        <v>0</v>
      </c>
    </row>
    <row r="31" spans="2:18" s="98" customFormat="1" ht="12.9" x14ac:dyDescent="0.2">
      <c r="B31" s="76" t="s">
        <v>40</v>
      </c>
      <c r="C31" s="83" t="s">
        <v>37</v>
      </c>
      <c r="D31" s="149">
        <v>15</v>
      </c>
      <c r="E31" s="147"/>
      <c r="F31" s="234"/>
      <c r="G31" s="154">
        <v>0</v>
      </c>
      <c r="H31" s="147">
        <f t="shared" si="14"/>
        <v>0</v>
      </c>
      <c r="I31" s="147"/>
      <c r="J31" s="234"/>
      <c r="K31" s="154">
        <v>5</v>
      </c>
      <c r="L31" s="147">
        <f t="shared" si="15"/>
        <v>75</v>
      </c>
      <c r="M31" s="147"/>
      <c r="N31" s="234"/>
      <c r="O31" s="150">
        <v>0.5</v>
      </c>
      <c r="P31" s="147">
        <f t="shared" si="15"/>
        <v>7.5</v>
      </c>
      <c r="Q31" s="150">
        <v>0</v>
      </c>
      <c r="R31" s="147">
        <f t="shared" ref="R31" si="17">Q31*$D31</f>
        <v>0</v>
      </c>
    </row>
    <row r="32" spans="2:18" s="98" customFormat="1" ht="12.9" x14ac:dyDescent="0.2">
      <c r="B32" s="76" t="s">
        <v>21</v>
      </c>
      <c r="C32" s="83"/>
      <c r="D32" s="87"/>
      <c r="E32" s="152"/>
      <c r="F32" s="234"/>
      <c r="G32" s="88"/>
      <c r="H32" s="147"/>
      <c r="I32" s="152"/>
      <c r="J32" s="234"/>
      <c r="K32" s="88"/>
      <c r="L32" s="147"/>
      <c r="M32" s="147"/>
      <c r="N32" s="234"/>
      <c r="O32" s="88"/>
      <c r="P32" s="147"/>
      <c r="Q32" s="88"/>
      <c r="R32" s="147"/>
    </row>
    <row r="33" spans="2:18" s="98" customFormat="1" ht="12.9" x14ac:dyDescent="0.2">
      <c r="B33" s="89" t="s">
        <v>22</v>
      </c>
      <c r="C33" s="83" t="s">
        <v>14</v>
      </c>
      <c r="D33" s="151">
        <v>0.44</v>
      </c>
      <c r="E33" s="152"/>
      <c r="F33" s="234"/>
      <c r="G33" s="150">
        <v>0</v>
      </c>
      <c r="H33" s="147">
        <f t="shared" ref="H33:H36" si="18">G33*$D33</f>
        <v>0</v>
      </c>
      <c r="I33" s="152"/>
      <c r="J33" s="234"/>
      <c r="K33" s="150">
        <v>0</v>
      </c>
      <c r="L33" s="147">
        <f t="shared" ref="L33:P36" si="19">K33*$D33</f>
        <v>0</v>
      </c>
      <c r="M33" s="147"/>
      <c r="N33" s="234"/>
      <c r="O33" s="154">
        <v>60</v>
      </c>
      <c r="P33" s="147">
        <f t="shared" si="19"/>
        <v>26.4</v>
      </c>
      <c r="Q33" s="150">
        <v>60</v>
      </c>
      <c r="R33" s="147">
        <f t="shared" ref="R33" si="20">Q33*$D33</f>
        <v>26.4</v>
      </c>
    </row>
    <row r="34" spans="2:18" s="98" customFormat="1" ht="17" x14ac:dyDescent="0.35">
      <c r="B34" s="89" t="s">
        <v>198</v>
      </c>
      <c r="C34" s="83" t="s">
        <v>14</v>
      </c>
      <c r="D34" s="151">
        <v>0.43</v>
      </c>
      <c r="E34" s="152"/>
      <c r="F34" s="234"/>
      <c r="G34" s="150">
        <v>0</v>
      </c>
      <c r="H34" s="147">
        <f t="shared" si="18"/>
        <v>0</v>
      </c>
      <c r="I34" s="152"/>
      <c r="J34" s="234"/>
      <c r="K34" s="150">
        <v>0</v>
      </c>
      <c r="L34" s="147">
        <f t="shared" si="19"/>
        <v>0</v>
      </c>
      <c r="M34" s="147"/>
      <c r="N34" s="234"/>
      <c r="O34" s="154">
        <v>0</v>
      </c>
      <c r="P34" s="147">
        <f t="shared" si="19"/>
        <v>0</v>
      </c>
      <c r="Q34" s="150">
        <v>0</v>
      </c>
      <c r="R34" s="147">
        <f t="shared" ref="R34" si="21">Q34*$D34</f>
        <v>0</v>
      </c>
    </row>
    <row r="35" spans="2:18" s="98" customFormat="1" ht="17" x14ac:dyDescent="0.35">
      <c r="B35" s="89" t="s">
        <v>199</v>
      </c>
      <c r="C35" s="83" t="s">
        <v>14</v>
      </c>
      <c r="D35" s="151">
        <v>0.41</v>
      </c>
      <c r="E35" s="152"/>
      <c r="F35" s="234"/>
      <c r="G35" s="150">
        <v>0</v>
      </c>
      <c r="H35" s="147">
        <f t="shared" si="18"/>
        <v>0</v>
      </c>
      <c r="I35" s="152"/>
      <c r="J35" s="234"/>
      <c r="K35" s="150">
        <v>0</v>
      </c>
      <c r="L35" s="147">
        <f t="shared" si="19"/>
        <v>0</v>
      </c>
      <c r="M35" s="147"/>
      <c r="N35" s="234"/>
      <c r="O35" s="154">
        <v>0</v>
      </c>
      <c r="P35" s="147">
        <f t="shared" si="19"/>
        <v>0</v>
      </c>
      <c r="Q35" s="150">
        <v>0</v>
      </c>
      <c r="R35" s="147">
        <f t="shared" ref="R35" si="22">Q35*$D35</f>
        <v>0</v>
      </c>
    </row>
    <row r="36" spans="2:18" s="98" customFormat="1" ht="12.9" x14ac:dyDescent="0.2">
      <c r="B36" s="76" t="s">
        <v>4</v>
      </c>
      <c r="C36" s="83" t="s">
        <v>15</v>
      </c>
      <c r="D36" s="151">
        <v>29</v>
      </c>
      <c r="E36" s="152"/>
      <c r="F36" s="234"/>
      <c r="G36" s="154">
        <v>0</v>
      </c>
      <c r="H36" s="147">
        <f t="shared" si="18"/>
        <v>0</v>
      </c>
      <c r="I36" s="152"/>
      <c r="J36" s="234"/>
      <c r="K36" s="154">
        <v>0</v>
      </c>
      <c r="L36" s="147">
        <f t="shared" si="19"/>
        <v>0</v>
      </c>
      <c r="M36" s="147"/>
      <c r="N36" s="234"/>
      <c r="O36" s="154">
        <v>0</v>
      </c>
      <c r="P36" s="147">
        <f t="shared" si="19"/>
        <v>0</v>
      </c>
      <c r="Q36" s="154">
        <v>0</v>
      </c>
      <c r="R36" s="147">
        <f t="shared" ref="R36" si="23">Q36*$D36</f>
        <v>0</v>
      </c>
    </row>
    <row r="37" spans="2:18" s="98" customFormat="1" ht="12.9" x14ac:dyDescent="0.2">
      <c r="B37" s="76" t="s">
        <v>5</v>
      </c>
      <c r="C37" s="83"/>
      <c r="D37" s="87"/>
      <c r="E37" s="152"/>
      <c r="F37" s="234"/>
      <c r="G37" s="90"/>
      <c r="H37" s="152"/>
      <c r="I37" s="152"/>
      <c r="J37" s="234"/>
      <c r="K37" s="90"/>
      <c r="L37" s="152"/>
      <c r="M37" s="152"/>
      <c r="N37" s="234"/>
      <c r="O37" s="91"/>
      <c r="P37" s="152"/>
      <c r="Q37" s="90"/>
      <c r="R37" s="152"/>
    </row>
    <row r="38" spans="2:18" s="98" customFormat="1" ht="12.9" x14ac:dyDescent="0.2">
      <c r="B38" s="89" t="s">
        <v>41</v>
      </c>
      <c r="C38" s="83" t="s">
        <v>16</v>
      </c>
      <c r="D38" s="149">
        <v>0.21</v>
      </c>
      <c r="E38" s="147"/>
      <c r="F38" s="234"/>
      <c r="G38" s="150">
        <v>0</v>
      </c>
      <c r="H38" s="147">
        <f t="shared" ref="H38:H39" si="24">G38*$D38</f>
        <v>0</v>
      </c>
      <c r="I38" s="147"/>
      <c r="J38" s="234"/>
      <c r="K38" s="150">
        <v>32</v>
      </c>
      <c r="L38" s="147">
        <f t="shared" ref="L38:P39" si="25">K38*$D38</f>
        <v>6.72</v>
      </c>
      <c r="M38" s="147"/>
      <c r="N38" s="234"/>
      <c r="O38" s="150">
        <v>0</v>
      </c>
      <c r="P38" s="147">
        <f t="shared" si="25"/>
        <v>0</v>
      </c>
      <c r="Q38" s="150">
        <v>0</v>
      </c>
      <c r="R38" s="147">
        <f t="shared" ref="R38" si="26">Q38*$D38</f>
        <v>0</v>
      </c>
    </row>
    <row r="39" spans="2:18" s="98" customFormat="1" ht="12.9" x14ac:dyDescent="0.2">
      <c r="B39" s="89" t="s">
        <v>38</v>
      </c>
      <c r="C39" s="83" t="s">
        <v>16</v>
      </c>
      <c r="D39" s="149">
        <v>0.2</v>
      </c>
      <c r="E39" s="147"/>
      <c r="F39" s="234"/>
      <c r="G39" s="150">
        <v>0</v>
      </c>
      <c r="H39" s="212">
        <f t="shared" si="24"/>
        <v>0</v>
      </c>
      <c r="I39" s="147"/>
      <c r="J39" s="234"/>
      <c r="K39" s="150">
        <v>32</v>
      </c>
      <c r="L39" s="212">
        <f t="shared" si="25"/>
        <v>6.4</v>
      </c>
      <c r="M39" s="147"/>
      <c r="N39" s="234"/>
      <c r="O39" s="150">
        <v>32</v>
      </c>
      <c r="P39" s="153">
        <f t="shared" si="25"/>
        <v>6.4</v>
      </c>
      <c r="Q39" s="150">
        <v>32</v>
      </c>
      <c r="R39" s="212">
        <f t="shared" ref="R39" si="27">Q39*$D39</f>
        <v>6.4</v>
      </c>
    </row>
    <row r="40" spans="2:18" s="98" customFormat="1" ht="13.6" x14ac:dyDescent="0.25">
      <c r="B40" s="65" t="s">
        <v>23</v>
      </c>
      <c r="C40" s="155"/>
      <c r="D40" s="94"/>
      <c r="E40" s="133"/>
      <c r="F40" s="234"/>
      <c r="G40" s="77"/>
      <c r="H40" s="148">
        <f>H30+H31+H33+H34+H35+H36+H38+H39</f>
        <v>0</v>
      </c>
      <c r="I40" s="133"/>
      <c r="J40" s="234"/>
      <c r="K40" s="77"/>
      <c r="L40" s="148">
        <f>L30+L31+L33+L34+L35+L36+L38+L39</f>
        <v>89.72</v>
      </c>
      <c r="M40" s="148"/>
      <c r="N40" s="234"/>
      <c r="O40" s="94"/>
      <c r="P40" s="148">
        <f>P30+P31+P33+P34+P35+P36+P38+P39</f>
        <v>40.299999999999997</v>
      </c>
      <c r="Q40" s="94"/>
      <c r="R40" s="148">
        <f>R30+R31+R33+R34+R35+R36+R38+R39</f>
        <v>32.799999999999997</v>
      </c>
    </row>
    <row r="41" spans="2:18" s="98" customFormat="1" ht="12.9" x14ac:dyDescent="0.2">
      <c r="B41" s="65"/>
      <c r="C41" s="65"/>
      <c r="D41" s="94" t="s">
        <v>26</v>
      </c>
      <c r="E41" s="133"/>
      <c r="F41" s="234"/>
      <c r="G41" s="95"/>
      <c r="H41" s="156"/>
      <c r="I41" s="133"/>
      <c r="J41" s="234"/>
      <c r="K41" s="95"/>
      <c r="L41" s="156"/>
      <c r="M41" s="156"/>
      <c r="N41" s="234"/>
      <c r="O41" s="95"/>
      <c r="P41" s="156"/>
      <c r="Q41" s="95"/>
      <c r="R41" s="156"/>
    </row>
    <row r="42" spans="2:18" s="98" customFormat="1" ht="13.6" x14ac:dyDescent="0.25">
      <c r="B42" s="96" t="s">
        <v>80</v>
      </c>
      <c r="C42" s="96" t="s">
        <v>27</v>
      </c>
      <c r="D42" s="157">
        <v>0.05</v>
      </c>
      <c r="E42" s="158"/>
      <c r="F42" s="234"/>
      <c r="G42" s="95"/>
      <c r="H42" s="159">
        <f>(H27+H40)*$D42*8/12</f>
        <v>0</v>
      </c>
      <c r="I42" s="158"/>
      <c r="J42" s="234"/>
      <c r="K42" s="95"/>
      <c r="L42" s="159">
        <f>(L27+L40)*$D42*8/12</f>
        <v>4.0290000000000008</v>
      </c>
      <c r="M42" s="159"/>
      <c r="N42" s="234"/>
      <c r="O42" s="97"/>
      <c r="P42" s="159">
        <f>(P27+P40)*$D42*8/12</f>
        <v>2.2966666666666669</v>
      </c>
      <c r="Q42" s="160"/>
      <c r="R42" s="159">
        <f>(R27+R40)*$D42*8/12</f>
        <v>1.5116666666666665</v>
      </c>
    </row>
    <row r="43" spans="2:18" s="98" customFormat="1" ht="12.9" x14ac:dyDescent="0.2">
      <c r="E43" s="161"/>
      <c r="F43" s="234"/>
      <c r="I43" s="161"/>
      <c r="J43" s="234"/>
      <c r="M43" s="161"/>
      <c r="N43" s="234"/>
      <c r="O43" s="99"/>
      <c r="Q43" s="102"/>
    </row>
    <row r="44" spans="2:18" s="98" customFormat="1" ht="13.6" x14ac:dyDescent="0.25">
      <c r="B44" s="96" t="s">
        <v>28</v>
      </c>
      <c r="C44" s="100"/>
      <c r="D44" s="101"/>
      <c r="E44" s="162"/>
      <c r="F44" s="234"/>
      <c r="G44" s="102"/>
      <c r="H44" s="163"/>
      <c r="I44" s="162"/>
      <c r="J44" s="234"/>
      <c r="K44" s="102"/>
      <c r="L44" s="163"/>
      <c r="M44" s="156"/>
      <c r="N44" s="234"/>
      <c r="O44" s="99"/>
      <c r="P44" s="163"/>
      <c r="Q44" s="102"/>
      <c r="R44" s="163"/>
    </row>
    <row r="45" spans="2:18" s="98" customFormat="1" ht="12.9" x14ac:dyDescent="0.2">
      <c r="B45" s="76" t="s">
        <v>39</v>
      </c>
      <c r="C45" s="103" t="s">
        <v>6</v>
      </c>
      <c r="D45" s="151">
        <v>14.2</v>
      </c>
      <c r="E45" s="164"/>
      <c r="F45" s="234"/>
      <c r="G45" s="154">
        <v>0</v>
      </c>
      <c r="H45" s="147">
        <f t="shared" ref="H45:H48" si="28">G45*$D45</f>
        <v>0</v>
      </c>
      <c r="I45" s="164"/>
      <c r="J45" s="234"/>
      <c r="K45" s="82">
        <f>IF('Advanced Inputs'!B20&gt;0,1,0)</f>
        <v>0</v>
      </c>
      <c r="L45" s="147">
        <f t="shared" ref="L45:P48" si="29">K45*$D45</f>
        <v>0</v>
      </c>
      <c r="M45" s="147"/>
      <c r="N45" s="234"/>
      <c r="O45" s="154">
        <v>1</v>
      </c>
      <c r="P45" s="147">
        <f t="shared" si="29"/>
        <v>14.2</v>
      </c>
      <c r="Q45" s="154">
        <v>1</v>
      </c>
      <c r="R45" s="147">
        <f t="shared" ref="R45" si="30">Q45*$D45</f>
        <v>14.2</v>
      </c>
    </row>
    <row r="46" spans="2:18" s="98" customFormat="1" ht="12.9" x14ac:dyDescent="0.2">
      <c r="B46" s="76" t="s">
        <v>29</v>
      </c>
      <c r="C46" s="103" t="s">
        <v>7</v>
      </c>
      <c r="D46" s="151">
        <v>12.6</v>
      </c>
      <c r="E46" s="164"/>
      <c r="F46" s="234"/>
      <c r="G46" s="154">
        <v>0</v>
      </c>
      <c r="H46" s="147">
        <f t="shared" si="28"/>
        <v>0</v>
      </c>
      <c r="I46" s="164"/>
      <c r="J46" s="234"/>
      <c r="K46" s="82">
        <f>('Your Production Estimates'!D27/'Your Production Estimates'!D29)*C7</f>
        <v>2.4</v>
      </c>
      <c r="L46" s="147">
        <f t="shared" si="29"/>
        <v>30.24</v>
      </c>
      <c r="M46" s="147"/>
      <c r="N46" s="234"/>
      <c r="O46" s="82">
        <f>'Your Production Estimates'!D28/'Your Production Estimates'!D29*C7</f>
        <v>4.8</v>
      </c>
      <c r="P46" s="147">
        <f t="shared" si="29"/>
        <v>60.48</v>
      </c>
      <c r="Q46" s="82">
        <f>C7</f>
        <v>9.6</v>
      </c>
      <c r="R46" s="147">
        <f t="shared" ref="R46" si="31">Q46*$D46</f>
        <v>120.96</v>
      </c>
    </row>
    <row r="47" spans="2:18" s="98" customFormat="1" ht="12.9" x14ac:dyDescent="0.2">
      <c r="B47" s="76" t="s">
        <v>8</v>
      </c>
      <c r="C47" s="103" t="s">
        <v>6</v>
      </c>
      <c r="D47" s="151">
        <v>12.9</v>
      </c>
      <c r="E47" s="164"/>
      <c r="F47" s="234"/>
      <c r="G47" s="154">
        <v>0</v>
      </c>
      <c r="H47" s="147">
        <f t="shared" si="28"/>
        <v>0</v>
      </c>
      <c r="I47" s="164"/>
      <c r="J47" s="234"/>
      <c r="K47" s="82">
        <f>IF('Advanced Inputs'!B20&gt;0,1,0)</f>
        <v>0</v>
      </c>
      <c r="L47" s="147">
        <f t="shared" si="29"/>
        <v>0</v>
      </c>
      <c r="M47" s="147"/>
      <c r="N47" s="234"/>
      <c r="O47" s="154">
        <v>0</v>
      </c>
      <c r="P47" s="147">
        <f t="shared" si="29"/>
        <v>0</v>
      </c>
      <c r="Q47" s="154">
        <v>0</v>
      </c>
      <c r="R47" s="147">
        <f t="shared" ref="R47" si="32">Q47*$D47</f>
        <v>0</v>
      </c>
    </row>
    <row r="48" spans="2:18" s="98" customFormat="1" ht="12.9" x14ac:dyDescent="0.2">
      <c r="B48" s="76" t="s">
        <v>9</v>
      </c>
      <c r="C48" s="103" t="s">
        <v>7</v>
      </c>
      <c r="D48" s="151">
        <v>3.3</v>
      </c>
      <c r="E48" s="164"/>
      <c r="F48" s="234"/>
      <c r="G48" s="154">
        <v>0</v>
      </c>
      <c r="H48" s="212">
        <f t="shared" si="28"/>
        <v>0</v>
      </c>
      <c r="I48" s="164"/>
      <c r="J48" s="234"/>
      <c r="K48" s="82">
        <f>('Your Production Estimates'!D27/'Your Production Estimates'!D29)*C7</f>
        <v>2.4</v>
      </c>
      <c r="L48" s="212">
        <f t="shared" si="29"/>
        <v>7.919999999999999</v>
      </c>
      <c r="M48" s="147"/>
      <c r="N48" s="234"/>
      <c r="O48" s="82">
        <f>0.5*C7</f>
        <v>4.8</v>
      </c>
      <c r="P48" s="153">
        <f t="shared" si="29"/>
        <v>15.839999999999998</v>
      </c>
      <c r="Q48" s="82">
        <f>C7</f>
        <v>9.6</v>
      </c>
      <c r="R48" s="212">
        <f t="shared" ref="R48" si="33">Q48*$D48</f>
        <v>31.679999999999996</v>
      </c>
    </row>
    <row r="49" spans="2:26" s="98" customFormat="1" ht="13.6" x14ac:dyDescent="0.25">
      <c r="B49" s="165" t="s">
        <v>30</v>
      </c>
      <c r="C49" s="166"/>
      <c r="D49" s="167"/>
      <c r="E49" s="168"/>
      <c r="F49" s="168"/>
      <c r="G49" s="102"/>
      <c r="H49" s="169">
        <f>H45+H46+H47+H48</f>
        <v>0</v>
      </c>
      <c r="I49" s="168"/>
      <c r="J49" s="168"/>
      <c r="K49" s="102"/>
      <c r="L49" s="169">
        <f>L45+L46+L47+L48</f>
        <v>38.159999999999997</v>
      </c>
      <c r="M49" s="148"/>
      <c r="N49" s="170"/>
      <c r="O49" s="171"/>
      <c r="P49" s="169">
        <f>P45+P46+P47+P48</f>
        <v>90.52</v>
      </c>
      <c r="Q49" s="172"/>
      <c r="R49" s="169">
        <f>R45+R46+R47+R48</f>
        <v>166.84</v>
      </c>
    </row>
    <row r="50" spans="2:26" s="98" customFormat="1" ht="13.6" thickBot="1" x14ac:dyDescent="0.25">
      <c r="B50" s="104"/>
      <c r="C50" s="104"/>
      <c r="D50" s="104"/>
      <c r="E50" s="173"/>
      <c r="F50" s="173"/>
      <c r="G50" s="104"/>
      <c r="H50" s="174"/>
      <c r="I50" s="173"/>
      <c r="J50" s="173"/>
      <c r="K50" s="104"/>
      <c r="L50" s="174"/>
      <c r="M50" s="175"/>
      <c r="N50" s="176"/>
      <c r="O50" s="104"/>
      <c r="P50" s="174"/>
      <c r="Q50" s="104"/>
      <c r="R50" s="177"/>
    </row>
    <row r="51" spans="2:26" s="98" customFormat="1" ht="14.3" thickTop="1" x14ac:dyDescent="0.25">
      <c r="B51" s="178" t="s">
        <v>81</v>
      </c>
      <c r="C51" s="178"/>
      <c r="D51" s="179"/>
      <c r="E51" s="179"/>
      <c r="F51" s="179"/>
      <c r="G51" s="180"/>
      <c r="H51" s="181">
        <f>H11+H19+H27+H40+H42+H49</f>
        <v>367.84000000000003</v>
      </c>
      <c r="I51" s="179"/>
      <c r="J51" s="179"/>
      <c r="K51" s="180"/>
      <c r="L51" s="181">
        <f>L11+L19+L27+L40+L42+L49</f>
        <v>163.059</v>
      </c>
      <c r="M51" s="181"/>
      <c r="N51" s="181"/>
      <c r="O51" s="182"/>
      <c r="P51" s="181">
        <f>P11+P19+P27+P40+P42+P49</f>
        <v>161.71666666666667</v>
      </c>
      <c r="Q51" s="182"/>
      <c r="R51" s="181">
        <f>R11+R19+R27+R40+R42+R49</f>
        <v>213.70166666666665</v>
      </c>
    </row>
    <row r="52" spans="2:26" s="98" customFormat="1" ht="13.6" x14ac:dyDescent="0.25">
      <c r="B52" s="183"/>
      <c r="C52" s="184"/>
      <c r="D52" s="163"/>
      <c r="E52" s="156"/>
      <c r="F52" s="156"/>
      <c r="G52" s="156"/>
      <c r="H52" s="156"/>
      <c r="I52" s="156"/>
      <c r="J52" s="156"/>
      <c r="K52" s="95"/>
      <c r="L52" s="170"/>
      <c r="M52" s="148"/>
      <c r="N52" s="170"/>
      <c r="O52" s="94"/>
      <c r="P52" s="170"/>
      <c r="Q52" s="94"/>
      <c r="R52" s="170"/>
    </row>
    <row r="53" spans="2:26" s="98" customFormat="1" ht="13.6" x14ac:dyDescent="0.25">
      <c r="B53" s="185" t="s">
        <v>82</v>
      </c>
      <c r="C53" s="186"/>
      <c r="D53" s="187" t="s">
        <v>26</v>
      </c>
      <c r="E53" s="187"/>
      <c r="F53" s="187"/>
      <c r="G53" s="187" t="s">
        <v>145</v>
      </c>
      <c r="H53" s="187"/>
      <c r="I53" s="187"/>
      <c r="J53" s="187"/>
      <c r="K53" s="188"/>
      <c r="L53" s="189">
        <f>H51+L11+L19+L27+L40+L42</f>
        <v>492.73900000000003</v>
      </c>
      <c r="M53" s="159"/>
      <c r="N53" s="159"/>
      <c r="O53" s="94"/>
      <c r="P53" s="170"/>
      <c r="Q53" s="94"/>
      <c r="R53" s="170"/>
    </row>
    <row r="54" spans="2:26" s="98" customFormat="1" ht="13.6" x14ac:dyDescent="0.25">
      <c r="B54" s="190" t="s">
        <v>31</v>
      </c>
      <c r="C54" s="144"/>
      <c r="D54" s="191">
        <v>0.05</v>
      </c>
      <c r="E54" s="192"/>
      <c r="F54" s="192"/>
      <c r="G54" s="193">
        <f>IF(OR('Your Production Estimates'!D10="CRP",'Your Production Estimates'!D10="Pasture for Grazing/Haying"),'Advanced Inputs'!C6+1,'Advanced Inputs'!C6)</f>
        <v>11</v>
      </c>
      <c r="H54" s="192"/>
      <c r="I54" s="192"/>
      <c r="J54" s="192"/>
      <c r="K54" s="194"/>
      <c r="L54" s="195">
        <f>(D54+(D54/((1+D54)^G54-1)))</f>
        <v>0.12038889149066806</v>
      </c>
      <c r="M54" s="196"/>
      <c r="N54" s="196"/>
      <c r="O54" s="94"/>
      <c r="P54" s="170"/>
      <c r="Q54" s="94"/>
      <c r="R54" s="170"/>
    </row>
    <row r="55" spans="2:26" s="98" customFormat="1" ht="13.6" x14ac:dyDescent="0.25">
      <c r="B55" s="197" t="s">
        <v>83</v>
      </c>
      <c r="C55" s="198"/>
      <c r="D55" s="199"/>
      <c r="E55" s="199"/>
      <c r="F55" s="199"/>
      <c r="G55" s="199"/>
      <c r="H55" s="199"/>
      <c r="I55" s="199"/>
      <c r="J55" s="199"/>
      <c r="K55" s="200"/>
      <c r="L55" s="201">
        <f>L54*L53</f>
        <v>59.320302004220295</v>
      </c>
      <c r="M55" s="159"/>
      <c r="N55" s="159"/>
      <c r="O55" s="94"/>
      <c r="P55" s="170"/>
      <c r="Q55" s="94"/>
      <c r="R55" s="170"/>
    </row>
    <row r="56" spans="2:26" s="98" customFormat="1" ht="13.6" x14ac:dyDescent="0.25">
      <c r="B56" s="194"/>
      <c r="C56" s="144"/>
      <c r="D56" s="196"/>
      <c r="E56" s="196"/>
      <c r="F56" s="196"/>
      <c r="G56" s="196"/>
      <c r="H56" s="196"/>
      <c r="I56" s="196"/>
      <c r="J56" s="196"/>
      <c r="K56" s="194"/>
      <c r="L56" s="159"/>
      <c r="M56" s="159"/>
      <c r="N56" s="159"/>
      <c r="O56" s="94"/>
      <c r="P56" s="170"/>
      <c r="Q56" s="94"/>
      <c r="R56" s="170"/>
    </row>
    <row r="57" spans="2:26" s="98" customFormat="1" ht="13.6" x14ac:dyDescent="0.25">
      <c r="B57" s="178" t="s">
        <v>108</v>
      </c>
      <c r="C57" s="178"/>
      <c r="D57" s="179"/>
      <c r="E57" s="179"/>
      <c r="F57" s="179"/>
      <c r="G57" s="179"/>
      <c r="H57" s="179"/>
      <c r="I57" s="179"/>
      <c r="J57" s="179"/>
      <c r="K57" s="180"/>
      <c r="L57" s="181">
        <f>(L49+P51+(R51*(C6-2)))/C6+L55</f>
        <v>250.26930200422026</v>
      </c>
      <c r="M57" s="148"/>
      <c r="N57" s="170"/>
      <c r="O57" s="94"/>
      <c r="P57" s="170"/>
      <c r="Q57" s="94"/>
      <c r="R57" s="170"/>
    </row>
    <row r="58" spans="2:26" x14ac:dyDescent="0.25">
      <c r="B58" s="115"/>
      <c r="C58" s="116"/>
      <c r="D58" s="113"/>
      <c r="E58" s="111"/>
      <c r="F58" s="111"/>
      <c r="G58" s="111"/>
      <c r="H58" s="111"/>
      <c r="I58" s="111"/>
      <c r="J58" s="111"/>
      <c r="K58" s="61"/>
      <c r="L58" s="114"/>
      <c r="M58" s="110"/>
      <c r="N58" s="114"/>
      <c r="O58" s="60"/>
      <c r="P58" s="114"/>
      <c r="Q58" s="60"/>
      <c r="R58" s="114"/>
    </row>
    <row r="59" spans="2:26" s="63" customFormat="1" x14ac:dyDescent="0.25">
      <c r="B59" s="5" t="s">
        <v>179</v>
      </c>
      <c r="C59" s="98"/>
      <c r="D59" s="62"/>
      <c r="E59" s="62"/>
      <c r="F59" s="62"/>
      <c r="G59" s="117"/>
      <c r="H59" s="62"/>
      <c r="I59" s="62"/>
      <c r="J59" s="62"/>
      <c r="K59" s="62"/>
      <c r="L59" s="62"/>
      <c r="M59" s="112"/>
      <c r="N59" s="62"/>
      <c r="O59" s="62"/>
      <c r="P59" s="62"/>
      <c r="Q59" s="62"/>
      <c r="R59" s="118"/>
      <c r="Z59" s="62"/>
    </row>
    <row r="60" spans="2:26" s="63" customFormat="1" x14ac:dyDescent="0.25">
      <c r="B60" s="202"/>
      <c r="C60" s="98"/>
      <c r="D60" s="62"/>
      <c r="E60" s="62"/>
      <c r="F60" s="62"/>
      <c r="G60" s="62"/>
      <c r="H60" s="62"/>
      <c r="I60" s="62"/>
      <c r="J60" s="62"/>
      <c r="K60" s="62"/>
      <c r="L60" s="62"/>
      <c r="M60" s="112"/>
      <c r="N60" s="62"/>
      <c r="O60" s="62"/>
      <c r="P60" s="62"/>
      <c r="Q60" s="62"/>
      <c r="R60" s="62"/>
      <c r="Z60" s="62"/>
    </row>
    <row r="61" spans="2:26" s="63" customFormat="1" x14ac:dyDescent="0.25">
      <c r="B61" s="203" t="s">
        <v>32</v>
      </c>
      <c r="C61" s="106"/>
      <c r="M61" s="119"/>
    </row>
    <row r="62" spans="2:26" s="63" customFormat="1" x14ac:dyDescent="0.25">
      <c r="B62" s="230">
        <f ca="1">TODAY()</f>
        <v>42548</v>
      </c>
      <c r="C62" s="230"/>
      <c r="L62" s="120"/>
      <c r="M62" s="121"/>
      <c r="N62" s="120"/>
      <c r="Q62" s="122"/>
    </row>
    <row r="63" spans="2:26" ht="51.65" x14ac:dyDescent="0.25">
      <c r="B63" s="107" t="s">
        <v>42</v>
      </c>
      <c r="C63" s="106"/>
      <c r="D63" s="63"/>
      <c r="E63" s="63"/>
      <c r="F63" s="63"/>
      <c r="G63" s="63"/>
      <c r="H63" s="63"/>
      <c r="I63" s="63"/>
      <c r="J63" s="63"/>
      <c r="K63" s="63"/>
      <c r="L63" s="63"/>
      <c r="M63" s="119"/>
      <c r="N63" s="63"/>
      <c r="O63" s="63"/>
      <c r="P63" s="63"/>
      <c r="Q63" s="233"/>
      <c r="R63" s="233"/>
    </row>
    <row r="64" spans="2:26" x14ac:dyDescent="0.25">
      <c r="C64" s="64"/>
      <c r="D64" s="64"/>
      <c r="E64" s="64"/>
      <c r="F64" s="64"/>
      <c r="G64" s="64"/>
      <c r="H64" s="64"/>
      <c r="I64" s="64"/>
      <c r="J64" s="64"/>
      <c r="K64" s="64"/>
      <c r="L64" s="64"/>
      <c r="M64" s="123"/>
      <c r="N64" s="64"/>
      <c r="O64" s="64"/>
      <c r="P64" s="64"/>
      <c r="Q64" s="233"/>
      <c r="R64" s="233"/>
    </row>
    <row r="65" spans="3:18" x14ac:dyDescent="0.25">
      <c r="C65" s="64"/>
      <c r="D65" s="64"/>
      <c r="E65" s="64"/>
      <c r="F65" s="64"/>
      <c r="G65" s="64"/>
      <c r="H65" s="64"/>
      <c r="I65" s="64"/>
      <c r="J65" s="64"/>
      <c r="K65" s="64"/>
      <c r="L65" s="64"/>
      <c r="M65" s="123"/>
      <c r="N65" s="64"/>
      <c r="O65" s="64"/>
      <c r="P65" s="64"/>
      <c r="Q65" s="233"/>
      <c r="R65" s="233"/>
    </row>
    <row r="66" spans="3:18" x14ac:dyDescent="0.25">
      <c r="C66" s="64"/>
      <c r="D66" s="64"/>
      <c r="E66" s="64"/>
      <c r="F66" s="64"/>
      <c r="G66" s="64"/>
      <c r="H66" s="64"/>
      <c r="I66" s="64"/>
      <c r="J66" s="64"/>
      <c r="K66" s="64"/>
      <c r="L66" s="64"/>
      <c r="M66" s="123"/>
      <c r="N66" s="64"/>
      <c r="O66" s="64"/>
      <c r="P66" s="64"/>
      <c r="R66" s="124"/>
    </row>
  </sheetData>
  <sheetProtection sheet="1" objects="1" scenarios="1"/>
  <mergeCells count="7">
    <mergeCell ref="B1:R1"/>
    <mergeCell ref="B62:C62"/>
    <mergeCell ref="Q63:R63"/>
    <mergeCell ref="Q64:R65"/>
    <mergeCell ref="J11:J48"/>
    <mergeCell ref="N11:N48"/>
    <mergeCell ref="F11:F48"/>
  </mergeCells>
  <conditionalFormatting sqref="L4:N4 D52:R53 O45:O48 Q45:Q49 K45:K48 I49:O49 I45:I48 D45:E51 I50:R51 D55:R57 D54:F54 H54:R54">
    <cfRule type="containsErrors" dxfId="8" priority="17">
      <formula>ISERROR(D4)</formula>
    </cfRule>
  </conditionalFormatting>
  <conditionalFormatting sqref="Q46 Q48">
    <cfRule type="containsErrors" dxfId="7" priority="16">
      <formula>ISERROR(Q46)</formula>
    </cfRule>
  </conditionalFormatting>
  <conditionalFormatting sqref="P49">
    <cfRule type="containsErrors" dxfId="6" priority="6">
      <formula>ISERROR(P49)</formula>
    </cfRule>
  </conditionalFormatting>
  <conditionalFormatting sqref="R49">
    <cfRule type="containsErrors" dxfId="5" priority="5">
      <formula>ISERROR(R49)</formula>
    </cfRule>
  </conditionalFormatting>
  <conditionalFormatting sqref="D58:R58">
    <cfRule type="containsErrors" dxfId="4" priority="10">
      <formula>ISERROR(#REF!)</formula>
    </cfRule>
  </conditionalFormatting>
  <conditionalFormatting sqref="D62:P63 R62 R66 E61:R61 C62 D60:R60 D59:F59 H59:R59">
    <cfRule type="containsErrors" dxfId="3" priority="9">
      <formula>ISERROR(#REF!)</formula>
    </cfRule>
  </conditionalFormatting>
  <conditionalFormatting sqref="G45:G48 F49:H51">
    <cfRule type="containsErrors" dxfId="2" priority="3">
      <formula>ISERROR(F45)</formula>
    </cfRule>
  </conditionalFormatting>
  <conditionalFormatting sqref="G59">
    <cfRule type="containsErrors" dxfId="1" priority="2">
      <formula>ISERROR(G59)</formula>
    </cfRule>
  </conditionalFormatting>
  <conditionalFormatting sqref="G54">
    <cfRule type="containsErrors" dxfId="0" priority="1">
      <formula>ISERROR(G54)</formula>
    </cfRule>
  </conditionalFormatting>
  <pageMargins left="0.7" right="0.7" top="0.75" bottom="0.75" header="0.3" footer="0.3"/>
  <pageSetup scale="50" orientation="landscape" r:id="rId1"/>
  <headerFooter>
    <oddHeader xml:space="preserve">&amp;LIowa State University Extension and Outreach&amp;RAg Decision Maker File A1-29
Estimated Cost of Establishment and Production of “Liberty” Switchgrass </oddHeader>
    <oddFooter>&amp;Lhttp://www.extension.iastate.edu/agdm/crops/xls/a1-29switchgrass.xlsx</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45"/>
  <sheetViews>
    <sheetView showGridLines="0" workbookViewId="0"/>
  </sheetViews>
  <sheetFormatPr defaultColWidth="9.125" defaultRowHeight="12.9" x14ac:dyDescent="0.2"/>
  <cols>
    <col min="1" max="1" width="1.875" style="5" customWidth="1"/>
    <col min="2" max="2" width="9.125" style="5" customWidth="1"/>
    <col min="3" max="16384" width="9.125" style="5"/>
  </cols>
  <sheetData>
    <row r="1" spans="2:14" ht="10.55" customHeight="1" x14ac:dyDescent="0.2"/>
    <row r="2" spans="2:14" ht="14.3" x14ac:dyDescent="0.25">
      <c r="B2" s="236" t="s">
        <v>178</v>
      </c>
      <c r="C2" s="237"/>
      <c r="D2" s="237"/>
      <c r="E2" s="237"/>
      <c r="F2" s="237"/>
      <c r="G2" s="237"/>
      <c r="H2" s="237"/>
      <c r="I2" s="237"/>
      <c r="J2" s="237"/>
      <c r="K2" s="237"/>
      <c r="L2" s="50"/>
      <c r="M2" s="50"/>
      <c r="N2" s="51"/>
    </row>
    <row r="3" spans="2:14" ht="14.3" x14ac:dyDescent="0.25">
      <c r="B3" s="57" t="s">
        <v>176</v>
      </c>
      <c r="C3" s="58"/>
      <c r="D3" s="58"/>
      <c r="E3" s="58"/>
      <c r="F3" s="58"/>
      <c r="G3" s="59"/>
      <c r="H3" s="59"/>
      <c r="I3" s="59"/>
      <c r="J3" s="59"/>
      <c r="K3" s="59"/>
      <c r="L3" s="52"/>
      <c r="M3" s="52"/>
      <c r="N3" s="53"/>
    </row>
    <row r="4" spans="2:14" x14ac:dyDescent="0.2">
      <c r="G4" s="47"/>
      <c r="H4" s="47"/>
      <c r="I4" s="47"/>
      <c r="J4" s="47"/>
      <c r="K4" s="47"/>
    </row>
    <row r="5" spans="2:14" ht="13.6" x14ac:dyDescent="0.25">
      <c r="B5" s="54" t="s">
        <v>103</v>
      </c>
      <c r="C5" s="55"/>
      <c r="D5" s="55"/>
      <c r="E5" s="55"/>
      <c r="F5" s="55"/>
      <c r="G5" s="55"/>
      <c r="H5" s="55"/>
      <c r="I5" s="55"/>
      <c r="J5" s="55"/>
      <c r="K5" s="55"/>
      <c r="L5" s="55"/>
      <c r="M5" s="55"/>
      <c r="N5" s="56"/>
    </row>
    <row r="6" spans="2:14" ht="57.1" customHeight="1" x14ac:dyDescent="0.2">
      <c r="B6" s="240" t="s">
        <v>190</v>
      </c>
      <c r="C6" s="240"/>
      <c r="D6" s="240"/>
      <c r="E6" s="240"/>
      <c r="F6" s="240"/>
      <c r="G6" s="240"/>
      <c r="H6" s="240"/>
      <c r="I6" s="240"/>
      <c r="J6" s="240"/>
      <c r="K6" s="240"/>
      <c r="L6" s="240"/>
      <c r="M6" s="240"/>
      <c r="N6" s="240"/>
    </row>
    <row r="8" spans="2:14" ht="13.6" x14ac:dyDescent="0.25">
      <c r="B8" s="54" t="s">
        <v>86</v>
      </c>
      <c r="C8" s="55"/>
      <c r="D8" s="55"/>
      <c r="E8" s="55"/>
      <c r="F8" s="55"/>
      <c r="G8" s="55"/>
      <c r="H8" s="55"/>
      <c r="I8" s="55"/>
      <c r="J8" s="55"/>
      <c r="K8" s="55"/>
      <c r="L8" s="55"/>
      <c r="M8" s="55"/>
      <c r="N8" s="56"/>
    </row>
    <row r="9" spans="2:14" ht="57.1" customHeight="1" x14ac:dyDescent="0.2">
      <c r="B9" s="241" t="s">
        <v>195</v>
      </c>
      <c r="C9" s="241"/>
      <c r="D9" s="241"/>
      <c r="E9" s="241"/>
      <c r="F9" s="241"/>
      <c r="G9" s="241"/>
      <c r="H9" s="241"/>
      <c r="I9" s="241"/>
      <c r="J9" s="241"/>
      <c r="K9" s="241"/>
      <c r="L9" s="241"/>
      <c r="M9" s="241"/>
      <c r="N9" s="241"/>
    </row>
    <row r="11" spans="2:14" ht="13.6" x14ac:dyDescent="0.25">
      <c r="B11" s="54" t="s">
        <v>102</v>
      </c>
      <c r="C11" s="55"/>
      <c r="D11" s="55"/>
      <c r="E11" s="55"/>
      <c r="F11" s="55"/>
      <c r="G11" s="55"/>
      <c r="H11" s="55"/>
      <c r="I11" s="55"/>
      <c r="J11" s="55"/>
      <c r="K11" s="55"/>
      <c r="L11" s="55"/>
      <c r="M11" s="55"/>
      <c r="N11" s="56"/>
    </row>
    <row r="12" spans="2:14" ht="42.45" customHeight="1" x14ac:dyDescent="0.2">
      <c r="B12" s="240" t="s">
        <v>196</v>
      </c>
      <c r="C12" s="240"/>
      <c r="D12" s="240"/>
      <c r="E12" s="240"/>
      <c r="F12" s="240"/>
      <c r="G12" s="240"/>
      <c r="H12" s="240"/>
      <c r="I12" s="240"/>
      <c r="J12" s="240"/>
      <c r="K12" s="240"/>
      <c r="L12" s="240"/>
      <c r="M12" s="240"/>
      <c r="N12" s="240"/>
    </row>
    <row r="14" spans="2:14" ht="13.6" x14ac:dyDescent="0.25">
      <c r="B14" s="54" t="s">
        <v>104</v>
      </c>
      <c r="C14" s="55"/>
      <c r="D14" s="55"/>
      <c r="E14" s="55"/>
      <c r="F14" s="55"/>
      <c r="G14" s="55"/>
      <c r="H14" s="55"/>
      <c r="I14" s="55"/>
      <c r="J14" s="55"/>
      <c r="K14" s="55"/>
      <c r="L14" s="55"/>
      <c r="M14" s="55"/>
      <c r="N14" s="56"/>
    </row>
    <row r="15" spans="2:14" ht="56.55" customHeight="1" x14ac:dyDescent="0.2">
      <c r="B15" s="240" t="s">
        <v>191</v>
      </c>
      <c r="C15" s="240"/>
      <c r="D15" s="240"/>
      <c r="E15" s="240"/>
      <c r="F15" s="240"/>
      <c r="G15" s="240"/>
      <c r="H15" s="240"/>
      <c r="I15" s="240"/>
      <c r="J15" s="240"/>
      <c r="K15" s="240"/>
      <c r="L15" s="240"/>
      <c r="M15" s="240"/>
      <c r="N15" s="240"/>
    </row>
    <row r="16" spans="2:14" ht="32.950000000000003" customHeight="1" x14ac:dyDescent="0.2">
      <c r="B16" s="239" t="s">
        <v>192</v>
      </c>
      <c r="C16" s="239"/>
      <c r="D16" s="239"/>
      <c r="E16" s="239"/>
      <c r="F16" s="239"/>
      <c r="G16" s="239"/>
      <c r="H16" s="239"/>
      <c r="I16" s="239"/>
      <c r="J16" s="239"/>
      <c r="K16" s="239"/>
      <c r="L16" s="239"/>
      <c r="M16" s="239"/>
      <c r="N16" s="239"/>
    </row>
    <row r="17" spans="2:14" ht="15.8" customHeight="1" x14ac:dyDescent="0.2">
      <c r="B17" s="242" t="s">
        <v>105</v>
      </c>
      <c r="C17" s="242"/>
      <c r="D17" s="242"/>
      <c r="E17" s="242"/>
      <c r="F17" s="242"/>
      <c r="G17" s="242"/>
      <c r="H17" s="242"/>
      <c r="I17" s="242"/>
      <c r="J17" s="242"/>
      <c r="K17" s="242"/>
      <c r="L17" s="242"/>
      <c r="M17" s="242"/>
      <c r="N17" s="242"/>
    </row>
    <row r="18" spans="2:14" ht="28.7" customHeight="1" x14ac:dyDescent="0.2">
      <c r="B18" s="238" t="s">
        <v>193</v>
      </c>
      <c r="C18" s="238"/>
      <c r="D18" s="238"/>
      <c r="E18" s="238"/>
      <c r="F18" s="238"/>
      <c r="G18" s="238"/>
      <c r="H18" s="238"/>
      <c r="I18" s="238"/>
      <c r="J18" s="238"/>
      <c r="K18" s="238"/>
      <c r="L18" s="238"/>
      <c r="M18" s="238"/>
      <c r="N18" s="238"/>
    </row>
    <row r="19" spans="2:14" ht="23.95" customHeight="1" x14ac:dyDescent="0.2">
      <c r="B19" s="239" t="s">
        <v>194</v>
      </c>
      <c r="C19" s="239"/>
      <c r="D19" s="239"/>
      <c r="E19" s="239"/>
      <c r="F19" s="239"/>
      <c r="G19" s="239"/>
      <c r="H19" s="239"/>
      <c r="I19" s="239"/>
      <c r="J19" s="239"/>
      <c r="K19" s="239"/>
      <c r="L19" s="239"/>
      <c r="M19" s="239"/>
      <c r="N19" s="239"/>
    </row>
    <row r="21" spans="2:14" ht="13.6" x14ac:dyDescent="0.25">
      <c r="B21" s="54" t="s">
        <v>147</v>
      </c>
      <c r="C21" s="55"/>
      <c r="D21" s="55"/>
      <c r="E21" s="55"/>
      <c r="F21" s="55"/>
      <c r="G21" s="55"/>
      <c r="H21" s="55"/>
      <c r="I21" s="55"/>
      <c r="J21" s="55"/>
      <c r="K21" s="55"/>
      <c r="L21" s="55"/>
      <c r="M21" s="55"/>
      <c r="N21" s="56"/>
    </row>
    <row r="22" spans="2:14" x14ac:dyDescent="0.2">
      <c r="B22" s="48" t="s">
        <v>151</v>
      </c>
    </row>
    <row r="23" spans="2:14" x14ac:dyDescent="0.2">
      <c r="B23" s="235" t="s">
        <v>148</v>
      </c>
      <c r="C23" s="235"/>
      <c r="D23" s="235"/>
      <c r="E23" s="235"/>
      <c r="F23" s="235"/>
      <c r="G23" s="235"/>
    </row>
    <row r="24" spans="2:14" x14ac:dyDescent="0.2">
      <c r="B24" s="235" t="s">
        <v>149</v>
      </c>
      <c r="C24" s="235"/>
      <c r="D24" s="235"/>
      <c r="E24" s="235"/>
      <c r="F24" s="235"/>
      <c r="G24" s="235"/>
    </row>
    <row r="25" spans="2:14" x14ac:dyDescent="0.2">
      <c r="B25" s="235" t="s">
        <v>150</v>
      </c>
      <c r="C25" s="235"/>
      <c r="D25" s="235"/>
      <c r="E25" s="235"/>
      <c r="F25" s="235"/>
      <c r="G25" s="235"/>
    </row>
    <row r="26" spans="2:14" x14ac:dyDescent="0.2">
      <c r="B26" s="48" t="s">
        <v>152</v>
      </c>
    </row>
    <row r="27" spans="2:14" x14ac:dyDescent="0.2">
      <c r="B27" s="49" t="s">
        <v>153</v>
      </c>
    </row>
    <row r="28" spans="2:14" x14ac:dyDescent="0.2">
      <c r="B28" s="49" t="s">
        <v>154</v>
      </c>
    </row>
    <row r="29" spans="2:14" x14ac:dyDescent="0.2">
      <c r="B29" s="49" t="s">
        <v>157</v>
      </c>
    </row>
    <row r="30" spans="2:14" x14ac:dyDescent="0.2">
      <c r="B30" s="49" t="s">
        <v>158</v>
      </c>
    </row>
    <row r="31" spans="2:14" x14ac:dyDescent="0.2">
      <c r="B31" s="49" t="s">
        <v>155</v>
      </c>
    </row>
    <row r="32" spans="2:14" x14ac:dyDescent="0.2">
      <c r="B32" s="49" t="s">
        <v>156</v>
      </c>
    </row>
    <row r="33" spans="2:14" x14ac:dyDescent="0.2">
      <c r="B33" s="49" t="s">
        <v>160</v>
      </c>
    </row>
    <row r="34" spans="2:14" x14ac:dyDescent="0.2">
      <c r="B34" s="48" t="s">
        <v>159</v>
      </c>
    </row>
    <row r="35" spans="2:14" x14ac:dyDescent="0.2">
      <c r="B35" s="49" t="s">
        <v>161</v>
      </c>
    </row>
    <row r="36" spans="2:14" x14ac:dyDescent="0.2">
      <c r="B36" s="49" t="s">
        <v>162</v>
      </c>
    </row>
    <row r="38" spans="2:14" ht="13.6" x14ac:dyDescent="0.25">
      <c r="B38" s="54" t="s">
        <v>164</v>
      </c>
      <c r="C38" s="55"/>
      <c r="D38" s="55"/>
      <c r="E38" s="55"/>
      <c r="F38" s="55"/>
      <c r="G38" s="55"/>
      <c r="H38" s="55"/>
      <c r="I38" s="55"/>
      <c r="J38" s="55"/>
      <c r="K38" s="55"/>
      <c r="L38" s="55"/>
      <c r="M38" s="55"/>
      <c r="N38" s="56"/>
    </row>
    <row r="39" spans="2:14" x14ac:dyDescent="0.2">
      <c r="B39" s="5" t="s">
        <v>167</v>
      </c>
    </row>
    <row r="40" spans="2:14" x14ac:dyDescent="0.2">
      <c r="B40" s="5" t="s">
        <v>166</v>
      </c>
    </row>
    <row r="41" spans="2:14" x14ac:dyDescent="0.2">
      <c r="B41" s="5" t="s">
        <v>165</v>
      </c>
    </row>
    <row r="43" spans="2:14" x14ac:dyDescent="0.2">
      <c r="B43" s="215" t="s">
        <v>168</v>
      </c>
      <c r="C43" s="215"/>
      <c r="D43" s="215"/>
      <c r="E43" s="215"/>
      <c r="F43" s="215"/>
      <c r="G43" s="215"/>
      <c r="H43" s="215"/>
      <c r="I43" s="215"/>
      <c r="J43" s="215"/>
      <c r="K43" s="215"/>
      <c r="L43" s="215"/>
    </row>
    <row r="44" spans="2:14" x14ac:dyDescent="0.2">
      <c r="B44" s="215"/>
      <c r="C44" s="215"/>
      <c r="D44" s="215"/>
      <c r="E44" s="215"/>
      <c r="F44" s="215"/>
      <c r="G44" s="215"/>
      <c r="H44" s="215"/>
      <c r="I44" s="215"/>
      <c r="J44" s="215"/>
      <c r="K44" s="215"/>
      <c r="L44" s="215"/>
    </row>
    <row r="45" spans="2:14" x14ac:dyDescent="0.2">
      <c r="B45" s="215"/>
      <c r="C45" s="215"/>
      <c r="D45" s="215"/>
      <c r="E45" s="215"/>
      <c r="F45" s="215"/>
      <c r="G45" s="215"/>
      <c r="H45" s="215"/>
      <c r="I45" s="215"/>
      <c r="J45" s="215"/>
      <c r="K45" s="215"/>
      <c r="L45" s="215"/>
    </row>
  </sheetData>
  <sheetProtection sheet="1" objects="1" scenarios="1"/>
  <mergeCells count="13">
    <mergeCell ref="B43:L45"/>
    <mergeCell ref="B23:G23"/>
    <mergeCell ref="B24:G24"/>
    <mergeCell ref="B25:G25"/>
    <mergeCell ref="B2:K2"/>
    <mergeCell ref="B18:N18"/>
    <mergeCell ref="B19:N19"/>
    <mergeCell ref="B6:N6"/>
    <mergeCell ref="B9:N9"/>
    <mergeCell ref="B12:N12"/>
    <mergeCell ref="B15:N15"/>
    <mergeCell ref="B16:N16"/>
    <mergeCell ref="B17:N17"/>
  </mergeCells>
  <hyperlinks>
    <hyperlink ref="B23" r:id="rId1" display="Overview of Switchgrass Production forBiofuel"/>
    <hyperlink ref="B24" r:id="rId2" display="Overview of Fast Pyrolysis of Biomass to Biofuel"/>
    <hyperlink ref="B25" r:id="rId3" display="Overview of Biochar: A Co-Product of Fast Pyrolysis"/>
    <hyperlink ref="B27" r:id="rId4" display="Stand Establishment (1)"/>
    <hyperlink ref="B28" r:id="rId5" display="Stand Establishment (2)"/>
    <hyperlink ref="B30" r:id="rId6" display="Weed Control"/>
    <hyperlink ref="B31" r:id="rId7"/>
    <hyperlink ref="B32" r:id="rId8"/>
    <hyperlink ref="B29" r:id="rId9" display="Drill Calibration"/>
    <hyperlink ref="B33" r:id="rId10"/>
    <hyperlink ref="B35" r:id="rId11"/>
    <hyperlink ref="B36" r:id="rId12"/>
  </hyperlinks>
  <pageMargins left="0.7" right="0.7" top="0.75" bottom="0.75" header="0.3" footer="0.3"/>
  <pageSetup scale="62" orientation="landscape"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C1:F35"/>
  <sheetViews>
    <sheetView workbookViewId="0">
      <selection activeCell="D20" sqref="D20"/>
    </sheetView>
  </sheetViews>
  <sheetFormatPr defaultColWidth="8.875" defaultRowHeight="14.3" x14ac:dyDescent="0.25"/>
  <cols>
    <col min="3" max="3" width="17.875" bestFit="1" customWidth="1"/>
    <col min="4" max="4" width="15.875" bestFit="1" customWidth="1"/>
    <col min="5" max="5" width="15" bestFit="1" customWidth="1"/>
  </cols>
  <sheetData>
    <row r="1" spans="3:6" x14ac:dyDescent="0.25">
      <c r="C1" s="2" t="s">
        <v>46</v>
      </c>
      <c r="D1" s="2" t="s">
        <v>47</v>
      </c>
      <c r="E1" s="2" t="s">
        <v>87</v>
      </c>
      <c r="F1" s="2" t="s">
        <v>49</v>
      </c>
    </row>
    <row r="2" spans="3:6" x14ac:dyDescent="0.25">
      <c r="C2" t="s">
        <v>88</v>
      </c>
      <c r="D2" t="s">
        <v>88</v>
      </c>
      <c r="E2" t="s">
        <v>88</v>
      </c>
      <c r="F2" t="s">
        <v>88</v>
      </c>
    </row>
    <row r="3" spans="3:6" x14ac:dyDescent="0.25">
      <c r="C3" t="s">
        <v>89</v>
      </c>
      <c r="D3" t="s">
        <v>93</v>
      </c>
      <c r="E3" t="s">
        <v>93</v>
      </c>
      <c r="F3" t="s">
        <v>99</v>
      </c>
    </row>
    <row r="4" spans="3:6" x14ac:dyDescent="0.25">
      <c r="C4" t="s">
        <v>90</v>
      </c>
      <c r="D4" t="s">
        <v>91</v>
      </c>
      <c r="E4" t="s">
        <v>94</v>
      </c>
    </row>
    <row r="5" spans="3:6" x14ac:dyDescent="0.25">
      <c r="D5" t="s">
        <v>92</v>
      </c>
      <c r="E5" t="s">
        <v>92</v>
      </c>
    </row>
    <row r="6" spans="3:6" x14ac:dyDescent="0.25">
      <c r="E6" t="s">
        <v>95</v>
      </c>
    </row>
    <row r="7" spans="3:6" x14ac:dyDescent="0.25">
      <c r="E7" t="s">
        <v>96</v>
      </c>
    </row>
    <row r="9" spans="3:6" x14ac:dyDescent="0.25">
      <c r="C9" s="2" t="s">
        <v>46</v>
      </c>
      <c r="D9" s="2" t="s">
        <v>47</v>
      </c>
      <c r="E9" s="2" t="s">
        <v>87</v>
      </c>
      <c r="F9" s="2" t="s">
        <v>49</v>
      </c>
    </row>
    <row r="10" spans="3:6" x14ac:dyDescent="0.25">
      <c r="C10" t="s">
        <v>100</v>
      </c>
      <c r="D10" t="s">
        <v>100</v>
      </c>
      <c r="E10" t="s">
        <v>100</v>
      </c>
      <c r="F10" t="s">
        <v>100</v>
      </c>
    </row>
    <row r="11" spans="3:6" x14ac:dyDescent="0.25">
      <c r="C11" t="s">
        <v>100</v>
      </c>
      <c r="D11" t="s">
        <v>97</v>
      </c>
      <c r="E11" t="s">
        <v>97</v>
      </c>
      <c r="F11" t="s">
        <v>100</v>
      </c>
    </row>
    <row r="12" spans="3:6" x14ac:dyDescent="0.25">
      <c r="C12" t="s">
        <v>100</v>
      </c>
      <c r="D12" t="s">
        <v>98</v>
      </c>
      <c r="E12" t="s">
        <v>98</v>
      </c>
    </row>
    <row r="13" spans="3:6" x14ac:dyDescent="0.25">
      <c r="D13" t="s">
        <v>100</v>
      </c>
      <c r="E13" t="s">
        <v>100</v>
      </c>
    </row>
    <row r="14" spans="3:6" x14ac:dyDescent="0.25">
      <c r="E14" t="s">
        <v>97</v>
      </c>
    </row>
    <row r="15" spans="3:6" x14ac:dyDescent="0.25">
      <c r="E15" t="s">
        <v>98</v>
      </c>
    </row>
    <row r="19" spans="3:5" x14ac:dyDescent="0.25">
      <c r="C19" t="s">
        <v>118</v>
      </c>
      <c r="D19" t="s">
        <v>119</v>
      </c>
      <c r="E19" t="str">
        <f>'Your Production Estimates'!D10</f>
        <v>CRP</v>
      </c>
    </row>
    <row r="20" spans="3:5" x14ac:dyDescent="0.25">
      <c r="C20" t="str">
        <f>IF(OR('Your Production Estimates'!D10="CRP",'Your Production Estimates'!D10="Pasture for Grazing/Haying"),"Field Prep","")</f>
        <v>Field Prep</v>
      </c>
      <c r="D20" s="3">
        <f>IF(C20="","",'Your Production Estimates'!D16*'Your Production Estimates'!D17-'Your Production Estimates'!G11)</f>
        <v>115.73069799577974</v>
      </c>
      <c r="E20" s="3">
        <f>IF(C20="","",E21)</f>
        <v>-3.75</v>
      </c>
    </row>
    <row r="21" spans="3:5" x14ac:dyDescent="0.25">
      <c r="C21" t="s">
        <v>144</v>
      </c>
      <c r="D21" s="3">
        <f>'Your Production Estimates'!D27*'Your Production Estimates'!D30-'Your Production Estimates'!G11</f>
        <v>-145.26930200422026</v>
      </c>
      <c r="E21" s="3">
        <f>'Your Production Estimates'!G25</f>
        <v>-3.75</v>
      </c>
    </row>
    <row r="22" spans="3:5" x14ac:dyDescent="0.25">
      <c r="C22" t="s">
        <v>120</v>
      </c>
      <c r="D22" s="3">
        <f>'Your Production Estimates'!G13-'Your Production Estimates'!G11</f>
        <v>-40.269302004220265</v>
      </c>
      <c r="E22" s="3">
        <f>E21</f>
        <v>-3.75</v>
      </c>
    </row>
    <row r="23" spans="3:5" x14ac:dyDescent="0.25">
      <c r="C23" t="s">
        <v>121</v>
      </c>
      <c r="D23" s="3">
        <f>'Your Production Estimates'!G14-'Your Production Estimates'!G11</f>
        <v>169.73069799577974</v>
      </c>
      <c r="E23" s="3">
        <f t="shared" ref="E23:E30" si="0">E22</f>
        <v>-3.75</v>
      </c>
    </row>
    <row r="24" spans="3:5" x14ac:dyDescent="0.25">
      <c r="C24" t="s">
        <v>122</v>
      </c>
      <c r="D24" s="3">
        <f>D23</f>
        <v>169.73069799577974</v>
      </c>
      <c r="E24" s="3">
        <f t="shared" si="0"/>
        <v>-3.75</v>
      </c>
    </row>
    <row r="25" spans="3:5" x14ac:dyDescent="0.25">
      <c r="C25" t="s">
        <v>123</v>
      </c>
      <c r="D25" s="3">
        <f t="shared" ref="D25:D30" si="1">D24</f>
        <v>169.73069799577974</v>
      </c>
      <c r="E25" s="3">
        <f t="shared" si="0"/>
        <v>-3.75</v>
      </c>
    </row>
    <row r="26" spans="3:5" x14ac:dyDescent="0.25">
      <c r="C26" t="s">
        <v>124</v>
      </c>
      <c r="D26" s="3">
        <f t="shared" si="1"/>
        <v>169.73069799577974</v>
      </c>
      <c r="E26" s="3">
        <f t="shared" si="0"/>
        <v>-3.75</v>
      </c>
    </row>
    <row r="27" spans="3:5" x14ac:dyDescent="0.25">
      <c r="C27" t="s">
        <v>125</v>
      </c>
      <c r="D27" s="3">
        <f t="shared" si="1"/>
        <v>169.73069799577974</v>
      </c>
      <c r="E27" s="3">
        <f t="shared" si="0"/>
        <v>-3.75</v>
      </c>
    </row>
    <row r="28" spans="3:5" x14ac:dyDescent="0.25">
      <c r="C28" t="s">
        <v>126</v>
      </c>
      <c r="D28" s="3">
        <f t="shared" si="1"/>
        <v>169.73069799577974</v>
      </c>
      <c r="E28" s="3">
        <f t="shared" si="0"/>
        <v>-3.75</v>
      </c>
    </row>
    <row r="29" spans="3:5" x14ac:dyDescent="0.25">
      <c r="C29" t="s">
        <v>127</v>
      </c>
      <c r="D29" s="3">
        <f t="shared" si="1"/>
        <v>169.73069799577974</v>
      </c>
      <c r="E29" s="3">
        <f t="shared" si="0"/>
        <v>-3.75</v>
      </c>
    </row>
    <row r="30" spans="3:5" x14ac:dyDescent="0.25">
      <c r="C30" t="s">
        <v>128</v>
      </c>
      <c r="D30" s="3">
        <f t="shared" si="1"/>
        <v>169.73069799577974</v>
      </c>
      <c r="E30" s="3">
        <f t="shared" si="0"/>
        <v>-3.75</v>
      </c>
    </row>
    <row r="31" spans="3:5" x14ac:dyDescent="0.25">
      <c r="D31" s="3"/>
      <c r="E31" s="3"/>
    </row>
    <row r="32" spans="3:5" x14ac:dyDescent="0.25">
      <c r="D32" s="3"/>
      <c r="E32" s="3"/>
    </row>
    <row r="33" spans="4:5" x14ac:dyDescent="0.25">
      <c r="D33" s="3">
        <f>SUM(D21:D30)</f>
        <v>1172.3069799577975</v>
      </c>
      <c r="E33" s="3">
        <f>SUM(E21:E30)</f>
        <v>-37.5</v>
      </c>
    </row>
    <row r="34" spans="4:5" x14ac:dyDescent="0.25">
      <c r="D34" s="3">
        <f>AVERAGE(D20:D30)</f>
        <v>117.09433435941611</v>
      </c>
      <c r="E34" s="3">
        <f>AVERAGE(E20:E30)</f>
        <v>-3.75</v>
      </c>
    </row>
    <row r="35" spans="4:5" x14ac:dyDescent="0.25">
      <c r="D35" s="3"/>
      <c r="E35"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43"/>
  <sheetViews>
    <sheetView workbookViewId="0"/>
  </sheetViews>
  <sheetFormatPr defaultColWidth="8.875" defaultRowHeight="14.3" x14ac:dyDescent="0.25"/>
  <cols>
    <col min="1" max="1" width="19.375" bestFit="1" customWidth="1"/>
    <col min="2" max="2" width="22" bestFit="1" customWidth="1"/>
    <col min="3" max="3" width="17.875" bestFit="1" customWidth="1"/>
    <col min="4" max="4" width="33.125" bestFit="1" customWidth="1"/>
    <col min="5" max="5" width="37.125" bestFit="1" customWidth="1"/>
  </cols>
  <sheetData>
    <row r="1" spans="1:4" x14ac:dyDescent="0.25">
      <c r="A1" s="1" t="s">
        <v>85</v>
      </c>
    </row>
    <row r="2" spans="1:4" x14ac:dyDescent="0.25">
      <c r="A2" t="s">
        <v>43</v>
      </c>
      <c r="B2" t="s">
        <v>52</v>
      </c>
      <c r="C2" t="s">
        <v>66</v>
      </c>
      <c r="D2" t="s">
        <v>68</v>
      </c>
    </row>
    <row r="3" spans="1:4" x14ac:dyDescent="0.25">
      <c r="A3" t="s">
        <v>44</v>
      </c>
      <c r="B3" t="s">
        <v>46</v>
      </c>
      <c r="C3" t="s">
        <v>50</v>
      </c>
      <c r="D3">
        <v>1</v>
      </c>
    </row>
    <row r="4" spans="1:4" x14ac:dyDescent="0.25">
      <c r="A4" t="s">
        <v>45</v>
      </c>
      <c r="B4" t="s">
        <v>47</v>
      </c>
      <c r="C4" t="s">
        <v>51</v>
      </c>
      <c r="D4">
        <v>2</v>
      </c>
    </row>
    <row r="5" spans="1:4" x14ac:dyDescent="0.25">
      <c r="B5" t="s">
        <v>48</v>
      </c>
      <c r="D5">
        <v>3</v>
      </c>
    </row>
    <row r="6" spans="1:4" x14ac:dyDescent="0.25">
      <c r="B6" t="s">
        <v>84</v>
      </c>
      <c r="D6">
        <v>4</v>
      </c>
    </row>
    <row r="7" spans="1:4" x14ac:dyDescent="0.25">
      <c r="D7">
        <v>5</v>
      </c>
    </row>
    <row r="8" spans="1:4" x14ac:dyDescent="0.25">
      <c r="D8">
        <v>6</v>
      </c>
    </row>
    <row r="9" spans="1:4" x14ac:dyDescent="0.25">
      <c r="D9">
        <v>7</v>
      </c>
    </row>
    <row r="10" spans="1:4" x14ac:dyDescent="0.25">
      <c r="D10">
        <v>8</v>
      </c>
    </row>
    <row r="11" spans="1:4" x14ac:dyDescent="0.25">
      <c r="D11">
        <v>9</v>
      </c>
    </row>
    <row r="12" spans="1:4" x14ac:dyDescent="0.25">
      <c r="A12">
        <f>'Lists for Dropdowns'!A37</f>
        <v>0</v>
      </c>
      <c r="D12">
        <v>10</v>
      </c>
    </row>
    <row r="13" spans="1:4" x14ac:dyDescent="0.25">
      <c r="D13">
        <v>11</v>
      </c>
    </row>
    <row r="14" spans="1:4" x14ac:dyDescent="0.25">
      <c r="D14">
        <v>12</v>
      </c>
    </row>
    <row r="15" spans="1:4" x14ac:dyDescent="0.25">
      <c r="A15" t="e">
        <f>IF('Lists for Dropdowns'!A40B9="Continuous Corn","If stover will be removed, what is expected per-acre net revenue from stover?",IF(B10="Corn/Soybean Rotation","If stover will be removed, what is expected per-acre net revenue from stover?",""))</f>
        <v>#NAME?</v>
      </c>
      <c r="D15">
        <v>13</v>
      </c>
    </row>
    <row r="16" spans="1:4" x14ac:dyDescent="0.25">
      <c r="D16">
        <v>14</v>
      </c>
    </row>
    <row r="17" spans="1:5" x14ac:dyDescent="0.25">
      <c r="A17" t="e">
        <f>IF('Lists for Dropdowns'!A42B9="Corn/Soybean Rotation","What is your expected marketing-year average soybean price?","")</f>
        <v>#NAME?</v>
      </c>
      <c r="D17">
        <v>15</v>
      </c>
    </row>
    <row r="18" spans="1:5" x14ac:dyDescent="0.25">
      <c r="D18" t="s">
        <v>69</v>
      </c>
    </row>
    <row r="27" spans="1:5" x14ac:dyDescent="0.25">
      <c r="A27" t="s">
        <v>53</v>
      </c>
      <c r="B27" t="s">
        <v>46</v>
      </c>
      <c r="C27" t="s">
        <v>54</v>
      </c>
      <c r="D27" t="s">
        <v>55</v>
      </c>
      <c r="E27" t="s">
        <v>49</v>
      </c>
    </row>
    <row r="28" spans="1:5" x14ac:dyDescent="0.25">
      <c r="A28">
        <v>1</v>
      </c>
      <c r="B28" t="s">
        <v>56</v>
      </c>
      <c r="C28" t="s">
        <v>58</v>
      </c>
      <c r="D28" t="s">
        <v>58</v>
      </c>
      <c r="E28" t="s">
        <v>62</v>
      </c>
    </row>
    <row r="29" spans="1:5" x14ac:dyDescent="0.25">
      <c r="A29">
        <v>2</v>
      </c>
      <c r="B29" t="s">
        <v>57</v>
      </c>
      <c r="C29" t="s">
        <v>59</v>
      </c>
      <c r="D29" t="s">
        <v>59</v>
      </c>
    </row>
    <row r="30" spans="1:5" x14ac:dyDescent="0.25">
      <c r="A30">
        <v>3</v>
      </c>
      <c r="C30" t="s">
        <v>60</v>
      </c>
      <c r="D30" t="s">
        <v>61</v>
      </c>
    </row>
    <row r="31" spans="1:5" x14ac:dyDescent="0.25">
      <c r="A31">
        <v>4</v>
      </c>
      <c r="C31" t="s">
        <v>65</v>
      </c>
      <c r="D31" t="s">
        <v>60</v>
      </c>
    </row>
    <row r="32" spans="1:5" x14ac:dyDescent="0.25">
      <c r="A32">
        <v>5</v>
      </c>
      <c r="D32" t="s">
        <v>63</v>
      </c>
    </row>
    <row r="33" spans="1:4" x14ac:dyDescent="0.25">
      <c r="D33" t="s">
        <v>64</v>
      </c>
    </row>
    <row r="38" spans="1:4" x14ac:dyDescent="0.25">
      <c r="A38" t="s">
        <v>70</v>
      </c>
    </row>
    <row r="39" spans="1:4" x14ac:dyDescent="0.25">
      <c r="A39" t="s">
        <v>71</v>
      </c>
    </row>
    <row r="40" spans="1:4" x14ac:dyDescent="0.25">
      <c r="A40" t="s">
        <v>72</v>
      </c>
    </row>
    <row r="41" spans="1:4" x14ac:dyDescent="0.25">
      <c r="A41" t="s">
        <v>73</v>
      </c>
    </row>
    <row r="42" spans="1:4" x14ac:dyDescent="0.25">
      <c r="A42" t="s">
        <v>74</v>
      </c>
    </row>
    <row r="43" spans="1:4" x14ac:dyDescent="0.25">
      <c r="A43" t="s">
        <v>75</v>
      </c>
    </row>
  </sheetData>
  <pageMargins left="0.7" right="0.7"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8</vt:i4>
      </vt:variant>
    </vt:vector>
  </HeadingPairs>
  <TitlesOfParts>
    <vt:vector size="15" baseType="lpstr">
      <vt:lpstr>Your Production Estimates</vt:lpstr>
      <vt:lpstr>Default Values</vt:lpstr>
      <vt:lpstr>Advanced Inputs</vt:lpstr>
      <vt:lpstr>Resources &amp; Guide</vt:lpstr>
      <vt:lpstr>Sheet1</vt:lpstr>
      <vt:lpstr>Lists for Dropdowns</vt:lpstr>
      <vt:lpstr>Chart Comparison of Returns</vt:lpstr>
      <vt:lpstr>CroppingHistory</vt:lpstr>
      <vt:lpstr>'Advanced Inputs'!Print_Area</vt:lpstr>
      <vt:lpstr>'Default Values'!Print_Area</vt:lpstr>
      <vt:lpstr>'Lists for Dropdowns'!Print_Area</vt:lpstr>
      <vt:lpstr>'Your Production Estimates'!Print_Area</vt:lpstr>
      <vt:lpstr>Role</vt:lpstr>
      <vt:lpstr>Years</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2016-06-27T18:49:43Z</dcterms:modified>
</cp:coreProperties>
</file>