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liisa/Desktop/Websites2022/agdm2022/crops/xls/"/>
    </mc:Choice>
  </mc:AlternateContent>
  <xr:revisionPtr revIDLastSave="0" documentId="8_{8AEAE1AF-5720-414F-9939-69683D8C2806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Example" sheetId="1" r:id="rId1"/>
    <sheet name="Blank" sheetId="2" r:id="rId2"/>
  </sheets>
  <definedNames>
    <definedName name="_xlnm.Print_Area" localSheetId="1">Blank!$A$1:$Q$68</definedName>
    <definedName name="_xlnm.Print_Area" localSheetId="0">Example!$A$1:$Q$68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2" l="1"/>
  <c r="L64" i="2"/>
  <c r="N64" i="2" s="1"/>
  <c r="K64" i="2"/>
  <c r="M64" i="2" s="1"/>
  <c r="L63" i="2"/>
  <c r="N63" i="2" s="1"/>
  <c r="K63" i="2"/>
  <c r="M63" i="2" s="1"/>
  <c r="L62" i="2"/>
  <c r="N62" i="2" s="1"/>
  <c r="K62" i="2"/>
  <c r="M62" i="2" s="1"/>
  <c r="L61" i="2"/>
  <c r="N61" i="2" s="1"/>
  <c r="K61" i="2"/>
  <c r="M61" i="2" s="1"/>
  <c r="L60" i="2"/>
  <c r="N60" i="2" s="1"/>
  <c r="K60" i="2"/>
  <c r="M60" i="2" s="1"/>
  <c r="L59" i="2"/>
  <c r="N59" i="2" s="1"/>
  <c r="K59" i="2"/>
  <c r="M59" i="2" s="1"/>
  <c r="L58" i="2"/>
  <c r="N58" i="2" s="1"/>
  <c r="K58" i="2"/>
  <c r="M58" i="2" s="1"/>
  <c r="L57" i="2"/>
  <c r="N57" i="2" s="1"/>
  <c r="K57" i="2"/>
  <c r="M57" i="2" s="1"/>
  <c r="L56" i="2"/>
  <c r="N56" i="2" s="1"/>
  <c r="K56" i="2"/>
  <c r="M56" i="2" s="1"/>
  <c r="L55" i="2"/>
  <c r="N55" i="2" s="1"/>
  <c r="K55" i="2"/>
  <c r="M55" i="2" s="1"/>
  <c r="L54" i="2"/>
  <c r="N54" i="2" s="1"/>
  <c r="K54" i="2"/>
  <c r="M54" i="2" s="1"/>
  <c r="L53" i="2"/>
  <c r="N53" i="2" s="1"/>
  <c r="K53" i="2"/>
  <c r="M53" i="2" s="1"/>
  <c r="F45" i="2"/>
  <c r="C45" i="2"/>
  <c r="C42" i="2"/>
  <c r="C41" i="2"/>
  <c r="F40" i="2"/>
  <c r="C40" i="2"/>
  <c r="F39" i="2"/>
  <c r="C39" i="2"/>
  <c r="C38" i="2"/>
  <c r="C37" i="2"/>
  <c r="F36" i="2"/>
  <c r="C36" i="2"/>
  <c r="F32" i="2"/>
  <c r="F31" i="2"/>
  <c r="F42" i="2" s="1"/>
  <c r="F29" i="2"/>
  <c r="F41" i="2" s="1"/>
  <c r="G13" i="2"/>
  <c r="G45" i="2" s="1"/>
  <c r="D13" i="2"/>
  <c r="D35" i="2" s="1"/>
  <c r="G12" i="2"/>
  <c r="F12" i="2"/>
  <c r="F37" i="2" s="1"/>
  <c r="D12" i="2"/>
  <c r="G11" i="2"/>
  <c r="D11" i="2"/>
  <c r="D38" i="2" s="1"/>
  <c r="G10" i="2"/>
  <c r="D10" i="2"/>
  <c r="C53" i="2" l="1"/>
  <c r="G62" i="2"/>
  <c r="C43" i="2"/>
  <c r="C46" i="2" s="1"/>
  <c r="C64" i="2"/>
  <c r="D37" i="2"/>
  <c r="F43" i="2"/>
  <c r="F48" i="2" s="1"/>
  <c r="C63" i="2"/>
  <c r="F62" i="2"/>
  <c r="F64" i="2"/>
  <c r="F58" i="2"/>
  <c r="F56" i="2"/>
  <c r="D43" i="2"/>
  <c r="D48" i="2" s="1"/>
  <c r="C54" i="2"/>
  <c r="C56" i="2"/>
  <c r="C59" i="2"/>
  <c r="D53" i="2"/>
  <c r="D54" i="2"/>
  <c r="D55" i="2"/>
  <c r="D56" i="2"/>
  <c r="D57" i="2"/>
  <c r="D58" i="2"/>
  <c r="D59" i="2"/>
  <c r="D60" i="2"/>
  <c r="D61" i="2"/>
  <c r="D62" i="2"/>
  <c r="D63" i="2"/>
  <c r="D64" i="2"/>
  <c r="F53" i="2"/>
  <c r="F54" i="2"/>
  <c r="F55" i="2"/>
  <c r="F57" i="2"/>
  <c r="F59" i="2"/>
  <c r="F60" i="2"/>
  <c r="F61" i="2"/>
  <c r="F63" i="2"/>
  <c r="G55" i="2"/>
  <c r="G59" i="2"/>
  <c r="G63" i="2"/>
  <c r="D45" i="2"/>
  <c r="G54" i="2"/>
  <c r="G57" i="2"/>
  <c r="G58" i="2"/>
  <c r="G61" i="2"/>
  <c r="G64" i="2"/>
  <c r="G37" i="2"/>
  <c r="G53" i="2"/>
  <c r="G56" i="2"/>
  <c r="G60" i="2"/>
  <c r="G35" i="2"/>
  <c r="C55" i="2"/>
  <c r="C57" i="2"/>
  <c r="C58" i="2"/>
  <c r="C60" i="2"/>
  <c r="C61" i="2"/>
  <c r="C62" i="2"/>
  <c r="C39" i="1"/>
  <c r="F46" i="2" l="1"/>
  <c r="G43" i="2"/>
  <c r="G46" i="2" s="1"/>
  <c r="C48" i="2"/>
  <c r="D46" i="2"/>
  <c r="K56" i="1"/>
  <c r="G48" i="2" l="1"/>
  <c r="C38" i="1"/>
  <c r="F12" i="1" l="1"/>
  <c r="C45" i="1" l="1"/>
  <c r="L64" i="1"/>
  <c r="N64" i="1" s="1"/>
  <c r="K64" i="1"/>
  <c r="M64" i="1" s="1"/>
  <c r="L63" i="1"/>
  <c r="N63" i="1" s="1"/>
  <c r="K63" i="1"/>
  <c r="M63" i="1" s="1"/>
  <c r="L62" i="1"/>
  <c r="N62" i="1" s="1"/>
  <c r="K62" i="1"/>
  <c r="M62" i="1" s="1"/>
  <c r="L61" i="1"/>
  <c r="N61" i="1" s="1"/>
  <c r="K61" i="1"/>
  <c r="M61" i="1" s="1"/>
  <c r="L60" i="1"/>
  <c r="N60" i="1" s="1"/>
  <c r="K60" i="1"/>
  <c r="M60" i="1" s="1"/>
  <c r="L59" i="1"/>
  <c r="N59" i="1" s="1"/>
  <c r="K59" i="1"/>
  <c r="M59" i="1" s="1"/>
  <c r="L58" i="1"/>
  <c r="N58" i="1" s="1"/>
  <c r="K58" i="1"/>
  <c r="M58" i="1" s="1"/>
  <c r="L57" i="1"/>
  <c r="N57" i="1" s="1"/>
  <c r="K57" i="1"/>
  <c r="M57" i="1" s="1"/>
  <c r="L56" i="1"/>
  <c r="N56" i="1" s="1"/>
  <c r="M56" i="1"/>
  <c r="L55" i="1"/>
  <c r="N55" i="1" s="1"/>
  <c r="K55" i="1"/>
  <c r="M55" i="1" s="1"/>
  <c r="L54" i="1"/>
  <c r="N54" i="1" s="1"/>
  <c r="K54" i="1"/>
  <c r="M54" i="1" s="1"/>
  <c r="L53" i="1"/>
  <c r="N53" i="1" s="1"/>
  <c r="K53" i="1"/>
  <c r="M53" i="1" s="1"/>
  <c r="G13" i="1"/>
  <c r="G35" i="1" s="1"/>
  <c r="G11" i="1"/>
  <c r="G12" i="1"/>
  <c r="F36" i="1"/>
  <c r="F39" i="1"/>
  <c r="F40" i="1"/>
  <c r="F29" i="1"/>
  <c r="F41" i="1" s="1"/>
  <c r="F31" i="1"/>
  <c r="F42" i="1" s="1"/>
  <c r="D13" i="1"/>
  <c r="D35" i="1" s="1"/>
  <c r="D11" i="1"/>
  <c r="D38" i="1" s="1"/>
  <c r="D12" i="1"/>
  <c r="F32" i="1"/>
  <c r="C40" i="1"/>
  <c r="C41" i="1"/>
  <c r="C42" i="1"/>
  <c r="F45" i="1"/>
  <c r="C36" i="1"/>
  <c r="C37" i="1"/>
  <c r="G10" i="1"/>
  <c r="D10" i="1"/>
  <c r="A78" i="1"/>
  <c r="C54" i="1" l="1"/>
  <c r="C59" i="1"/>
  <c r="C57" i="1"/>
  <c r="C56" i="1"/>
  <c r="C60" i="1"/>
  <c r="C58" i="1"/>
  <c r="C64" i="1"/>
  <c r="C53" i="1"/>
  <c r="C55" i="1"/>
  <c r="C61" i="1"/>
  <c r="G45" i="1"/>
  <c r="G57" i="1"/>
  <c r="C62" i="1"/>
  <c r="D45" i="1"/>
  <c r="D37" i="1"/>
  <c r="D43" i="1" s="1"/>
  <c r="D48" i="1" s="1"/>
  <c r="F63" i="1"/>
  <c r="G61" i="1"/>
  <c r="G64" i="1"/>
  <c r="D57" i="1"/>
  <c r="F61" i="1"/>
  <c r="G55" i="1"/>
  <c r="G60" i="1"/>
  <c r="F37" i="1"/>
  <c r="F43" i="1" s="1"/>
  <c r="G37" i="1"/>
  <c r="G43" i="1" s="1"/>
  <c r="F58" i="1"/>
  <c r="F62" i="1"/>
  <c r="D54" i="1"/>
  <c r="D61" i="1"/>
  <c r="C43" i="1"/>
  <c r="D55" i="1"/>
  <c r="F53" i="1"/>
  <c r="C63" i="1"/>
  <c r="F59" i="1"/>
  <c r="D58" i="1"/>
  <c r="D62" i="1"/>
  <c r="G56" i="1"/>
  <c r="F54" i="1"/>
  <c r="G53" i="1"/>
  <c r="F56" i="1"/>
  <c r="F60" i="1"/>
  <c r="F64" i="1"/>
  <c r="D59" i="1"/>
  <c r="D63" i="1"/>
  <c r="G58" i="1"/>
  <c r="G62" i="1"/>
  <c r="D53" i="1"/>
  <c r="F55" i="1"/>
  <c r="G54" i="1"/>
  <c r="F57" i="1"/>
  <c r="D56" i="1"/>
  <c r="D60" i="1"/>
  <c r="D64" i="1"/>
  <c r="G59" i="1"/>
  <c r="G63" i="1"/>
  <c r="D46" i="1" l="1"/>
  <c r="F48" i="1"/>
  <c r="F46" i="1"/>
  <c r="G48" i="1"/>
  <c r="G46" i="1"/>
  <c r="C46" i="1"/>
  <c r="C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Edwards</author>
  </authors>
  <commentList>
    <comment ref="C32" authorId="0" shapeId="0" xr:uid="{00000000-0006-0000-0000-000001000000}">
      <text>
        <r>
          <rPr>
            <sz val="8"/>
            <color indexed="81"/>
            <rFont val="Tahoma"/>
            <family val="2"/>
          </rPr>
          <t>Total of federal, state and self-employment tax rates. 
Enter value if you wish to show the value of deferring 
income taxes for one year.</t>
        </r>
      </text>
    </comment>
    <comment ref="B45" authorId="0" shapeId="0" xr:uid="{00000000-0006-0000-0000-000002000000}">
      <text>
        <r>
          <rPr>
            <sz val="8"/>
            <color indexed="81"/>
            <rFont val="Tahoma"/>
            <family val="2"/>
          </rPr>
          <t>Value of interest earned or saved by deferring 
taxation of grain sales for one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Edwards</author>
  </authors>
  <commentList>
    <comment ref="C32" authorId="0" shapeId="0" xr:uid="{00000000-0006-0000-0100-000001000000}">
      <text>
        <r>
          <rPr>
            <sz val="8"/>
            <color indexed="81"/>
            <rFont val="Tahoma"/>
            <family val="2"/>
          </rPr>
          <t>Total of federal, state and self-employment tax rates. 
Enter value if you wish to show the value of deferring 
income taxes for one year.</t>
        </r>
      </text>
    </comment>
    <comment ref="B45" authorId="0" shapeId="0" xr:uid="{00000000-0006-0000-0100-000002000000}">
      <text>
        <r>
          <rPr>
            <sz val="8"/>
            <color indexed="81"/>
            <rFont val="Tahoma"/>
            <family val="2"/>
          </rPr>
          <t>Value of interest earned or saved by deferring 
taxation of grain sales for one year.</t>
        </r>
      </text>
    </comment>
  </commentList>
</comments>
</file>

<file path=xl/sharedStrings.xml><?xml version="1.0" encoding="utf-8"?>
<sst xmlns="http://schemas.openxmlformats.org/spreadsheetml/2006/main" count="210" uniqueCount="76">
  <si>
    <t xml:space="preserve"> </t>
  </si>
  <si>
    <t>Quality deterioration</t>
  </si>
  <si>
    <t>Corn</t>
  </si>
  <si>
    <t>Commercial</t>
  </si>
  <si>
    <t>Soybeans</t>
  </si>
  <si>
    <t>On-Farm</t>
  </si>
  <si>
    <t>Total Cost by Months Stored</t>
  </si>
  <si>
    <t>Farm storage rent</t>
  </si>
  <si>
    <t>Commercial storage charge</t>
  </si>
  <si>
    <t>Interest on grain inventory</t>
  </si>
  <si>
    <t>Total cost of storage</t>
  </si>
  <si>
    <t>Storage Type</t>
  </si>
  <si>
    <t>Month</t>
  </si>
  <si>
    <t>Enter your input values in shaded cells.</t>
  </si>
  <si>
    <t>Date Printed:</t>
  </si>
  <si>
    <t>Moisture level for storage (%)</t>
  </si>
  <si>
    <t>Extra handling cost into and out of farm storage ($/bu.)</t>
  </si>
  <si>
    <t>Fans, total horsepower</t>
  </si>
  <si>
    <t>Hours fans will run, total</t>
  </si>
  <si>
    <t>Electricity rate ($ per KWH)</t>
  </si>
  <si>
    <t>Labor value ($ per hour)</t>
  </si>
  <si>
    <t>Bushels to be stored</t>
  </si>
  <si>
    <t>Electricity</t>
  </si>
  <si>
    <t>Labor</t>
  </si>
  <si>
    <t>Less interest saved from income tax deferral</t>
  </si>
  <si>
    <t>Total cost of storage after interest saving from tax deferral</t>
  </si>
  <si>
    <t>Marginal income tax rate (optional) (%)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</si>
  <si>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</si>
  <si>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</si>
  <si>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</si>
  <si>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</si>
  <si>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</si>
  <si>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</si>
  <si>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</si>
  <si>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</si>
  <si>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</si>
  <si>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</si>
  <si>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</si>
  <si>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</si>
  <si>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Extra drying and shrinkage cost for corn</t>
  </si>
  <si>
    <t>Extra handling and transportation cost</t>
  </si>
  <si>
    <t>Expected Price</t>
  </si>
  <si>
    <t>Expected Storage Gain</t>
  </si>
  <si>
    <t>Monthly Cost of Storing Grain</t>
  </si>
  <si>
    <t>Ag Decision Maker -- Iowa State University Extension and Outreach</t>
  </si>
  <si>
    <t>Prepared by William Edwards, retired economist</t>
  </si>
  <si>
    <t>*Based on Iowa monthly cash prices for 2012-2021 marketing years.</t>
  </si>
  <si>
    <t xml:space="preserve">Expected Price as </t>
  </si>
  <si>
    <t>% of October Price*</t>
  </si>
  <si>
    <t xml:space="preserve">This institution is an equal opportunity provider. For the full non-discrimination statement or accommodation inquiries, go to www.extension.iastate.edu/diversity/ext.
</t>
  </si>
  <si>
    <r>
      <t>Ag Decision Maker File A2-33, Cost of Storing Grain,</t>
    </r>
    <r>
      <rPr>
        <sz val="10"/>
        <rFont val="Arial"/>
        <family val="2"/>
      </rPr>
      <t xml:space="preserve"> has more information on projecting the costs of storing grain past harvest in commercial storage or an existing farm facility.</t>
    </r>
  </si>
  <si>
    <t>Ag Decision Maker File A2-33</t>
  </si>
  <si>
    <r>
      <t>Cash grain price at harvest ($/bushel)</t>
    </r>
    <r>
      <rPr>
        <sz val="8"/>
        <rFont val="Arial"/>
        <family val="2"/>
      </rPr>
      <t xml:space="preserve"> (Selling price that could be obtained without storage.)</t>
    </r>
  </si>
  <si>
    <t>Expected number of months grain will be stored</t>
  </si>
  <si>
    <r>
      <t xml:space="preserve">Base rate ($/bushel) </t>
    </r>
    <r>
      <rPr>
        <sz val="8"/>
        <rFont val="Arial"/>
        <family val="2"/>
      </rPr>
      <t>(Minimum charge for commercial storage)</t>
    </r>
  </si>
  <si>
    <r>
      <t>Base period</t>
    </r>
    <r>
      <rPr>
        <sz val="8"/>
        <rFont val="Arial"/>
        <family val="2"/>
      </rPr>
      <t xml:space="preserve"> (months of storage included in minimum charge)</t>
    </r>
  </si>
  <si>
    <t>Rate per month after base period ($/bushel/month)</t>
  </si>
  <si>
    <r>
      <t xml:space="preserve">Breakeven grain price </t>
    </r>
    <r>
      <rPr>
        <sz val="8"/>
        <rFont val="Arial"/>
        <family val="2"/>
      </rPr>
      <t>(current grain price + total cost of storage)</t>
    </r>
  </si>
  <si>
    <r>
      <rPr>
        <b/>
        <sz val="10"/>
        <rFont val="Arial"/>
        <family val="2"/>
      </rPr>
      <t>Farm storage rent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(leave blank for owned storage)</t>
    </r>
  </si>
  <si>
    <t>Total cost of storage = commercial storage charge + farm storage rent + interest on grain inventory + extra drying cost for corn + extra shrinkage cost for corn + extra handling cost + quality deterioration</t>
  </si>
  <si>
    <t>Commercial storage charge = (base rate + ((storage period - base period) x rate per month)</t>
  </si>
  <si>
    <t>Farm storage rent = fixed rate + (storage period x rate per month)</t>
  </si>
  <si>
    <t>Interest on grain inventory = current grain price x interest rate x (length of storage / 12)</t>
  </si>
  <si>
    <t>Extra drying and shrinkage cost for corn = extra points moisture removed x drying cost per point of moisture</t>
  </si>
  <si>
    <t>Quality deterioration = percentage quality deterioration x grain price</t>
  </si>
  <si>
    <t>Formulas</t>
  </si>
  <si>
    <r>
      <t xml:space="preserve">Storage costs ($ per bushel) </t>
    </r>
    <r>
      <rPr>
        <sz val="9"/>
        <rFont val="Arial"/>
        <family val="2"/>
      </rPr>
      <t>(see footnotes for formulas)</t>
    </r>
  </si>
  <si>
    <t>Drying cost (variable costs for fuel, electricity, $/point removed)</t>
  </si>
  <si>
    <r>
      <t xml:space="preserve">Short-term interest rate (percent) </t>
    </r>
    <r>
      <rPr>
        <sz val="8"/>
        <rFont val="Arial"/>
        <family val="2"/>
      </rPr>
      <t>(Rate on operating credit line or that could be obtained on savings)</t>
    </r>
  </si>
  <si>
    <r>
      <t>Extra transportation cost for farm storage</t>
    </r>
    <r>
      <rPr>
        <sz val="8"/>
        <rFont val="Arial"/>
        <family val="2"/>
      </rPr>
      <t xml:space="preserve"> (over delivering directly to end buyer)</t>
    </r>
  </si>
  <si>
    <r>
      <t xml:space="preserve">Quality deterioration for farm storage (%) </t>
    </r>
    <r>
      <rPr>
        <sz val="8"/>
        <rFont val="Arial"/>
        <family val="2"/>
      </rPr>
      <t>(Usually 0.5-1.0%)</t>
    </r>
  </si>
  <si>
    <r>
      <t xml:space="preserve">Shrink factor (% per point removed) </t>
    </r>
    <r>
      <rPr>
        <sz val="8"/>
        <rFont val="Arial"/>
        <family val="2"/>
      </rPr>
      <t>(usually 1.2-1.4%)</t>
    </r>
  </si>
  <si>
    <r>
      <t xml:space="preserve">Fixed rate ($/bushel/year) </t>
    </r>
    <r>
      <rPr>
        <i/>
        <sz val="8"/>
        <rFont val="Arial"/>
        <family val="2"/>
      </rPr>
      <t>(leave blank if charge is per month)</t>
    </r>
    <r>
      <rPr>
        <sz val="10"/>
        <rFont val="Arial"/>
        <family val="2"/>
      </rPr>
      <t>, or</t>
    </r>
  </si>
  <si>
    <r>
      <t xml:space="preserve">Rate per month ($/bu./month) </t>
    </r>
    <r>
      <rPr>
        <i/>
        <sz val="8"/>
        <rFont val="Arial"/>
        <family val="2"/>
      </rPr>
      <t>(leave blank if charge is per year)</t>
    </r>
  </si>
  <si>
    <t>Additional hours spent managing or monitoring grain (per month)</t>
  </si>
  <si>
    <t>Version 1.3_052023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</si>
</sst>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.0"/>
    <numFmt numFmtId="167" formatCode="&quot;$&quot;#,##0.000"/>
    <numFmt numFmtId="168" formatCode="0.000"/>
    <numFmt numFmtId="169" formatCode="#,##0.000"/>
    <numFmt numFmtId="170" formatCode="_(* #,##0.0_);_(* \(#,##0.0\);_(* &quot;-&quot;??_);_(@_)"/>
    <numFmt numFmtId="171" formatCode="_(* #,##0_);_(* \(#,##0\);_(* &quot;-&quot;??_);_(@_)"/>
    <numFmt numFmtId="172" formatCode="_(* #,##0\ &quot;bu.&quot;_);_(* \(#,##0&quot;bu.&quot;\);_(* &quot;-&quot;??&quot;bu.&quot;_);_(@_)"/>
    <numFmt numFmtId="173" formatCode="_(* #,##0\ &quot;months&quot;_);_(* \(#,##0&quot;months&quot;\);_(* &quot;-&quot;??&quot;months&quot;_);_(@_)"/>
    <numFmt numFmtId="174" formatCode="_(* #,##0.0\ &quot;hours&quot;_);_(* \(#,##0.0\ &quot;hours&quot;\);_(* &quot;-&quot;??_);_(@_)"/>
    <numFmt numFmtId="175" formatCode="&quot;$&quot;#,##0.000_);\(&quot;$&quot;#,##0.000\)"/>
    <numFmt numFmtId="176" formatCode="0_);\(0\)"/>
    <numFmt numFmtId="177" formatCode="#,##0.000_);\(#,##0.000\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6"/>
      <color indexed="63"/>
      <name val="Univers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rgb="FFC0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indexed="63"/>
      <name val="Arial"/>
      <family val="2"/>
    </font>
    <font>
      <b/>
      <sz val="11"/>
      <color indexed="9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6" fontId="3" fillId="0" borderId="0" xfId="0" applyNumberFormat="1" applyFont="1" applyProtection="1">
      <protection locked="0"/>
    </xf>
    <xf numFmtId="164" fontId="3" fillId="0" borderId="0" xfId="0" quotePrefix="1" applyNumberFormat="1" applyFont="1" applyAlignment="1">
      <alignment horizontal="right"/>
    </xf>
    <xf numFmtId="164" fontId="3" fillId="0" borderId="0" xfId="0" applyNumberFormat="1" applyFont="1" applyProtection="1">
      <protection locked="0"/>
    </xf>
    <xf numFmtId="167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8" fontId="3" fillId="0" borderId="0" xfId="0" applyNumberFormat="1" applyFont="1" applyProtection="1">
      <protection locked="0"/>
    </xf>
    <xf numFmtId="167" fontId="3" fillId="0" borderId="0" xfId="0" applyNumberFormat="1" applyFont="1"/>
    <xf numFmtId="169" fontId="3" fillId="0" borderId="0" xfId="0" applyNumberFormat="1" applyFont="1"/>
    <xf numFmtId="168" fontId="3" fillId="0" borderId="0" xfId="0" applyNumberFormat="1" applyFont="1"/>
    <xf numFmtId="0" fontId="4" fillId="0" borderId="0" xfId="0" applyFont="1"/>
    <xf numFmtId="0" fontId="10" fillId="0" borderId="0" xfId="0" applyFont="1" applyAlignment="1">
      <alignment wrapText="1"/>
    </xf>
    <xf numFmtId="0" fontId="9" fillId="0" borderId="0" xfId="3" applyFont="1" applyAlignment="1" applyProtection="1">
      <alignment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right"/>
    </xf>
    <xf numFmtId="14" fontId="1" fillId="0" borderId="0" xfId="0" applyNumberFormat="1" applyFont="1"/>
    <xf numFmtId="1" fontId="3" fillId="0" borderId="0" xfId="0" applyNumberFormat="1" applyFont="1" applyProtection="1">
      <protection locked="0"/>
    </xf>
    <xf numFmtId="0" fontId="3" fillId="0" borderId="0" xfId="0" quotePrefix="1" applyFont="1" applyAlignment="1">
      <alignment horizontal="right"/>
    </xf>
    <xf numFmtId="4" fontId="3" fillId="0" borderId="0" xfId="0" quotePrefix="1" applyNumberFormat="1" applyFont="1" applyAlignment="1">
      <alignment horizontal="right"/>
    </xf>
    <xf numFmtId="165" fontId="3" fillId="0" borderId="0" xfId="4" applyNumberFormat="1" applyFont="1" applyFill="1" applyBorder="1" applyProtection="1">
      <protection locked="0"/>
    </xf>
    <xf numFmtId="171" fontId="3" fillId="0" borderId="0" xfId="1" applyNumberFormat="1" applyFont="1" applyFill="1" applyBorder="1" applyAlignment="1">
      <alignment horizontal="center"/>
    </xf>
    <xf numFmtId="9" fontId="3" fillId="0" borderId="0" xfId="4" applyFont="1"/>
    <xf numFmtId="170" fontId="3" fillId="0" borderId="0" xfId="1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171" fontId="3" fillId="0" borderId="0" xfId="1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3" xfId="0" quotePrefix="1" applyNumberFormat="1" applyFont="1" applyFill="1" applyBorder="1" applyAlignment="1">
      <alignment horizontal="right"/>
    </xf>
    <xf numFmtId="164" fontId="3" fillId="0" borderId="2" xfId="0" quotePrefix="1" applyNumberFormat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164" fontId="3" fillId="2" borderId="1" xfId="0" applyNumberFormat="1" applyFont="1" applyFill="1" applyBorder="1" applyProtection="1">
      <protection locked="0"/>
    </xf>
    <xf numFmtId="4" fontId="3" fillId="3" borderId="3" xfId="0" quotePrefix="1" applyNumberFormat="1" applyFont="1" applyFill="1" applyBorder="1" applyAlignment="1">
      <alignment horizontal="right"/>
    </xf>
    <xf numFmtId="165" fontId="3" fillId="2" borderId="1" xfId="4" applyNumberFormat="1" applyFont="1" applyFill="1" applyBorder="1" applyProtection="1">
      <protection locked="0"/>
    </xf>
    <xf numFmtId="165" fontId="3" fillId="2" borderId="4" xfId="4" applyNumberFormat="1" applyFont="1" applyFill="1" applyBorder="1" applyProtection="1">
      <protection locked="0"/>
    </xf>
    <xf numFmtId="167" fontId="3" fillId="0" borderId="3" xfId="0" applyNumberFormat="1" applyFont="1" applyBorder="1" applyProtection="1">
      <protection locked="0"/>
    </xf>
    <xf numFmtId="165" fontId="3" fillId="0" borderId="3" xfId="0" applyNumberFormat="1" applyFont="1" applyBorder="1" applyProtection="1">
      <protection locked="0"/>
    </xf>
    <xf numFmtId="170" fontId="3" fillId="2" borderId="1" xfId="1" applyNumberFormat="1" applyFont="1" applyFill="1" applyBorder="1" applyProtection="1">
      <protection locked="0"/>
    </xf>
    <xf numFmtId="171" fontId="3" fillId="2" borderId="1" xfId="1" applyNumberFormat="1" applyFont="1" applyFill="1" applyBorder="1" applyProtection="1">
      <protection locked="0"/>
    </xf>
    <xf numFmtId="171" fontId="3" fillId="0" borderId="3" xfId="1" applyNumberFormat="1" applyFont="1" applyFill="1" applyBorder="1" applyProtection="1">
      <protection locked="0"/>
    </xf>
    <xf numFmtId="170" fontId="3" fillId="0" borderId="3" xfId="1" applyNumberFormat="1" applyFont="1" applyFill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3" fillId="0" borderId="3" xfId="0" applyFont="1" applyBorder="1"/>
    <xf numFmtId="9" fontId="3" fillId="0" borderId="2" xfId="4" applyFont="1" applyFill="1" applyBorder="1"/>
    <xf numFmtId="0" fontId="3" fillId="0" borderId="2" xfId="0" applyFont="1" applyBorder="1"/>
    <xf numFmtId="0" fontId="3" fillId="0" borderId="2" xfId="0" quotePrefix="1" applyFont="1" applyBorder="1" applyAlignment="1">
      <alignment horizontal="right"/>
    </xf>
    <xf numFmtId="166" fontId="3" fillId="0" borderId="2" xfId="0" applyNumberFormat="1" applyFont="1" applyBorder="1" applyProtection="1">
      <protection locked="0"/>
    </xf>
    <xf numFmtId="166" fontId="3" fillId="0" borderId="3" xfId="0" applyNumberFormat="1" applyFont="1" applyBorder="1" applyProtection="1">
      <protection locked="0"/>
    </xf>
    <xf numFmtId="2" fontId="3" fillId="0" borderId="2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9" fontId="3" fillId="0" borderId="2" xfId="0" applyNumberFormat="1" applyFont="1" applyBorder="1"/>
    <xf numFmtId="10" fontId="3" fillId="2" borderId="1" xfId="4" applyNumberFormat="1" applyFont="1" applyFill="1" applyBorder="1" applyProtection="1">
      <protection locked="0"/>
    </xf>
    <xf numFmtId="10" fontId="3" fillId="2" borderId="4" xfId="4" applyNumberFormat="1" applyFont="1" applyFill="1" applyBorder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173" fontId="3" fillId="2" borderId="1" xfId="0" applyNumberFormat="1" applyFont="1" applyFill="1" applyBorder="1" applyProtection="1">
      <protection locked="0"/>
    </xf>
    <xf numFmtId="174" fontId="3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7" fontId="3" fillId="2" borderId="1" xfId="0" applyNumberFormat="1" applyFont="1" applyFill="1" applyBorder="1" applyAlignment="1" applyProtection="1">
      <alignment horizontal="right"/>
      <protection locked="0"/>
    </xf>
    <xf numFmtId="7" fontId="3" fillId="2" borderId="4" xfId="0" applyNumberFormat="1" applyFont="1" applyFill="1" applyBorder="1" applyProtection="1">
      <protection locked="0"/>
    </xf>
    <xf numFmtId="175" fontId="3" fillId="2" borderId="4" xfId="0" applyNumberFormat="1" applyFont="1" applyFill="1" applyBorder="1" applyProtection="1">
      <protection locked="0"/>
    </xf>
    <xf numFmtId="176" fontId="3" fillId="2" borderId="4" xfId="0" applyNumberFormat="1" applyFont="1" applyFill="1" applyBorder="1" applyProtection="1">
      <protection locked="0"/>
    </xf>
    <xf numFmtId="175" fontId="3" fillId="2" borderId="1" xfId="0" applyNumberFormat="1" applyFont="1" applyFill="1" applyBorder="1" applyProtection="1">
      <protection locked="0"/>
    </xf>
    <xf numFmtId="175" fontId="3" fillId="2" borderId="1" xfId="2" applyNumberFormat="1" applyFont="1" applyFill="1" applyBorder="1" applyProtection="1">
      <protection locked="0"/>
    </xf>
    <xf numFmtId="175" fontId="3" fillId="0" borderId="2" xfId="2" applyNumberFormat="1" applyFont="1" applyFill="1" applyBorder="1" applyProtection="1">
      <protection locked="0"/>
    </xf>
    <xf numFmtId="7" fontId="3" fillId="2" borderId="1" xfId="0" applyNumberFormat="1" applyFont="1" applyFill="1" applyBorder="1" applyProtection="1">
      <protection locked="0"/>
    </xf>
    <xf numFmtId="7" fontId="3" fillId="0" borderId="2" xfId="0" applyNumberFormat="1" applyFont="1" applyBorder="1" applyProtection="1">
      <protection locked="0"/>
    </xf>
    <xf numFmtId="172" fontId="3" fillId="2" borderId="1" xfId="1" applyNumberFormat="1" applyFont="1" applyFill="1" applyBorder="1" applyAlignment="1" applyProtection="1">
      <alignment horizontal="center"/>
      <protection locked="0"/>
    </xf>
    <xf numFmtId="9" fontId="3" fillId="2" borderId="1" xfId="4" applyFont="1" applyFill="1" applyBorder="1" applyProtection="1">
      <protection locked="0"/>
    </xf>
    <xf numFmtId="172" fontId="3" fillId="0" borderId="3" xfId="1" applyNumberFormat="1" applyFont="1" applyBorder="1" applyAlignment="1" applyProtection="1">
      <alignment horizontal="center"/>
    </xf>
    <xf numFmtId="7" fontId="3" fillId="0" borderId="3" xfId="0" applyNumberFormat="1" applyFont="1" applyBorder="1" applyAlignment="1">
      <alignment horizontal="right"/>
    </xf>
    <xf numFmtId="165" fontId="3" fillId="0" borderId="3" xfId="4" applyNumberFormat="1" applyFont="1" applyFill="1" applyBorder="1" applyAlignment="1" applyProtection="1">
      <alignment horizontal="right"/>
    </xf>
    <xf numFmtId="173" fontId="3" fillId="0" borderId="3" xfId="1" applyNumberFormat="1" applyFont="1" applyFill="1" applyBorder="1" applyAlignment="1" applyProtection="1">
      <alignment horizontal="right"/>
    </xf>
    <xf numFmtId="165" fontId="3" fillId="0" borderId="3" xfId="4" applyNumberFormat="1" applyFont="1" applyFill="1" applyBorder="1" applyProtection="1"/>
    <xf numFmtId="173" fontId="3" fillId="0" borderId="3" xfId="0" applyNumberFormat="1" applyFont="1" applyBorder="1"/>
    <xf numFmtId="175" fontId="3" fillId="0" borderId="3" xfId="0" applyNumberFormat="1" applyFont="1" applyBorder="1"/>
    <xf numFmtId="175" fontId="3" fillId="0" borderId="2" xfId="0" quotePrefix="1" applyNumberFormat="1" applyFont="1" applyBorder="1" applyAlignment="1">
      <alignment horizontal="right"/>
    </xf>
    <xf numFmtId="164" fontId="3" fillId="0" borderId="3" xfId="0" quotePrefix="1" applyNumberFormat="1" applyFont="1" applyBorder="1" applyAlignment="1">
      <alignment horizontal="right"/>
    </xf>
    <xf numFmtId="177" fontId="3" fillId="0" borderId="2" xfId="0" applyNumberFormat="1" applyFont="1" applyBorder="1"/>
    <xf numFmtId="177" fontId="3" fillId="0" borderId="3" xfId="0" applyNumberFormat="1" applyFont="1" applyBorder="1"/>
    <xf numFmtId="168" fontId="3" fillId="0" borderId="3" xfId="0" applyNumberFormat="1" applyFont="1" applyBorder="1"/>
    <xf numFmtId="169" fontId="3" fillId="0" borderId="3" xfId="0" applyNumberFormat="1" applyFont="1" applyBorder="1"/>
    <xf numFmtId="177" fontId="5" fillId="0" borderId="2" xfId="0" applyNumberFormat="1" applyFont="1" applyBorder="1"/>
    <xf numFmtId="169" fontId="5" fillId="0" borderId="3" xfId="0" applyNumberFormat="1" applyFont="1" applyBorder="1"/>
    <xf numFmtId="169" fontId="5" fillId="0" borderId="0" xfId="0" applyNumberFormat="1" applyFont="1"/>
    <xf numFmtId="175" fontId="3" fillId="0" borderId="2" xfId="0" applyNumberFormat="1" applyFont="1" applyBorder="1"/>
    <xf numFmtId="167" fontId="3" fillId="0" borderId="2" xfId="0" applyNumberFormat="1" applyFont="1" applyBorder="1"/>
    <xf numFmtId="167" fontId="3" fillId="0" borderId="3" xfId="0" applyNumberFormat="1" applyFont="1" applyBorder="1"/>
    <xf numFmtId="7" fontId="3" fillId="0" borderId="11" xfId="0" applyNumberFormat="1" applyFont="1" applyBorder="1"/>
    <xf numFmtId="7" fontId="3" fillId="0" borderId="12" xfId="0" applyNumberFormat="1" applyFont="1" applyBorder="1"/>
    <xf numFmtId="164" fontId="3" fillId="0" borderId="0" xfId="0" applyNumberFormat="1" applyFont="1"/>
    <xf numFmtId="165" fontId="3" fillId="0" borderId="2" xfId="4" applyNumberFormat="1" applyFont="1" applyFill="1" applyBorder="1" applyProtection="1"/>
    <xf numFmtId="0" fontId="8" fillId="0" borderId="0" xfId="3" applyAlignment="1" applyProtection="1">
      <alignment horizontal="left" wrapText="1" indent="1"/>
    </xf>
    <xf numFmtId="0" fontId="11" fillId="5" borderId="5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6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17" fillId="0" borderId="0" xfId="0" applyFont="1"/>
    <xf numFmtId="0" fontId="13" fillId="4" borderId="7" xfId="0" applyFont="1" applyFill="1" applyBorder="1"/>
    <xf numFmtId="0" fontId="18" fillId="4" borderId="6" xfId="0" applyFont="1" applyFill="1" applyBorder="1" applyAlignment="1">
      <alignment horizontal="left" indent="6"/>
    </xf>
    <xf numFmtId="0" fontId="18" fillId="4" borderId="6" xfId="0" applyFont="1" applyFill="1" applyBorder="1" applyAlignment="1">
      <alignment horizontal="left" indent="5"/>
    </xf>
    <xf numFmtId="0" fontId="8" fillId="0" borderId="0" xfId="3" applyAlignment="1" applyProtection="1">
      <alignment horizontal="left" indent="1"/>
    </xf>
    <xf numFmtId="0" fontId="1" fillId="0" borderId="0" xfId="0" applyFont="1" applyAlignment="1">
      <alignment horizontal="left" indent="1"/>
    </xf>
    <xf numFmtId="0" fontId="14" fillId="0" borderId="0" xfId="3" applyFont="1" applyAlignment="1" applyProtection="1">
      <alignment horizontal="left" indent="1"/>
    </xf>
    <xf numFmtId="0" fontId="1" fillId="0" borderId="0" xfId="3" applyFont="1" applyAlignment="1" applyProtection="1">
      <alignment horizontal="left" indent="1"/>
    </xf>
    <xf numFmtId="14" fontId="1" fillId="0" borderId="0" xfId="0" applyNumberFormat="1" applyFont="1" applyAlignment="1">
      <alignment horizontal="left" indent="1"/>
    </xf>
    <xf numFmtId="0" fontId="15" fillId="0" borderId="0" xfId="3" applyFont="1" applyBorder="1" applyAlignment="1" applyProtection="1">
      <alignment horizontal="left" indent="1"/>
    </xf>
    <xf numFmtId="0" fontId="12" fillId="4" borderId="13" xfId="0" applyFont="1" applyFill="1" applyBorder="1" applyAlignment="1">
      <alignment horizontal="left" indent="1"/>
    </xf>
    <xf numFmtId="0" fontId="12" fillId="4" borderId="13" xfId="0" applyFont="1" applyFill="1" applyBorder="1"/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right"/>
    </xf>
    <xf numFmtId="0" fontId="11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5"/>
    </xf>
    <xf numFmtId="0" fontId="2" fillId="0" borderId="0" xfId="0" applyFont="1" applyAlignment="1">
      <alignment horizontal="left" indent="6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Storage Costs for Corn</a:t>
            </a:r>
          </a:p>
        </c:rich>
      </c:tx>
      <c:layout>
        <c:manualLayout>
          <c:xMode val="edge"/>
          <c:yMode val="edge"/>
          <c:x val="0.34084816389495065"/>
          <c:y val="4.1679143584368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62620941276965"/>
          <c:y val="0.22026490942304688"/>
          <c:w val="0.85809157490061938"/>
          <c:h val="0.62286440007860455"/>
        </c:manualLayout>
      </c:layout>
      <c:lineChart>
        <c:grouping val="standard"/>
        <c:varyColors val="0"/>
        <c:ser>
          <c:idx val="0"/>
          <c:order val="0"/>
          <c:tx>
            <c:strRef>
              <c:f>Example!$D$52</c:f>
              <c:strCache>
                <c:ptCount val="1"/>
                <c:pt idx="0">
                  <c:v>Commercial</c:v>
                </c:pt>
              </c:strCache>
            </c:strRef>
          </c:tx>
          <c:cat>
            <c:strRef>
              <c:f>Example!$B$53:$B$64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Example!$D$53:$D$64</c:f>
              <c:numCache>
                <c:formatCode>"$"#,##0.00</c:formatCode>
                <c:ptCount val="12"/>
                <c:pt idx="0">
                  <c:v>0.24587916666666637</c:v>
                </c:pt>
                <c:pt idx="1">
                  <c:v>0.28450833333333303</c:v>
                </c:pt>
                <c:pt idx="2">
                  <c:v>0.32313749999999969</c:v>
                </c:pt>
                <c:pt idx="3">
                  <c:v>0.2818791666666664</c:v>
                </c:pt>
                <c:pt idx="4">
                  <c:v>0.35650833333333304</c:v>
                </c:pt>
                <c:pt idx="5">
                  <c:v>0.43113749999999967</c:v>
                </c:pt>
                <c:pt idx="6">
                  <c:v>0.50576666666666625</c:v>
                </c:pt>
                <c:pt idx="7">
                  <c:v>0.580395833333333</c:v>
                </c:pt>
                <c:pt idx="8">
                  <c:v>0.65502499999999964</c:v>
                </c:pt>
                <c:pt idx="9">
                  <c:v>0.72965416666666638</c:v>
                </c:pt>
                <c:pt idx="10">
                  <c:v>0.80428333333333291</c:v>
                </c:pt>
                <c:pt idx="11">
                  <c:v>0.87891249999999965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8-4208-AAC3-6CDB1A87AB5D}"/>
            </c:ext>
          </c:extLst>
        </c:ser>
        <c:ser>
          <c:idx val="1"/>
          <c:order val="1"/>
          <c:tx>
            <c:strRef>
              <c:f>Example!$C$52</c:f>
              <c:strCache>
                <c:ptCount val="1"/>
                <c:pt idx="0">
                  <c:v>On-Farm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Example!$B$53:$B$64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Example!$C$53:$C$64</c:f>
              <c:numCache>
                <c:formatCode>"$"#,##0.00</c:formatCode>
                <c:ptCount val="12"/>
                <c:pt idx="0">
                  <c:v>0.45943166666666657</c:v>
                </c:pt>
                <c:pt idx="1">
                  <c:v>0.49806083333333323</c:v>
                </c:pt>
                <c:pt idx="2">
                  <c:v>0.53668999999999989</c:v>
                </c:pt>
                <c:pt idx="3">
                  <c:v>0.45943166666666663</c:v>
                </c:pt>
                <c:pt idx="4">
                  <c:v>0.49806083333333323</c:v>
                </c:pt>
                <c:pt idx="5">
                  <c:v>0.53668999999999989</c:v>
                </c:pt>
                <c:pt idx="6">
                  <c:v>0.57531916666666649</c:v>
                </c:pt>
                <c:pt idx="7">
                  <c:v>0.61394833333333321</c:v>
                </c:pt>
                <c:pt idx="8">
                  <c:v>0.65257749999999992</c:v>
                </c:pt>
                <c:pt idx="9">
                  <c:v>0.69120666666666652</c:v>
                </c:pt>
                <c:pt idx="10">
                  <c:v>0.72983583333333313</c:v>
                </c:pt>
                <c:pt idx="11">
                  <c:v>0.76846499999999984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8-4208-AAC3-6CDB1A87AB5D}"/>
            </c:ext>
          </c:extLst>
        </c:ser>
        <c:ser>
          <c:idx val="2"/>
          <c:order val="2"/>
          <c:tx>
            <c:strRef>
              <c:f>Example!$M$51</c:f>
              <c:strCache>
                <c:ptCount val="1"/>
                <c:pt idx="0">
                  <c:v>Expected Storage Gain</c:v>
                </c:pt>
              </c:strCache>
            </c:strRef>
          </c:tx>
          <c:val>
            <c:numRef>
              <c:f>Example!$M$53:$M$64</c:f>
              <c:numCache>
                <c:formatCode>"$"#,##0.00</c:formatCode>
                <c:ptCount val="12"/>
                <c:pt idx="0">
                  <c:v>0</c:v>
                </c:pt>
                <c:pt idx="1">
                  <c:v>-1.4866055275711609E-2</c:v>
                </c:pt>
                <c:pt idx="2">
                  <c:v>0.12530453715368761</c:v>
                </c:pt>
                <c:pt idx="3">
                  <c:v>0.28576140740673939</c:v>
                </c:pt>
                <c:pt idx="4">
                  <c:v>0.41704875691090226</c:v>
                </c:pt>
                <c:pt idx="5">
                  <c:v>0.52679900933549106</c:v>
                </c:pt>
                <c:pt idx="6">
                  <c:v>0.62440891530707798</c:v>
                </c:pt>
                <c:pt idx="7">
                  <c:v>0.75932249011995356</c:v>
                </c:pt>
                <c:pt idx="8">
                  <c:v>0.85210102351724704</c:v>
                </c:pt>
                <c:pt idx="9">
                  <c:v>0.79529244465875859</c:v>
                </c:pt>
                <c:pt idx="10">
                  <c:v>0.48385913445790951</c:v>
                </c:pt>
                <c:pt idx="11">
                  <c:v>8.0309086126685969E-2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8-4208-AAC3-6CDB1A87A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72032"/>
        <c:axId val="262971640"/>
      </c:lineChart>
      <c:catAx>
        <c:axId val="2629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6297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971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$/bu.</a:t>
                </a:r>
              </a:p>
            </c:rich>
          </c:tx>
          <c:layout>
            <c:manualLayout>
              <c:xMode val="edge"/>
              <c:yMode val="edge"/>
              <c:x val="1.9893931411915443E-2"/>
              <c:y val="0.44713776612878509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297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6038029573331315E-2"/>
          <c:y val="0.12217163871837101"/>
          <c:w val="0.90600602471969294"/>
          <c:h val="7.5375301785446935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Storage Costs for Soybeans</a:t>
            </a:r>
          </a:p>
        </c:rich>
      </c:tx>
      <c:layout>
        <c:manualLayout>
          <c:xMode val="edge"/>
          <c:yMode val="edge"/>
          <c:x val="0.30546528143577389"/>
          <c:y val="3.9071468634022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7873360102502"/>
          <c:y val="0.22196280674113913"/>
          <c:w val="0.85543905071236404"/>
          <c:h val="0.56068956557693439"/>
        </c:manualLayout>
      </c:layout>
      <c:lineChart>
        <c:grouping val="standard"/>
        <c:varyColors val="0"/>
        <c:ser>
          <c:idx val="0"/>
          <c:order val="0"/>
          <c:tx>
            <c:strRef>
              <c:f>Example!$D$52</c:f>
              <c:strCache>
                <c:ptCount val="1"/>
                <c:pt idx="0">
                  <c:v>Commercial</c:v>
                </c:pt>
              </c:strCache>
            </c:strRef>
          </c:tx>
          <c:cat>
            <c:strRef>
              <c:f>Example!$B$53:$B$64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Example!$G$53:$G$64</c:f>
              <c:numCache>
                <c:formatCode>"$"#,##0.00</c:formatCode>
                <c:ptCount val="12"/>
                <c:pt idx="0">
                  <c:v>0.14216666666666666</c:v>
                </c:pt>
                <c:pt idx="1">
                  <c:v>0.22733333333333333</c:v>
                </c:pt>
                <c:pt idx="2">
                  <c:v>0.3125</c:v>
                </c:pt>
                <c:pt idx="3">
                  <c:v>0.17816666666666664</c:v>
                </c:pt>
                <c:pt idx="4">
                  <c:v>0.29933333333333328</c:v>
                </c:pt>
                <c:pt idx="5">
                  <c:v>0.42049999999999993</c:v>
                </c:pt>
                <c:pt idx="6">
                  <c:v>0.54166666666666652</c:v>
                </c:pt>
                <c:pt idx="7">
                  <c:v>0.66283333333333339</c:v>
                </c:pt>
                <c:pt idx="8">
                  <c:v>0.78400000000000003</c:v>
                </c:pt>
                <c:pt idx="9">
                  <c:v>0.90516666666666667</c:v>
                </c:pt>
                <c:pt idx="10">
                  <c:v>1.0263333333333333</c:v>
                </c:pt>
                <c:pt idx="11">
                  <c:v>1.1475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C5-4337-BBDD-98A2BF7F995B}"/>
            </c:ext>
          </c:extLst>
        </c:ser>
        <c:ser>
          <c:idx val="1"/>
          <c:order val="1"/>
          <c:tx>
            <c:strRef>
              <c:f>Example!$C$52</c:f>
              <c:strCache>
                <c:ptCount val="1"/>
                <c:pt idx="0">
                  <c:v>On-Farm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Example!$B$53:$B$64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Example!$F$53:$F$64</c:f>
              <c:numCache>
                <c:formatCode>"$"#,##0.00</c:formatCode>
                <c:ptCount val="12"/>
                <c:pt idx="0">
                  <c:v>0.38665466666666665</c:v>
                </c:pt>
                <c:pt idx="1">
                  <c:v>0.47182133333333331</c:v>
                </c:pt>
                <c:pt idx="2">
                  <c:v>0.55698800000000004</c:v>
                </c:pt>
                <c:pt idx="3">
                  <c:v>0.38665466666666665</c:v>
                </c:pt>
                <c:pt idx="4">
                  <c:v>0.47182133333333326</c:v>
                </c:pt>
                <c:pt idx="5">
                  <c:v>0.55698800000000004</c:v>
                </c:pt>
                <c:pt idx="6">
                  <c:v>0.64215466666666665</c:v>
                </c:pt>
                <c:pt idx="7">
                  <c:v>0.72732133333333326</c:v>
                </c:pt>
                <c:pt idx="8">
                  <c:v>0.8124880000000001</c:v>
                </c:pt>
                <c:pt idx="9">
                  <c:v>0.89765466666666649</c:v>
                </c:pt>
                <c:pt idx="10">
                  <c:v>0.98282133333333332</c:v>
                </c:pt>
                <c:pt idx="11">
                  <c:v>1.0679879999999999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5-4337-BBDD-98A2BF7F995B}"/>
            </c:ext>
          </c:extLst>
        </c:ser>
        <c:ser>
          <c:idx val="2"/>
          <c:order val="2"/>
          <c:tx>
            <c:strRef>
              <c:f>Example!$M$51</c:f>
              <c:strCache>
                <c:ptCount val="1"/>
                <c:pt idx="0">
                  <c:v>Expected Storage Gain</c:v>
                </c:pt>
              </c:strCache>
            </c:strRef>
          </c:tx>
          <c:val>
            <c:numRef>
              <c:f>Example!$N$53:$N$64</c:f>
              <c:numCache>
                <c:formatCode>"$"#,##0.00</c:formatCode>
                <c:ptCount val="12"/>
                <c:pt idx="0">
                  <c:v>0</c:v>
                </c:pt>
                <c:pt idx="1">
                  <c:v>0.18499224657908542</c:v>
                </c:pt>
                <c:pt idx="2">
                  <c:v>0.34446516255876958</c:v>
                </c:pt>
                <c:pt idx="3">
                  <c:v>0.46510808246330271</c:v>
                </c:pt>
                <c:pt idx="4">
                  <c:v>0.8630075998249076</c:v>
                </c:pt>
                <c:pt idx="5">
                  <c:v>1.0960669476529059</c:v>
                </c:pt>
                <c:pt idx="6">
                  <c:v>1.2398833603912838</c:v>
                </c:pt>
                <c:pt idx="7">
                  <c:v>1.5193738110870285</c:v>
                </c:pt>
                <c:pt idx="8">
                  <c:v>1.6265797440373984</c:v>
                </c:pt>
                <c:pt idx="9">
                  <c:v>1.4952579676134903</c:v>
                </c:pt>
                <c:pt idx="10">
                  <c:v>0.91011113854668224</c:v>
                </c:pt>
                <c:pt idx="11">
                  <c:v>0.26215056539397352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5-4337-BBDD-98A2BF7F9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70464"/>
        <c:axId val="262968896"/>
      </c:lineChart>
      <c:catAx>
        <c:axId val="2629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6296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968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$/bu.</a:t>
                </a:r>
              </a:p>
            </c:rich>
          </c:tx>
          <c:layout>
            <c:manualLayout>
              <c:xMode val="edge"/>
              <c:yMode val="edge"/>
              <c:x val="2.7851503976681624E-2"/>
              <c:y val="0.43691626169045283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29704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6.3131984159831497E-2"/>
          <c:y val="0.12952651545907537"/>
          <c:w val="0.92625950033862592"/>
          <c:h val="7.841744187934787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Storage Costs for Corn</a:t>
            </a:r>
          </a:p>
        </c:rich>
      </c:tx>
      <c:layout>
        <c:manualLayout>
          <c:xMode val="edge"/>
          <c:yMode val="edge"/>
          <c:x val="0.34084816389495065"/>
          <c:y val="4.1679143584368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62620941276965"/>
          <c:y val="0.22026490942304688"/>
          <c:w val="0.85809157490061938"/>
          <c:h val="0.62286440007860455"/>
        </c:manualLayout>
      </c:layout>
      <c:lineChart>
        <c:grouping val="standard"/>
        <c:varyColors val="0"/>
        <c:ser>
          <c:idx val="0"/>
          <c:order val="0"/>
          <c:tx>
            <c:strRef>
              <c:f>Blank!$D$52</c:f>
              <c:strCache>
                <c:ptCount val="1"/>
                <c:pt idx="0">
                  <c:v>Commercial</c:v>
                </c:pt>
              </c:strCache>
            </c:strRef>
          </c:tx>
          <c:cat>
            <c:strRef>
              <c:f>Blank!$B$53:$B$64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Blank!$D$53:$D$64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1-4836-A627-F8A671ED9254}"/>
            </c:ext>
          </c:extLst>
        </c:ser>
        <c:ser>
          <c:idx val="1"/>
          <c:order val="1"/>
          <c:tx>
            <c:strRef>
              <c:f>Blank!$C$52</c:f>
              <c:strCache>
                <c:ptCount val="1"/>
                <c:pt idx="0">
                  <c:v>On-Farm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Blank!$B$53:$B$64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Blank!$C$53:$C$64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1-4836-A627-F8A671ED9254}"/>
            </c:ext>
          </c:extLst>
        </c:ser>
        <c:ser>
          <c:idx val="2"/>
          <c:order val="2"/>
          <c:tx>
            <c:strRef>
              <c:f>Blank!$M$51</c:f>
              <c:strCache>
                <c:ptCount val="1"/>
                <c:pt idx="0">
                  <c:v>Expected Storage Gain</c:v>
                </c:pt>
              </c:strCache>
            </c:strRef>
          </c:tx>
          <c:val>
            <c:numRef>
              <c:f>Blank!$M$53:$M$64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1-4836-A627-F8A671ED9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72032"/>
        <c:axId val="262971640"/>
      </c:lineChart>
      <c:catAx>
        <c:axId val="2629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6297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971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$/bu.</a:t>
                </a:r>
              </a:p>
            </c:rich>
          </c:tx>
          <c:layout>
            <c:manualLayout>
              <c:xMode val="edge"/>
              <c:yMode val="edge"/>
              <c:x val="1.9893931411915443E-2"/>
              <c:y val="0.44713776612878509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297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6038029573331315E-2"/>
          <c:y val="0.12217163871837101"/>
          <c:w val="0.90600602471969294"/>
          <c:h val="7.5375301785446935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Storage Costs for Soybeans</a:t>
            </a:r>
          </a:p>
        </c:rich>
      </c:tx>
      <c:layout>
        <c:manualLayout>
          <c:xMode val="edge"/>
          <c:yMode val="edge"/>
          <c:x val="0.30546528143577389"/>
          <c:y val="3.9071468634022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7873360102502"/>
          <c:y val="0.22196280674113913"/>
          <c:w val="0.85543905071236404"/>
          <c:h val="0.56068956557693439"/>
        </c:manualLayout>
      </c:layout>
      <c:lineChart>
        <c:grouping val="standard"/>
        <c:varyColors val="0"/>
        <c:ser>
          <c:idx val="0"/>
          <c:order val="0"/>
          <c:tx>
            <c:strRef>
              <c:f>Blank!$D$52</c:f>
              <c:strCache>
                <c:ptCount val="1"/>
                <c:pt idx="0">
                  <c:v>Commercial</c:v>
                </c:pt>
              </c:strCache>
            </c:strRef>
          </c:tx>
          <c:cat>
            <c:strRef>
              <c:f>Blank!$B$53:$B$64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Blank!$G$53:$G$64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DA-442E-A4C8-EFF3EF631A28}"/>
            </c:ext>
          </c:extLst>
        </c:ser>
        <c:ser>
          <c:idx val="1"/>
          <c:order val="1"/>
          <c:tx>
            <c:strRef>
              <c:f>Blank!$C$52</c:f>
              <c:strCache>
                <c:ptCount val="1"/>
                <c:pt idx="0">
                  <c:v>On-Farm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Blank!$B$53:$B$64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Blank!$F$53:$F$64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A-442E-A4C8-EFF3EF631A28}"/>
            </c:ext>
          </c:extLst>
        </c:ser>
        <c:ser>
          <c:idx val="2"/>
          <c:order val="2"/>
          <c:tx>
            <c:strRef>
              <c:f>Blank!$M$51</c:f>
              <c:strCache>
                <c:ptCount val="1"/>
                <c:pt idx="0">
                  <c:v>Expected Storage Gain</c:v>
                </c:pt>
              </c:strCache>
            </c:strRef>
          </c:tx>
          <c:val>
            <c:numRef>
              <c:f>Blank!$N$53:$N$64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DA-442E-A4C8-EFF3EF631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70464"/>
        <c:axId val="262968896"/>
      </c:lineChart>
      <c:catAx>
        <c:axId val="2629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6296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968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$/bu.</a:t>
                </a:r>
              </a:p>
            </c:rich>
          </c:tx>
          <c:layout>
            <c:manualLayout>
              <c:xMode val="edge"/>
              <c:yMode val="edge"/>
              <c:x val="2.7851503976681624E-2"/>
              <c:y val="0.43691626169045283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29704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6.3131984159831497E-2"/>
          <c:y val="0.12952651545907537"/>
          <c:w val="0.92625950033862592"/>
          <c:h val="7.841744187934787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528204</xdr:colOff>
      <xdr:row>6</xdr:row>
      <xdr:rowOff>38100</xdr:rowOff>
    </xdr:from>
    <xdr:to>
      <xdr:col>16</xdr:col>
      <xdr:colOff>106680</xdr:colOff>
      <xdr:row>27</xdr:row>
      <xdr:rowOff>106680</xdr:rowOff>
    </xdr:to>
    <xdr:graphicFrame macro="">
      <xdr:nvGraphicFramePr>
        <xdr:cNvPr id="1025" name="Chart 1" title="Storage costs for cor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528204</xdr:colOff>
      <xdr:row>28</xdr:row>
      <xdr:rowOff>60960</xdr:rowOff>
    </xdr:from>
    <xdr:to>
      <xdr:col>16</xdr:col>
      <xdr:colOff>106680</xdr:colOff>
      <xdr:row>47</xdr:row>
      <xdr:rowOff>137160</xdr:rowOff>
    </xdr:to>
    <xdr:graphicFrame macro="">
      <xdr:nvGraphicFramePr>
        <xdr:cNvPr id="1038" name="Chart 14" title="Storage costs for soybeans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512272</xdr:colOff>
      <xdr:row>74</xdr:row>
      <xdr:rowOff>106333</xdr:rowOff>
    </xdr:from>
    <xdr:to>
      <xdr:col>6</xdr:col>
      <xdr:colOff>811357</xdr:colOff>
      <xdr:row>78</xdr:row>
      <xdr:rowOff>22512</xdr:rowOff>
    </xdr:to>
    <xdr:pic>
      <xdr:nvPicPr>
        <xdr:cNvPr id="5" name="Picture 3" title="Iowa State University Extension and Outreach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408" y="12367606"/>
          <a:ext cx="3087312" cy="574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528204</xdr:colOff>
      <xdr:row>6</xdr:row>
      <xdr:rowOff>38100</xdr:rowOff>
    </xdr:from>
    <xdr:to>
      <xdr:col>16</xdr:col>
      <xdr:colOff>106680</xdr:colOff>
      <xdr:row>27</xdr:row>
      <xdr:rowOff>106680</xdr:rowOff>
    </xdr:to>
    <xdr:graphicFrame macro="">
      <xdr:nvGraphicFramePr>
        <xdr:cNvPr id="2" name="Chart 1" title="Storage costs for cor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528204</xdr:colOff>
      <xdr:row>28</xdr:row>
      <xdr:rowOff>60960</xdr:rowOff>
    </xdr:from>
    <xdr:to>
      <xdr:col>16</xdr:col>
      <xdr:colOff>106680</xdr:colOff>
      <xdr:row>47</xdr:row>
      <xdr:rowOff>137160</xdr:rowOff>
    </xdr:to>
    <xdr:graphicFrame macro="">
      <xdr:nvGraphicFramePr>
        <xdr:cNvPr id="3" name="Chart 14" title="Storage costs for soybea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512272</xdr:colOff>
      <xdr:row>74</xdr:row>
      <xdr:rowOff>106333</xdr:rowOff>
    </xdr:from>
    <xdr:to>
      <xdr:col>6</xdr:col>
      <xdr:colOff>811357</xdr:colOff>
      <xdr:row>78</xdr:row>
      <xdr:rowOff>22512</xdr:rowOff>
    </xdr:to>
    <xdr:pic>
      <xdr:nvPicPr>
        <xdr:cNvPr id="4" name="Picture 3" title="Iowa State University Extension and Outreach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972" y="12193558"/>
          <a:ext cx="3080385" cy="56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xtension.iastate.edu/agdm/help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xtension.iastate.edu/agdm/crops/html/a2-33.html" TargetMode="External"/><Relationship Id="rId1" Type="http://schemas.openxmlformats.org/officeDocument/2006/relationships/hyperlink" Target="http://www.extension.iastate.edu/agdm/crops/pdf/a1-20.pdf" TargetMode="External"/><Relationship Id="rId6" Type="http://schemas.openxmlformats.org/officeDocument/2006/relationships/hyperlink" Target="https://www.extension.iastate.edu/diversity/ext" TargetMode="External"/><Relationship Id="rId5" Type="http://schemas.openxmlformats.org/officeDocument/2006/relationships/hyperlink" Target="https://www.extension.iastate.edu/agdm/crops/html/a2-33.html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extension.iastate.edu/agdm/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extension.iastate.edu/agdm/help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extension.iastate.edu/agdm/crops/html/a2-33.html" TargetMode="External"/><Relationship Id="rId1" Type="http://schemas.openxmlformats.org/officeDocument/2006/relationships/hyperlink" Target="http://www.extension.iastate.edu/agdm/crops/pdf/a1-20.pdf" TargetMode="External"/><Relationship Id="rId6" Type="http://schemas.openxmlformats.org/officeDocument/2006/relationships/hyperlink" Target="https://www.extension.iastate.edu/diversity/ext" TargetMode="External"/><Relationship Id="rId5" Type="http://schemas.openxmlformats.org/officeDocument/2006/relationships/hyperlink" Target="https://www.extension.iastate.edu/agdm/crops/html/a2-33.html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://www.extension.iastate.edu/agdm/" TargetMode="External"/><Relationship Id="rId9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P87"/>
  <sheetViews>
    <sheetView showGridLines="0" tabSelected="1" topLeftCell="A58" zoomScale="110" zoomScaleNormal="110" zoomScaleSheetLayoutView="100" workbookViewId="0"/>
  </sheetViews>
  <sheetFormatPr baseColWidth="10" defaultColWidth="9.1640625" defaultRowHeight="13" x14ac:dyDescent="0.15"/>
  <cols>
    <col min="1" max="1" width="48.5" customWidth="1"/>
    <col min="2" max="2" width="29.6640625" style="2" customWidth="1"/>
    <col min="3" max="3" width="12.6640625" style="2" customWidth="1"/>
    <col min="4" max="4" width="12.5" style="2" customWidth="1"/>
    <col min="5" max="5" width="3.6640625" style="2" customWidth="1"/>
    <col min="6" max="7" width="12.6640625" style="2" customWidth="1"/>
    <col min="8" max="8" width="10" style="2" bestFit="1" customWidth="1"/>
    <col min="9" max="14" width="10.6640625" style="2" customWidth="1"/>
    <col min="15" max="16384" width="9.1640625" style="2"/>
  </cols>
  <sheetData>
    <row r="1" spans="1:16" s="123" customFormat="1" ht="24" customHeight="1" thickBot="1" x14ac:dyDescent="0.25">
      <c r="A1" s="122" t="s">
        <v>43</v>
      </c>
      <c r="P1" s="126" t="s">
        <v>51</v>
      </c>
    </row>
    <row r="2" spans="1:16" ht="15" thickTop="1" x14ac:dyDescent="0.15">
      <c r="A2" s="121" t="s">
        <v>44</v>
      </c>
      <c r="B2" s="121"/>
      <c r="C2" s="121"/>
      <c r="D2" s="21"/>
      <c r="E2" s="21"/>
      <c r="F2" s="21"/>
    </row>
    <row r="3" spans="1:16" ht="12.75" customHeight="1" x14ac:dyDescent="0.15">
      <c r="A3" s="116" t="s">
        <v>50</v>
      </c>
      <c r="B3" s="104"/>
      <c r="C3" s="104"/>
      <c r="D3" s="104"/>
      <c r="E3" s="104"/>
      <c r="F3" s="104"/>
      <c r="G3" s="20"/>
      <c r="H3" s="20"/>
      <c r="I3" s="20"/>
      <c r="J3" s="20"/>
    </row>
    <row r="4" spans="1:16" x14ac:dyDescent="0.15">
      <c r="A4" s="104"/>
      <c r="B4" s="104"/>
      <c r="C4" s="104"/>
      <c r="D4" s="104"/>
      <c r="E4" s="104"/>
      <c r="F4" s="104"/>
      <c r="G4" s="20"/>
      <c r="H4" s="20"/>
      <c r="I4" s="20"/>
      <c r="J4" s="20"/>
    </row>
    <row r="5" spans="1:16" x14ac:dyDescent="0.15">
      <c r="A5" s="105" t="s">
        <v>13</v>
      </c>
      <c r="B5" s="23"/>
      <c r="C5" s="23"/>
      <c r="D5" s="23"/>
      <c r="E5" s="23"/>
      <c r="F5"/>
      <c r="G5"/>
    </row>
    <row r="6" spans="1:16" ht="14" thickBot="1" x14ac:dyDescent="0.2">
      <c r="B6" s="18"/>
    </row>
    <row r="7" spans="1:16" ht="14" x14ac:dyDescent="0.15">
      <c r="B7" s="4" t="s">
        <v>0</v>
      </c>
      <c r="C7" s="114" t="s">
        <v>2</v>
      </c>
      <c r="D7" s="113"/>
      <c r="E7" s="3"/>
      <c r="F7" s="115" t="s">
        <v>4</v>
      </c>
      <c r="G7" s="113"/>
      <c r="H7" s="3"/>
    </row>
    <row r="8" spans="1:16" x14ac:dyDescent="0.15">
      <c r="A8" s="111" t="s">
        <v>11</v>
      </c>
      <c r="B8" s="1"/>
      <c r="C8" s="124" t="s">
        <v>5</v>
      </c>
      <c r="D8" s="125" t="s">
        <v>3</v>
      </c>
      <c r="E8" s="3"/>
      <c r="F8" s="124" t="s">
        <v>5</v>
      </c>
      <c r="G8" s="125" t="s">
        <v>3</v>
      </c>
      <c r="H8" s="3"/>
    </row>
    <row r="9" spans="1:16" ht="3" customHeight="1" x14ac:dyDescent="0.15">
      <c r="A9" s="106"/>
      <c r="B9" s="1"/>
      <c r="C9" s="69"/>
      <c r="D9" s="68"/>
      <c r="E9" s="3"/>
      <c r="F9" s="69"/>
      <c r="G9" s="68"/>
      <c r="H9" s="3"/>
    </row>
    <row r="10" spans="1:16" x14ac:dyDescent="0.15">
      <c r="A10" s="106" t="s">
        <v>21</v>
      </c>
      <c r="C10" s="79">
        <v>30000</v>
      </c>
      <c r="D10" s="81">
        <f>C10</f>
        <v>30000</v>
      </c>
      <c r="E10" s="30"/>
      <c r="F10" s="79">
        <v>25000</v>
      </c>
      <c r="G10" s="81">
        <f>F10</f>
        <v>25000</v>
      </c>
      <c r="H10" s="3"/>
    </row>
    <row r="11" spans="1:16" x14ac:dyDescent="0.15">
      <c r="A11" s="117" t="s">
        <v>52</v>
      </c>
      <c r="B11" s="22"/>
      <c r="C11" s="70">
        <v>6.35</v>
      </c>
      <c r="D11" s="82">
        <f>C11</f>
        <v>6.35</v>
      </c>
      <c r="E11" s="5"/>
      <c r="F11" s="70">
        <v>14</v>
      </c>
      <c r="G11" s="82">
        <f>F11</f>
        <v>14</v>
      </c>
      <c r="H11" s="5"/>
    </row>
    <row r="12" spans="1:16" x14ac:dyDescent="0.15">
      <c r="A12" s="117" t="s">
        <v>68</v>
      </c>
      <c r="B12" s="22"/>
      <c r="C12" s="35">
        <v>7.2999999999999995E-2</v>
      </c>
      <c r="D12" s="83">
        <f>C12</f>
        <v>7.2999999999999995E-2</v>
      </c>
      <c r="E12" s="29"/>
      <c r="F12" s="103">
        <f>C12</f>
        <v>7.2999999999999995E-2</v>
      </c>
      <c r="G12" s="85">
        <f>C12</f>
        <v>7.2999999999999995E-2</v>
      </c>
      <c r="H12" s="7"/>
      <c r="J12" s="31"/>
    </row>
    <row r="13" spans="1:16" x14ac:dyDescent="0.15">
      <c r="A13" s="117" t="s">
        <v>53</v>
      </c>
      <c r="B13" s="22"/>
      <c r="C13" s="66">
        <v>7</v>
      </c>
      <c r="D13" s="84">
        <f>C13</f>
        <v>7</v>
      </c>
      <c r="E13" s="26"/>
      <c r="F13" s="66">
        <v>3</v>
      </c>
      <c r="G13" s="86">
        <f>F13</f>
        <v>3</v>
      </c>
      <c r="H13" s="9"/>
      <c r="J13" s="31"/>
    </row>
    <row r="14" spans="1:16" x14ac:dyDescent="0.15">
      <c r="A14" s="111" t="s">
        <v>8</v>
      </c>
      <c r="C14" s="36"/>
      <c r="D14" s="37"/>
      <c r="E14" s="10"/>
      <c r="F14" s="36"/>
      <c r="G14" s="37"/>
      <c r="H14" s="10"/>
      <c r="J14" s="31"/>
    </row>
    <row r="15" spans="1:16" x14ac:dyDescent="0.15">
      <c r="A15" s="107" t="s">
        <v>54</v>
      </c>
      <c r="B15" s="21"/>
      <c r="C15" s="36"/>
      <c r="D15" s="71">
        <v>5.7000000000000002E-2</v>
      </c>
      <c r="E15" s="11"/>
      <c r="F15" s="36"/>
      <c r="G15" s="71">
        <v>5.7000000000000002E-2</v>
      </c>
      <c r="H15" s="11"/>
    </row>
    <row r="16" spans="1:16" x14ac:dyDescent="0.15">
      <c r="A16" s="107" t="s">
        <v>55</v>
      </c>
      <c r="B16" s="21"/>
      <c r="C16" s="36"/>
      <c r="D16" s="73">
        <v>3</v>
      </c>
      <c r="E16" s="9"/>
      <c r="F16" s="36"/>
      <c r="G16" s="73">
        <v>3</v>
      </c>
      <c r="H16" s="9"/>
    </row>
    <row r="17" spans="1:8" x14ac:dyDescent="0.15">
      <c r="A17" s="107" t="s">
        <v>56</v>
      </c>
      <c r="B17" s="21"/>
      <c r="C17" s="36"/>
      <c r="D17" s="72">
        <v>3.5999999999999997E-2</v>
      </c>
      <c r="E17" s="12"/>
      <c r="F17" s="36"/>
      <c r="G17" s="72">
        <v>3.5999999999999997E-2</v>
      </c>
      <c r="H17" s="12"/>
    </row>
    <row r="18" spans="1:8" x14ac:dyDescent="0.15">
      <c r="A18" s="117" t="s">
        <v>58</v>
      </c>
      <c r="C18" s="38"/>
      <c r="D18" s="39"/>
      <c r="E18" s="27"/>
      <c r="F18" s="54"/>
      <c r="G18" s="39"/>
      <c r="H18" s="9"/>
    </row>
    <row r="19" spans="1:8" x14ac:dyDescent="0.15">
      <c r="A19" s="107" t="s">
        <v>72</v>
      </c>
      <c r="B19" s="21"/>
      <c r="C19" s="40"/>
      <c r="D19" s="41"/>
      <c r="E19" s="28"/>
      <c r="F19" s="40"/>
      <c r="G19" s="41"/>
      <c r="H19" s="10"/>
    </row>
    <row r="20" spans="1:8" x14ac:dyDescent="0.15">
      <c r="A20" s="107" t="s">
        <v>73</v>
      </c>
      <c r="B20" s="21"/>
      <c r="C20" s="40"/>
      <c r="D20" s="41"/>
      <c r="E20" s="28"/>
      <c r="F20" s="40"/>
      <c r="G20" s="41"/>
      <c r="H20" s="13"/>
    </row>
    <row r="21" spans="1:8" x14ac:dyDescent="0.15">
      <c r="A21" s="21" t="s">
        <v>15</v>
      </c>
      <c r="B21" s="21"/>
      <c r="C21" s="42">
        <v>0.13500000000000001</v>
      </c>
      <c r="D21" s="43">
        <v>0.14000000000000001</v>
      </c>
      <c r="E21" s="9"/>
      <c r="F21" s="55"/>
      <c r="G21" s="56"/>
      <c r="H21" s="14"/>
    </row>
    <row r="22" spans="1:8" x14ac:dyDescent="0.15">
      <c r="A22" s="117" t="s">
        <v>67</v>
      </c>
      <c r="B22" s="21"/>
      <c r="C22" s="74">
        <v>0.05</v>
      </c>
      <c r="D22" s="72">
        <v>5.5E-2</v>
      </c>
      <c r="E22" s="12"/>
      <c r="F22" s="36"/>
      <c r="G22" s="37"/>
      <c r="H22" s="7"/>
    </row>
    <row r="23" spans="1:8" x14ac:dyDescent="0.15">
      <c r="A23" s="117" t="s">
        <v>71</v>
      </c>
      <c r="B23" s="21"/>
      <c r="C23" s="60">
        <v>1.2500000000000001E-2</v>
      </c>
      <c r="D23" s="61">
        <v>1.4999999999999999E-2</v>
      </c>
      <c r="E23" s="13"/>
      <c r="F23" s="57"/>
      <c r="G23" s="58"/>
      <c r="H23" s="13"/>
    </row>
    <row r="24" spans="1:8" x14ac:dyDescent="0.15">
      <c r="A24" s="106" t="s">
        <v>16</v>
      </c>
      <c r="B24" s="21"/>
      <c r="C24" s="74">
        <v>0.02</v>
      </c>
      <c r="D24" s="44"/>
      <c r="E24" s="12"/>
      <c r="F24" s="74">
        <v>0.02</v>
      </c>
      <c r="G24" s="44"/>
    </row>
    <row r="25" spans="1:8" x14ac:dyDescent="0.15">
      <c r="A25" s="117" t="s">
        <v>69</v>
      </c>
      <c r="B25" s="21"/>
      <c r="C25" s="74">
        <v>0.08</v>
      </c>
      <c r="D25" s="44"/>
      <c r="E25" s="12"/>
      <c r="F25" s="74">
        <v>0.08</v>
      </c>
      <c r="G25" s="44"/>
    </row>
    <row r="26" spans="1:8" x14ac:dyDescent="0.15">
      <c r="A26" s="117" t="s">
        <v>70</v>
      </c>
      <c r="B26" s="21"/>
      <c r="C26" s="35">
        <v>0.01</v>
      </c>
      <c r="D26" s="45"/>
      <c r="E26" s="7"/>
      <c r="F26" s="35">
        <v>0.01</v>
      </c>
      <c r="G26" s="45"/>
    </row>
    <row r="27" spans="1:8" x14ac:dyDescent="0.15">
      <c r="A27" s="106" t="s">
        <v>17</v>
      </c>
      <c r="B27" s="21"/>
      <c r="C27" s="46">
        <v>10</v>
      </c>
      <c r="D27" s="45"/>
      <c r="E27" s="7"/>
      <c r="F27" s="46">
        <v>10</v>
      </c>
      <c r="G27" s="45"/>
    </row>
    <row r="28" spans="1:8" x14ac:dyDescent="0.15">
      <c r="A28" s="106" t="s">
        <v>18</v>
      </c>
      <c r="B28" s="21"/>
      <c r="C28" s="47">
        <v>1440</v>
      </c>
      <c r="D28" s="48"/>
      <c r="E28" s="34"/>
      <c r="F28" s="47">
        <v>1440</v>
      </c>
      <c r="G28" s="45"/>
    </row>
    <row r="29" spans="1:8" x14ac:dyDescent="0.15">
      <c r="A29" s="106" t="s">
        <v>19</v>
      </c>
      <c r="B29" s="21"/>
      <c r="C29" s="75">
        <v>0.11</v>
      </c>
      <c r="D29" s="45"/>
      <c r="E29" s="7"/>
      <c r="F29" s="76">
        <f>C29</f>
        <v>0.11</v>
      </c>
      <c r="G29" s="45"/>
    </row>
    <row r="30" spans="1:8" x14ac:dyDescent="0.15">
      <c r="A30" s="117" t="s">
        <v>74</v>
      </c>
      <c r="B30" s="21"/>
      <c r="C30" s="67">
        <v>5</v>
      </c>
      <c r="D30" s="49"/>
      <c r="E30" s="32"/>
      <c r="F30" s="67">
        <v>5</v>
      </c>
      <c r="G30" s="45"/>
    </row>
    <row r="31" spans="1:8" x14ac:dyDescent="0.15">
      <c r="A31" s="106" t="s">
        <v>20</v>
      </c>
      <c r="B31" s="21"/>
      <c r="C31" s="77">
        <v>18</v>
      </c>
      <c r="D31" s="50"/>
      <c r="E31" s="11"/>
      <c r="F31" s="78">
        <f>C31</f>
        <v>18</v>
      </c>
      <c r="G31" s="50"/>
      <c r="H31" s="15"/>
    </row>
    <row r="32" spans="1:8" x14ac:dyDescent="0.15">
      <c r="A32" s="106" t="s">
        <v>26</v>
      </c>
      <c r="B32" s="21"/>
      <c r="C32" s="80">
        <v>0.25</v>
      </c>
      <c r="D32" s="51"/>
      <c r="F32" s="59">
        <f>C32</f>
        <v>0.25</v>
      </c>
      <c r="G32" s="51"/>
      <c r="H32" s="16"/>
    </row>
    <row r="33" spans="1:8" x14ac:dyDescent="0.15">
      <c r="B33" s="22"/>
      <c r="C33" s="52"/>
      <c r="D33" s="51"/>
      <c r="F33" s="59"/>
      <c r="G33" s="51"/>
      <c r="H33" s="16"/>
    </row>
    <row r="34" spans="1:8" x14ac:dyDescent="0.15">
      <c r="A34" s="117" t="s">
        <v>66</v>
      </c>
      <c r="B34" s="33"/>
      <c r="C34" s="53"/>
      <c r="D34" s="51"/>
      <c r="F34" s="53"/>
      <c r="G34" s="51"/>
      <c r="H34" s="10"/>
    </row>
    <row r="35" spans="1:8" x14ac:dyDescent="0.15">
      <c r="A35" s="117" t="s">
        <v>8</v>
      </c>
      <c r="C35" s="38"/>
      <c r="D35" s="87">
        <f>IF((D13-D16&lt;0),D15,D15+(D13-D16)*D17)</f>
        <v>0.20099999999999998</v>
      </c>
      <c r="E35" s="15"/>
      <c r="F35" s="38"/>
      <c r="G35" s="87">
        <f>IF((G13-G16&lt;0),G15,G15+(G13-G16)*G17)</f>
        <v>5.7000000000000002E-2</v>
      </c>
      <c r="H35" s="10"/>
    </row>
    <row r="36" spans="1:8" x14ac:dyDescent="0.15">
      <c r="A36" s="117" t="s">
        <v>7</v>
      </c>
      <c r="C36" s="88">
        <f>IF(C19,C19,C13*C20)</f>
        <v>0</v>
      </c>
      <c r="D36" s="89"/>
      <c r="E36" s="10"/>
      <c r="F36" s="88">
        <f>IF(F19,F19,F13*F20)</f>
        <v>0</v>
      </c>
      <c r="G36" s="89"/>
      <c r="H36" s="10"/>
    </row>
    <row r="37" spans="1:8" x14ac:dyDescent="0.15">
      <c r="A37" s="117" t="s">
        <v>9</v>
      </c>
      <c r="C37" s="90">
        <f>C11*C12*C13/12</f>
        <v>0.27040416666666661</v>
      </c>
      <c r="D37" s="91">
        <f>D11*D12*D13/12</f>
        <v>0.27040416666666661</v>
      </c>
      <c r="E37" s="16"/>
      <c r="F37" s="90">
        <f>F11*F12*F13/12</f>
        <v>0.2555</v>
      </c>
      <c r="G37" s="91">
        <f>G11*G12*G13/12</f>
        <v>0.2555</v>
      </c>
      <c r="H37" s="17"/>
    </row>
    <row r="38" spans="1:8" x14ac:dyDescent="0.15">
      <c r="A38" s="117" t="s">
        <v>39</v>
      </c>
      <c r="C38" s="90">
        <f>MAX((0.15-C21)*100*C22,0)+MAX((0.15-C21)*100*C23*C11,0)</f>
        <v>0.19406249999999986</v>
      </c>
      <c r="D38" s="91">
        <f>MAX((0.15-D21)*100*D22,0)+MAX((0.15-D21)*100*D23*D11,0)</f>
        <v>0.15024999999999972</v>
      </c>
      <c r="E38" s="17"/>
      <c r="F38" s="90"/>
      <c r="G38" s="92"/>
      <c r="H38" s="16"/>
    </row>
    <row r="39" spans="1:8" x14ac:dyDescent="0.15">
      <c r="A39" s="106" t="s">
        <v>40</v>
      </c>
      <c r="C39" s="90">
        <f>C24+C25</f>
        <v>0.1</v>
      </c>
      <c r="D39" s="92"/>
      <c r="E39" s="17"/>
      <c r="F39" s="90">
        <f>F24+F25</f>
        <v>0.1</v>
      </c>
      <c r="G39" s="92"/>
      <c r="H39" s="15"/>
    </row>
    <row r="40" spans="1:8" x14ac:dyDescent="0.15">
      <c r="A40" s="117" t="s">
        <v>1</v>
      </c>
      <c r="C40" s="90">
        <f>C11*C26</f>
        <v>6.3500000000000001E-2</v>
      </c>
      <c r="D40" s="93"/>
      <c r="E40" s="16"/>
      <c r="F40" s="90">
        <f>F11*F26</f>
        <v>0.14000000000000001</v>
      </c>
      <c r="G40" s="93"/>
    </row>
    <row r="41" spans="1:8" x14ac:dyDescent="0.15">
      <c r="A41" s="106" t="s">
        <v>22</v>
      </c>
      <c r="C41" s="90">
        <f>IF(C10&gt;11,0.8*C27*C28*C29/C10,0)</f>
        <v>4.224E-2</v>
      </c>
      <c r="D41" s="93"/>
      <c r="E41" s="16"/>
      <c r="F41" s="90">
        <f>IF(F10&gt;11,0.8*F27*F28*F29/F10,0)</f>
        <v>5.0688000000000004E-2</v>
      </c>
      <c r="G41" s="93"/>
    </row>
    <row r="42" spans="1:8" x14ac:dyDescent="0.15">
      <c r="A42" s="106" t="s">
        <v>23</v>
      </c>
      <c r="C42" s="94">
        <f>IF(C10&gt;0,C30*C31*C13/C10,0)</f>
        <v>2.1000000000000001E-2</v>
      </c>
      <c r="D42" s="95"/>
      <c r="E42" s="96"/>
      <c r="F42" s="94">
        <f>IF(F10&gt;0,F30*F31*F13/F10,0)</f>
        <v>1.0800000000000001E-2</v>
      </c>
      <c r="G42" s="95"/>
      <c r="H42" s="15"/>
    </row>
    <row r="43" spans="1:8" x14ac:dyDescent="0.15">
      <c r="A43" s="106" t="s">
        <v>10</v>
      </c>
      <c r="C43" s="97">
        <f>SUM(C35:C42)</f>
        <v>0.69120666666666641</v>
      </c>
      <c r="D43" s="87">
        <f>SUM(D35:D42)</f>
        <v>0.6216541666666664</v>
      </c>
      <c r="E43" s="15"/>
      <c r="F43" s="97">
        <f>SUM(F35:F42)</f>
        <v>0.55698800000000004</v>
      </c>
      <c r="G43" s="87">
        <f>SUM(G35:G42)</f>
        <v>0.3125</v>
      </c>
    </row>
    <row r="44" spans="1:8" x14ac:dyDescent="0.15">
      <c r="C44" s="98"/>
      <c r="D44" s="99"/>
      <c r="E44" s="15"/>
      <c r="F44" s="98"/>
      <c r="G44" s="99"/>
    </row>
    <row r="45" spans="1:8" x14ac:dyDescent="0.15">
      <c r="A45" s="106" t="s">
        <v>24</v>
      </c>
      <c r="C45" s="90">
        <f>IF(C13&gt;3,C11*C12*$C32,0)</f>
        <v>0.11588749999999999</v>
      </c>
      <c r="D45" s="91">
        <f>IF(D13&gt;3,D11*D12*$C32,0)</f>
        <v>0.11588749999999999</v>
      </c>
      <c r="F45" s="90">
        <f>IF(F13&gt;3,F11*F12*$C32,0)</f>
        <v>0</v>
      </c>
      <c r="G45" s="91">
        <f>IF(G13&gt;3,G11*G12*$C32,0)</f>
        <v>0</v>
      </c>
    </row>
    <row r="46" spans="1:8" x14ac:dyDescent="0.15">
      <c r="A46" s="106" t="s">
        <v>25</v>
      </c>
      <c r="C46" s="97">
        <f>C43-C45</f>
        <v>0.57531916666666638</v>
      </c>
      <c r="D46" s="87">
        <f>D43-D45</f>
        <v>0.50576666666666636</v>
      </c>
      <c r="E46" s="15"/>
      <c r="F46" s="97">
        <f>F43-F45</f>
        <v>0.55698800000000004</v>
      </c>
      <c r="G46" s="87">
        <f>G43-G45</f>
        <v>0.3125</v>
      </c>
    </row>
    <row r="47" spans="1:8" x14ac:dyDescent="0.15">
      <c r="A47" s="106"/>
      <c r="C47" s="53"/>
      <c r="D47" s="51"/>
      <c r="F47" s="53"/>
      <c r="G47" s="51"/>
    </row>
    <row r="48" spans="1:8" ht="14" thickBot="1" x14ac:dyDescent="0.2">
      <c r="A48" s="117" t="s">
        <v>57</v>
      </c>
      <c r="C48" s="100">
        <f>C11+C43</f>
        <v>7.0412066666666657</v>
      </c>
      <c r="D48" s="101">
        <f>D11+D43</f>
        <v>6.9716541666666663</v>
      </c>
      <c r="E48" s="102"/>
      <c r="F48" s="100">
        <f>F11+F43</f>
        <v>14.556988</v>
      </c>
      <c r="G48" s="101">
        <f>G11+G43</f>
        <v>14.3125</v>
      </c>
    </row>
    <row r="50" spans="1:14" ht="13.25" customHeight="1" x14ac:dyDescent="0.15">
      <c r="I50" s="111" t="s">
        <v>47</v>
      </c>
      <c r="J50" s="1"/>
      <c r="N50" s="1"/>
    </row>
    <row r="51" spans="1:14" ht="13.25" customHeight="1" x14ac:dyDescent="0.15">
      <c r="B51" s="1" t="s">
        <v>6</v>
      </c>
      <c r="C51" s="130" t="s">
        <v>2</v>
      </c>
      <c r="D51" s="130"/>
      <c r="E51" s="3"/>
      <c r="F51" s="129" t="s">
        <v>4</v>
      </c>
      <c r="G51" s="129"/>
      <c r="H51" s="1"/>
      <c r="I51" s="111" t="s">
        <v>48</v>
      </c>
      <c r="J51" s="1"/>
      <c r="K51" s="128" t="s">
        <v>41</v>
      </c>
      <c r="L51" s="128"/>
      <c r="M51" s="1" t="s">
        <v>42</v>
      </c>
      <c r="N51" s="1"/>
    </row>
    <row r="52" spans="1:14" x14ac:dyDescent="0.15">
      <c r="B52" s="64" t="s">
        <v>12</v>
      </c>
      <c r="C52" s="63" t="s">
        <v>5</v>
      </c>
      <c r="D52" s="63" t="s">
        <v>3</v>
      </c>
      <c r="E52" s="63"/>
      <c r="F52" s="63" t="s">
        <v>5</v>
      </c>
      <c r="G52" s="63" t="s">
        <v>3</v>
      </c>
      <c r="H52" s="62" t="s">
        <v>12</v>
      </c>
      <c r="I52" s="63" t="s">
        <v>2</v>
      </c>
      <c r="J52" s="63" t="s">
        <v>4</v>
      </c>
      <c r="K52" s="63" t="s">
        <v>2</v>
      </c>
      <c r="L52" s="63" t="s">
        <v>4</v>
      </c>
      <c r="M52" s="63" t="s">
        <v>2</v>
      </c>
      <c r="N52" s="63" t="s">
        <v>4</v>
      </c>
    </row>
    <row r="53" spans="1:14" x14ac:dyDescent="0.15">
      <c r="A53" s="6">
        <v>1</v>
      </c>
      <c r="B53" s="65" t="s">
        <v>38</v>
      </c>
      <c r="C53" s="109">
        <f>IF(C$19,C$19,$A53*C$20)+C$11*C$12*$A53/12+SUM(C$38:C$42)</f>
        <v>0.45943166666666657</v>
      </c>
      <c r="D53" s="109">
        <f>D$11*D$12*$A53/12+SUM(D$38:D$42)+IF(($A53-D$16&lt;0),D$15,D$15+($A53-D$16)*D$17)</f>
        <v>0.24587916666666637</v>
      </c>
      <c r="E53" s="109"/>
      <c r="F53" s="109">
        <f>IF(F$19,F$19,$A53*F$20)+F$11*F$12*$A53/12+SUM(F$38:F$42)</f>
        <v>0.38665466666666665</v>
      </c>
      <c r="G53" s="109">
        <f>G$11*G$12*$A53/12+SUM(G$38:G$42)+IF(($A53-G$16&lt;0),G$15,G$15+($A53-G$16)*G$17)</f>
        <v>0.14216666666666666</v>
      </c>
      <c r="H53" s="24" t="s">
        <v>38</v>
      </c>
      <c r="I53" s="110">
        <v>1</v>
      </c>
      <c r="J53" s="110">
        <v>1</v>
      </c>
      <c r="K53" s="109">
        <f t="shared" ref="K53:K64" si="0">$C$11*I53</f>
        <v>6.35</v>
      </c>
      <c r="L53" s="109">
        <f t="shared" ref="L53:L64" si="1">$F$11*J53</f>
        <v>14</v>
      </c>
      <c r="M53" s="109">
        <f>K53-$C$11</f>
        <v>0</v>
      </c>
      <c r="N53" s="109">
        <f>L53-$F$11</f>
        <v>0</v>
      </c>
    </row>
    <row r="54" spans="1:14" x14ac:dyDescent="0.15">
      <c r="A54" s="8">
        <v>2</v>
      </c>
      <c r="B54" s="65" t="s">
        <v>27</v>
      </c>
      <c r="C54" s="109">
        <f>IF(C$19,C$19,$A54*C$20)+C$11*C$12*$A54/12+SUM(C$38:C$42)</f>
        <v>0.49806083333333323</v>
      </c>
      <c r="D54" s="109">
        <f>D$11*D$12*$A54/12+SUM(D$38:D$42)+IF(($A54-D$16&lt;0),D$15,D$15+($A54-D$16)*D$17)</f>
        <v>0.28450833333333303</v>
      </c>
      <c r="E54" s="109"/>
      <c r="F54" s="109">
        <f>IF(F$19,F$19,$A54*F$20)+F$11*F$12*$A54/12+SUM(F$38:F$42)</f>
        <v>0.47182133333333331</v>
      </c>
      <c r="G54" s="109">
        <f>G$11*G$12*$A54/12+SUM(G$38:G$42)+IF(($A54-G$16&lt;0),G$15,G$15+($A54-G$16)*G$17)</f>
        <v>0.22733333333333333</v>
      </c>
      <c r="H54" s="24" t="s">
        <v>27</v>
      </c>
      <c r="I54" s="110">
        <v>0.99765888893295873</v>
      </c>
      <c r="J54" s="110">
        <v>1.0132137318985062</v>
      </c>
      <c r="K54" s="109">
        <f t="shared" si="0"/>
        <v>6.335133944724288</v>
      </c>
      <c r="L54" s="109">
        <f t="shared" si="1"/>
        <v>14.184992246579085</v>
      </c>
      <c r="M54" s="109">
        <f>K54-$C$11</f>
        <v>-1.4866055275711609E-2</v>
      </c>
      <c r="N54" s="109">
        <f t="shared" ref="N54:N64" si="2">L54-$F$11</f>
        <v>0.18499224657908542</v>
      </c>
    </row>
    <row r="55" spans="1:14" x14ac:dyDescent="0.15">
      <c r="A55" s="6">
        <v>3</v>
      </c>
      <c r="B55" s="65" t="s">
        <v>28</v>
      </c>
      <c r="C55" s="109">
        <f>IF(C$19,C$19,$A55*C$20)+C$11*C$12*$A55/12+SUM(C$38:C$42)</f>
        <v>0.53668999999999989</v>
      </c>
      <c r="D55" s="109">
        <f>D$11*D$12*$A55/12+SUM(D$38:D$42)+IF(($A55-D$16&lt;0),D$15,D$15+($A55-D$16)*D$17)</f>
        <v>0.32313749999999969</v>
      </c>
      <c r="E55" s="109"/>
      <c r="F55" s="109">
        <f>IF(F$19,F$19,$A55*F$20)+F$11*F$12*$A55/12+SUM(F$38:F$42)</f>
        <v>0.55698800000000004</v>
      </c>
      <c r="G55" s="109">
        <f>G$11*G$12*$A55/12+SUM(G$38:G$42)+IF(($A55-G$16&lt;0),G$15,G$15+($A55-G$16)*G$17)</f>
        <v>0.3125</v>
      </c>
      <c r="H55" s="24" t="s">
        <v>28</v>
      </c>
      <c r="I55" s="110">
        <v>1.0197329979769587</v>
      </c>
      <c r="J55" s="110">
        <v>1.0246046544684835</v>
      </c>
      <c r="K55" s="109">
        <f t="shared" si="0"/>
        <v>6.4753045371536873</v>
      </c>
      <c r="L55" s="109">
        <f t="shared" si="1"/>
        <v>14.34446516255877</v>
      </c>
      <c r="M55" s="109">
        <f t="shared" ref="M55:M64" si="3">K55-$C$11</f>
        <v>0.12530453715368761</v>
      </c>
      <c r="N55" s="109">
        <f t="shared" si="2"/>
        <v>0.34446516255876958</v>
      </c>
    </row>
    <row r="56" spans="1:14" x14ac:dyDescent="0.15">
      <c r="A56" s="6">
        <v>4</v>
      </c>
      <c r="B56" s="65" t="s">
        <v>29</v>
      </c>
      <c r="C56" s="109">
        <f>IF(C$19,C$19,$A56*C$20)+C$11*C$12*$A56/12+SUM(C$38:C$42)-C$11*C$12*$C$32</f>
        <v>0.45943166666666663</v>
      </c>
      <c r="D56" s="109">
        <f t="shared" ref="D56:D64" si="4">D$11*D$12*$A56/12+SUM(D$38:D$42)+IF(($A56-D$16&lt;0),D$15,D$15+($A56-D$16)*D$17)-D$11*D$12*C$32</f>
        <v>0.2818791666666664</v>
      </c>
      <c r="E56" s="109"/>
      <c r="F56" s="109">
        <f t="shared" ref="F56:F64" si="5">IF(F$19,F$19,$A56*F$20)+F$11*F$12*$A56/12+SUM(F$38:F$42)-F$11*F$12*F$32</f>
        <v>0.38665466666666665</v>
      </c>
      <c r="G56" s="109">
        <f t="shared" ref="G56:G64" si="6">G$11*G$12*$A56/12+SUM(G$38:G$42)+IF(($A56-G$16&lt;0),G$15,G$15+($A56-G$16)*G$17)-G$11*G$12*F$32</f>
        <v>0.17816666666666664</v>
      </c>
      <c r="H56" s="24" t="s">
        <v>29</v>
      </c>
      <c r="I56" s="110">
        <v>1.0450017964420062</v>
      </c>
      <c r="J56" s="110">
        <v>1.0332220058902359</v>
      </c>
      <c r="K56" s="109">
        <f>$C$11*I56</f>
        <v>6.635761407406739</v>
      </c>
      <c r="L56" s="109">
        <f t="shared" si="1"/>
        <v>14.465108082463303</v>
      </c>
      <c r="M56" s="109">
        <f t="shared" si="3"/>
        <v>0.28576140740673939</v>
      </c>
      <c r="N56" s="109">
        <f t="shared" si="2"/>
        <v>0.46510808246330271</v>
      </c>
    </row>
    <row r="57" spans="1:14" x14ac:dyDescent="0.15">
      <c r="A57" s="6">
        <v>5</v>
      </c>
      <c r="B57" s="65" t="s">
        <v>30</v>
      </c>
      <c r="C57" s="109">
        <f t="shared" ref="C57:C63" si="7">IF(C$19,C$19,$A57*C$20)+C$11*C$12*$A57/12+SUM(C$38:C$42)-C$11*C$12*$C$32</f>
        <v>0.49806083333333323</v>
      </c>
      <c r="D57" s="109">
        <f t="shared" si="4"/>
        <v>0.35650833333333304</v>
      </c>
      <c r="E57" s="109"/>
      <c r="F57" s="109">
        <f t="shared" si="5"/>
        <v>0.47182133333333326</v>
      </c>
      <c r="G57" s="109">
        <f t="shared" si="6"/>
        <v>0.29933333333333328</v>
      </c>
      <c r="H57" s="24" t="s">
        <v>30</v>
      </c>
      <c r="I57" s="110">
        <v>1.0656769695922681</v>
      </c>
      <c r="J57" s="110">
        <v>1.0616433999874935</v>
      </c>
      <c r="K57" s="109">
        <f t="shared" si="0"/>
        <v>6.7670487569109019</v>
      </c>
      <c r="L57" s="109">
        <f t="shared" si="1"/>
        <v>14.863007599824908</v>
      </c>
      <c r="M57" s="109">
        <f t="shared" si="3"/>
        <v>0.41704875691090226</v>
      </c>
      <c r="N57" s="109">
        <f t="shared" si="2"/>
        <v>0.8630075998249076</v>
      </c>
    </row>
    <row r="58" spans="1:14" x14ac:dyDescent="0.15">
      <c r="A58" s="6">
        <v>6</v>
      </c>
      <c r="B58" s="65" t="s">
        <v>31</v>
      </c>
      <c r="C58" s="109">
        <f t="shared" si="7"/>
        <v>0.53668999999999989</v>
      </c>
      <c r="D58" s="109">
        <f t="shared" si="4"/>
        <v>0.43113749999999967</v>
      </c>
      <c r="E58" s="109"/>
      <c r="F58" s="109">
        <f t="shared" si="5"/>
        <v>0.55698800000000004</v>
      </c>
      <c r="G58" s="109">
        <f t="shared" si="6"/>
        <v>0.42049999999999993</v>
      </c>
      <c r="H58" s="24" t="s">
        <v>31</v>
      </c>
      <c r="I58" s="110">
        <v>1.082960473911101</v>
      </c>
      <c r="J58" s="110">
        <v>1.0782904962609219</v>
      </c>
      <c r="K58" s="109">
        <f t="shared" si="0"/>
        <v>6.8767990093354907</v>
      </c>
      <c r="L58" s="109">
        <f t="shared" si="1"/>
        <v>15.096066947652906</v>
      </c>
      <c r="M58" s="109">
        <f t="shared" si="3"/>
        <v>0.52679900933549106</v>
      </c>
      <c r="N58" s="109">
        <f t="shared" si="2"/>
        <v>1.0960669476529059</v>
      </c>
    </row>
    <row r="59" spans="1:14" x14ac:dyDescent="0.15">
      <c r="A59" s="6">
        <v>7</v>
      </c>
      <c r="B59" s="65" t="s">
        <v>32</v>
      </c>
      <c r="C59" s="109">
        <f t="shared" si="7"/>
        <v>0.57531916666666649</v>
      </c>
      <c r="D59" s="109">
        <f t="shared" si="4"/>
        <v>0.50576666666666625</v>
      </c>
      <c r="E59" s="109"/>
      <c r="F59" s="109">
        <f t="shared" si="5"/>
        <v>0.64215466666666665</v>
      </c>
      <c r="G59" s="109">
        <f t="shared" si="6"/>
        <v>0.54166666666666652</v>
      </c>
      <c r="H59" s="24" t="s">
        <v>32</v>
      </c>
      <c r="I59" s="110">
        <v>1.098332112646784</v>
      </c>
      <c r="J59" s="110">
        <v>1.088563097170806</v>
      </c>
      <c r="K59" s="109">
        <f t="shared" si="0"/>
        <v>6.9744089153070776</v>
      </c>
      <c r="L59" s="109">
        <f t="shared" si="1"/>
        <v>15.239883360391284</v>
      </c>
      <c r="M59" s="109">
        <f t="shared" si="3"/>
        <v>0.62440891530707798</v>
      </c>
      <c r="N59" s="109">
        <f t="shared" si="2"/>
        <v>1.2398833603912838</v>
      </c>
    </row>
    <row r="60" spans="1:14" x14ac:dyDescent="0.15">
      <c r="A60" s="6">
        <v>8</v>
      </c>
      <c r="B60" s="65" t="s">
        <v>33</v>
      </c>
      <c r="C60" s="109">
        <f t="shared" si="7"/>
        <v>0.61394833333333321</v>
      </c>
      <c r="D60" s="109">
        <f t="shared" si="4"/>
        <v>0.580395833333333</v>
      </c>
      <c r="E60" s="109"/>
      <c r="F60" s="109">
        <f t="shared" si="5"/>
        <v>0.72732133333333326</v>
      </c>
      <c r="G60" s="109">
        <f t="shared" si="6"/>
        <v>0.66283333333333339</v>
      </c>
      <c r="H60" s="24" t="s">
        <v>33</v>
      </c>
      <c r="I60" s="110">
        <v>1.1195783449007801</v>
      </c>
      <c r="J60" s="110">
        <v>1.1085267007919306</v>
      </c>
      <c r="K60" s="109">
        <f t="shared" si="0"/>
        <v>7.1093224901199532</v>
      </c>
      <c r="L60" s="109">
        <f t="shared" si="1"/>
        <v>15.519373811087029</v>
      </c>
      <c r="M60" s="109">
        <f t="shared" si="3"/>
        <v>0.75932249011995356</v>
      </c>
      <c r="N60" s="109">
        <f t="shared" si="2"/>
        <v>1.5193738110870285</v>
      </c>
    </row>
    <row r="61" spans="1:14" x14ac:dyDescent="0.15">
      <c r="A61" s="6">
        <v>9</v>
      </c>
      <c r="B61" s="65" t="s">
        <v>34</v>
      </c>
      <c r="C61" s="109">
        <f t="shared" si="7"/>
        <v>0.65257749999999992</v>
      </c>
      <c r="D61" s="109">
        <f t="shared" si="4"/>
        <v>0.65502499999999964</v>
      </c>
      <c r="E61" s="109"/>
      <c r="F61" s="109">
        <f t="shared" si="5"/>
        <v>0.8124880000000001</v>
      </c>
      <c r="G61" s="109">
        <f t="shared" si="6"/>
        <v>0.78400000000000003</v>
      </c>
      <c r="H61" s="24" t="s">
        <v>34</v>
      </c>
      <c r="I61" s="110">
        <v>1.1341891375617712</v>
      </c>
      <c r="J61" s="110">
        <v>1.1161842674312428</v>
      </c>
      <c r="K61" s="109">
        <f t="shared" si="0"/>
        <v>7.2021010235172467</v>
      </c>
      <c r="L61" s="109">
        <f t="shared" si="1"/>
        <v>15.626579744037398</v>
      </c>
      <c r="M61" s="109">
        <f t="shared" si="3"/>
        <v>0.85210102351724704</v>
      </c>
      <c r="N61" s="109">
        <f t="shared" si="2"/>
        <v>1.6265797440373984</v>
      </c>
    </row>
    <row r="62" spans="1:14" x14ac:dyDescent="0.15">
      <c r="A62" s="6">
        <v>10</v>
      </c>
      <c r="B62" s="65" t="s">
        <v>35</v>
      </c>
      <c r="C62" s="109">
        <f t="shared" si="7"/>
        <v>0.69120666666666652</v>
      </c>
      <c r="D62" s="109">
        <f t="shared" si="4"/>
        <v>0.72965416666666638</v>
      </c>
      <c r="E62" s="109"/>
      <c r="F62" s="109">
        <f t="shared" si="5"/>
        <v>0.89765466666666649</v>
      </c>
      <c r="G62" s="109">
        <f t="shared" si="6"/>
        <v>0.90516666666666667</v>
      </c>
      <c r="H62" s="24" t="s">
        <v>35</v>
      </c>
      <c r="I62" s="110">
        <v>1.1252429046706707</v>
      </c>
      <c r="J62" s="110">
        <v>1.1068041405438207</v>
      </c>
      <c r="K62" s="109">
        <f t="shared" si="0"/>
        <v>7.1452924446587582</v>
      </c>
      <c r="L62" s="109">
        <f t="shared" si="1"/>
        <v>15.49525796761349</v>
      </c>
      <c r="M62" s="109">
        <f t="shared" si="3"/>
        <v>0.79529244465875859</v>
      </c>
      <c r="N62" s="109">
        <f t="shared" si="2"/>
        <v>1.4952579676134903</v>
      </c>
    </row>
    <row r="63" spans="1:14" x14ac:dyDescent="0.15">
      <c r="A63" s="6">
        <v>11</v>
      </c>
      <c r="B63" s="65" t="s">
        <v>36</v>
      </c>
      <c r="C63" s="109">
        <f t="shared" si="7"/>
        <v>0.72983583333333313</v>
      </c>
      <c r="D63" s="109">
        <f t="shared" si="4"/>
        <v>0.80428333333333291</v>
      </c>
      <c r="E63" s="109"/>
      <c r="F63" s="109">
        <f t="shared" si="5"/>
        <v>0.98282133333333332</v>
      </c>
      <c r="G63" s="109">
        <f t="shared" si="6"/>
        <v>1.0263333333333333</v>
      </c>
      <c r="H63" s="24" t="s">
        <v>36</v>
      </c>
      <c r="I63" s="110">
        <v>1.0761982888910093</v>
      </c>
      <c r="J63" s="110">
        <v>1.0650079384676201</v>
      </c>
      <c r="K63" s="109">
        <f t="shared" si="0"/>
        <v>6.8338591344579092</v>
      </c>
      <c r="L63" s="109">
        <f t="shared" si="1"/>
        <v>14.910111138546682</v>
      </c>
      <c r="M63" s="109">
        <f t="shared" si="3"/>
        <v>0.48385913445790951</v>
      </c>
      <c r="N63" s="109">
        <f t="shared" si="2"/>
        <v>0.91011113854668224</v>
      </c>
    </row>
    <row r="64" spans="1:14" x14ac:dyDescent="0.15">
      <c r="A64" s="6">
        <v>12</v>
      </c>
      <c r="B64" s="65" t="s">
        <v>37</v>
      </c>
      <c r="C64" s="109">
        <f>IF(C$19,C$19,$A64*C$20)+C$11*C$12*$A64/12+SUM(C$38:C$42)-C$11*C$12*$C$32</f>
        <v>0.76846499999999984</v>
      </c>
      <c r="D64" s="109">
        <f t="shared" si="4"/>
        <v>0.87891249999999965</v>
      </c>
      <c r="E64" s="109"/>
      <c r="F64" s="109">
        <f t="shared" si="5"/>
        <v>1.0679879999999999</v>
      </c>
      <c r="G64" s="109">
        <f t="shared" si="6"/>
        <v>1.1475</v>
      </c>
      <c r="H64" s="24" t="s">
        <v>37</v>
      </c>
      <c r="I64" s="110">
        <v>1.0126471001774309</v>
      </c>
      <c r="J64" s="110">
        <v>1.0187250403852839</v>
      </c>
      <c r="K64" s="109">
        <f t="shared" si="0"/>
        <v>6.4303090861266856</v>
      </c>
      <c r="L64" s="109">
        <f t="shared" si="1"/>
        <v>14.262150565393974</v>
      </c>
      <c r="M64" s="109">
        <f t="shared" si="3"/>
        <v>8.0309086126685969E-2</v>
      </c>
      <c r="N64" s="109">
        <f t="shared" si="2"/>
        <v>0.26215056539397352</v>
      </c>
    </row>
    <row r="65" spans="1:11" x14ac:dyDescent="0.15">
      <c r="H65" s="108" t="s">
        <v>46</v>
      </c>
    </row>
    <row r="67" spans="1:11" customFormat="1" x14ac:dyDescent="0.15">
      <c r="A67" s="117" t="s">
        <v>65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15">
      <c r="A68" s="127" t="s">
        <v>60</v>
      </c>
      <c r="B68" s="19"/>
      <c r="C68" s="19"/>
      <c r="D68" s="19"/>
      <c r="E68" s="19"/>
      <c r="F68" s="19"/>
      <c r="G68" s="19"/>
    </row>
    <row r="69" spans="1:11" x14ac:dyDescent="0.15">
      <c r="A69" s="127" t="s">
        <v>61</v>
      </c>
    </row>
    <row r="70" spans="1:11" x14ac:dyDescent="0.15">
      <c r="A70" s="127" t="s">
        <v>62</v>
      </c>
    </row>
    <row r="71" spans="1:11" x14ac:dyDescent="0.15">
      <c r="A71" s="127" t="s">
        <v>63</v>
      </c>
    </row>
    <row r="72" spans="1:11" x14ac:dyDescent="0.15">
      <c r="A72" s="127" t="s">
        <v>64</v>
      </c>
    </row>
    <row r="73" spans="1:11" x14ac:dyDescent="0.15">
      <c r="A73" s="127" t="s">
        <v>59</v>
      </c>
    </row>
    <row r="75" spans="1:11" x14ac:dyDescent="0.15">
      <c r="A75" s="117" t="s">
        <v>75</v>
      </c>
      <c r="C75" s="1"/>
      <c r="D75" s="1"/>
      <c r="E75" s="1"/>
    </row>
    <row r="76" spans="1:11" x14ac:dyDescent="0.15">
      <c r="A76" s="118" t="s">
        <v>45</v>
      </c>
    </row>
    <row r="77" spans="1:11" x14ac:dyDescent="0.15">
      <c r="A77" s="119" t="s">
        <v>14</v>
      </c>
    </row>
    <row r="78" spans="1:11" x14ac:dyDescent="0.15">
      <c r="A78" s="120">
        <f ca="1">TODAY()</f>
        <v>45056</v>
      </c>
      <c r="C78" s="25"/>
    </row>
    <row r="79" spans="1:11" customFormat="1" x14ac:dyDescent="0.15">
      <c r="A79" s="106" t="s">
        <v>0</v>
      </c>
      <c r="B79" s="2"/>
    </row>
    <row r="80" spans="1:11" customFormat="1" x14ac:dyDescent="0.15">
      <c r="A80" s="116" t="s">
        <v>49</v>
      </c>
      <c r="B80" s="2"/>
      <c r="C80" s="112"/>
      <c r="D80" s="112"/>
      <c r="E80" s="112"/>
      <c r="F80" s="112"/>
      <c r="G80" s="112"/>
      <c r="H80" s="112"/>
      <c r="I80" s="112"/>
      <c r="J80" s="112"/>
      <c r="K80" s="112"/>
    </row>
    <row r="81" spans="1:11" customFormat="1" x14ac:dyDescent="0.15">
      <c r="B81" s="112"/>
      <c r="C81" s="112"/>
      <c r="D81" s="112"/>
      <c r="E81" s="112"/>
      <c r="F81" s="112"/>
      <c r="G81" s="112"/>
      <c r="H81" s="112"/>
      <c r="I81" s="112"/>
      <c r="J81" s="112"/>
      <c r="K81" s="112"/>
    </row>
    <row r="87" spans="1:11" x14ac:dyDescent="0.15">
      <c r="A87" s="2"/>
    </row>
  </sheetData>
  <sheetProtection sheet="1" objects="1" scenarios="1"/>
  <scenarios current="0">
    <scenario name="Graph" count="4" user="William Edwards" comment="Created by William Edwards on 12/31/2001_x000a_Modified by William Edwards on 12/31/2001">
      <inputCells r="C13" val="1" numFmtId="166"/>
      <inputCells r="D13" val="1" numFmtId="166"/>
      <inputCells r="F13" val="1" numFmtId="166"/>
      <inputCells r="G13" val="1" numFmtId="166"/>
    </scenario>
  </scenarios>
  <phoneticPr fontId="6" type="noConversion"/>
  <hyperlinks>
    <hyperlink ref="A3" r:id="rId1" display="Crop Production Cost Budgets has more information on the cost and returns for growing a corn crop after a previous crop of corn." xr:uid="{00000000-0004-0000-0000-000000000000}"/>
    <hyperlink ref="A3:F4" r:id="rId2" display="Cost of Storing Grain has more information on projecting the costs of storing grain past harvest in commerical storage or an existing farm facility." xr:uid="{00000000-0004-0000-0000-000001000000}"/>
    <hyperlink ref="A76" r:id="rId3" display="Prepared by William Edwards, Extension Economist" xr:uid="{00000000-0004-0000-0000-000002000000}"/>
    <hyperlink ref="A2:C2" r:id="rId4" display="Ag Decision Maker -- Iowa State University Extension and Outreach" xr:uid="{00000000-0004-0000-0000-000003000000}"/>
    <hyperlink ref="A3:B3" r:id="rId5" display="Cost of Storing Grain has more information on projecting the costs of storing grain past harvest in commercial storage or an existing farm facility." xr:uid="{00000000-0004-0000-0000-000004000000}"/>
    <hyperlink ref="A80" r:id="rId6" display="https://www.extension.iastate.edu/diversity/ext" xr:uid="{00000000-0004-0000-0000-000005000000}"/>
  </hyperlinks>
  <pageMargins left="0.75" right="0.75" top="0.75" bottom="0.75" header="0.5" footer="0.5"/>
  <pageSetup scale="68" fitToHeight="2" orientation="portrait" horizontalDpi="4294967294" verticalDpi="300" r:id="rId7"/>
  <headerFooter alignWithMargins="0"/>
  <colBreaks count="1" manualBreakCount="1">
    <brk id="7" max="78" man="1"/>
  </colBreaks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P87"/>
  <sheetViews>
    <sheetView showGridLines="0" zoomScale="110" zoomScaleNormal="110" zoomScaleSheetLayoutView="100" workbookViewId="0"/>
  </sheetViews>
  <sheetFormatPr baseColWidth="10" defaultColWidth="9.1640625" defaultRowHeight="13" x14ac:dyDescent="0.15"/>
  <cols>
    <col min="1" max="1" width="48.5" customWidth="1"/>
    <col min="2" max="2" width="29.6640625" style="2" customWidth="1"/>
    <col min="3" max="3" width="12.6640625" style="2" customWidth="1"/>
    <col min="4" max="4" width="12.5" style="2" customWidth="1"/>
    <col min="5" max="5" width="3.6640625" style="2" customWidth="1"/>
    <col min="6" max="7" width="12.6640625" style="2" customWidth="1"/>
    <col min="8" max="8" width="10" style="2" bestFit="1" customWidth="1"/>
    <col min="9" max="14" width="10.6640625" style="2" customWidth="1"/>
    <col min="15" max="16384" width="9.1640625" style="2"/>
  </cols>
  <sheetData>
    <row r="1" spans="1:16" s="123" customFormat="1" ht="24" customHeight="1" thickBot="1" x14ac:dyDescent="0.25">
      <c r="A1" s="122" t="s">
        <v>43</v>
      </c>
      <c r="P1" s="126" t="s">
        <v>51</v>
      </c>
    </row>
    <row r="2" spans="1:16" ht="15" thickTop="1" x14ac:dyDescent="0.15">
      <c r="A2" s="121" t="s">
        <v>44</v>
      </c>
      <c r="B2" s="121"/>
      <c r="C2" s="121"/>
      <c r="D2" s="21"/>
      <c r="E2" s="21"/>
      <c r="F2" s="21"/>
    </row>
    <row r="3" spans="1:16" ht="12.75" customHeight="1" x14ac:dyDescent="0.15">
      <c r="A3" s="116" t="s">
        <v>50</v>
      </c>
      <c r="B3" s="104"/>
      <c r="C3" s="104"/>
      <c r="D3" s="104"/>
      <c r="E3" s="104"/>
      <c r="F3" s="104"/>
      <c r="G3" s="20"/>
      <c r="H3" s="20"/>
      <c r="I3" s="20"/>
      <c r="J3" s="20"/>
    </row>
    <row r="4" spans="1:16" x14ac:dyDescent="0.15">
      <c r="A4" s="104"/>
      <c r="B4" s="104"/>
      <c r="C4" s="104"/>
      <c r="D4" s="104"/>
      <c r="E4" s="104"/>
      <c r="F4" s="104"/>
      <c r="G4" s="20"/>
      <c r="H4" s="20"/>
      <c r="I4" s="20"/>
      <c r="J4" s="20"/>
    </row>
    <row r="5" spans="1:16" x14ac:dyDescent="0.15">
      <c r="A5" s="105" t="s">
        <v>13</v>
      </c>
      <c r="B5" s="23"/>
      <c r="C5" s="23"/>
      <c r="D5" s="23"/>
      <c r="E5" s="23"/>
      <c r="F5"/>
      <c r="G5"/>
    </row>
    <row r="6" spans="1:16" ht="14" thickBot="1" x14ac:dyDescent="0.2">
      <c r="B6" s="18"/>
    </row>
    <row r="7" spans="1:16" ht="14" x14ac:dyDescent="0.15">
      <c r="B7" s="4" t="s">
        <v>0</v>
      </c>
      <c r="C7" s="114" t="s">
        <v>2</v>
      </c>
      <c r="D7" s="113"/>
      <c r="E7" s="3"/>
      <c r="F7" s="115" t="s">
        <v>4</v>
      </c>
      <c r="G7" s="113"/>
      <c r="H7" s="3"/>
    </row>
    <row r="8" spans="1:16" x14ac:dyDescent="0.15">
      <c r="A8" s="111" t="s">
        <v>11</v>
      </c>
      <c r="B8" s="1"/>
      <c r="C8" s="124" t="s">
        <v>5</v>
      </c>
      <c r="D8" s="125" t="s">
        <v>3</v>
      </c>
      <c r="E8" s="3"/>
      <c r="F8" s="124" t="s">
        <v>5</v>
      </c>
      <c r="G8" s="125" t="s">
        <v>3</v>
      </c>
      <c r="H8" s="3"/>
    </row>
    <row r="9" spans="1:16" ht="3" customHeight="1" x14ac:dyDescent="0.15">
      <c r="A9" s="106"/>
      <c r="B9" s="1"/>
      <c r="C9" s="69"/>
      <c r="D9" s="68"/>
      <c r="E9" s="3"/>
      <c r="F9" s="69"/>
      <c r="G9" s="68"/>
      <c r="H9" s="3"/>
    </row>
    <row r="10" spans="1:16" x14ac:dyDescent="0.15">
      <c r="A10" s="106" t="s">
        <v>21</v>
      </c>
      <c r="C10" s="79"/>
      <c r="D10" s="81">
        <f>C10</f>
        <v>0</v>
      </c>
      <c r="E10" s="30"/>
      <c r="F10" s="79"/>
      <c r="G10" s="81">
        <f>F10</f>
        <v>0</v>
      </c>
      <c r="H10" s="3"/>
    </row>
    <row r="11" spans="1:16" x14ac:dyDescent="0.15">
      <c r="A11" s="117" t="s">
        <v>52</v>
      </c>
      <c r="B11" s="22"/>
      <c r="C11" s="70"/>
      <c r="D11" s="82">
        <f>C11</f>
        <v>0</v>
      </c>
      <c r="E11" s="5"/>
      <c r="F11" s="70"/>
      <c r="G11" s="82">
        <f>F11</f>
        <v>0</v>
      </c>
      <c r="H11" s="5"/>
    </row>
    <row r="12" spans="1:16" x14ac:dyDescent="0.15">
      <c r="A12" s="117" t="s">
        <v>68</v>
      </c>
      <c r="B12" s="22"/>
      <c r="C12" s="35"/>
      <c r="D12" s="83">
        <f>C12</f>
        <v>0</v>
      </c>
      <c r="E12" s="29"/>
      <c r="F12" s="103">
        <f>C12</f>
        <v>0</v>
      </c>
      <c r="G12" s="85">
        <f>C12</f>
        <v>0</v>
      </c>
      <c r="H12" s="7"/>
      <c r="J12" s="31"/>
    </row>
    <row r="13" spans="1:16" x14ac:dyDescent="0.15">
      <c r="A13" s="117" t="s">
        <v>53</v>
      </c>
      <c r="B13" s="22"/>
      <c r="C13" s="66"/>
      <c r="D13" s="84">
        <f>C13</f>
        <v>0</v>
      </c>
      <c r="E13" s="26"/>
      <c r="F13" s="66"/>
      <c r="G13" s="86">
        <f>F13</f>
        <v>0</v>
      </c>
      <c r="H13" s="9"/>
      <c r="J13" s="31"/>
    </row>
    <row r="14" spans="1:16" x14ac:dyDescent="0.15">
      <c r="A14" s="111" t="s">
        <v>8</v>
      </c>
      <c r="C14" s="36"/>
      <c r="D14" s="37"/>
      <c r="E14" s="10"/>
      <c r="F14" s="36"/>
      <c r="G14" s="37"/>
      <c r="H14" s="10"/>
      <c r="J14" s="31"/>
    </row>
    <row r="15" spans="1:16" x14ac:dyDescent="0.15">
      <c r="A15" s="107" t="s">
        <v>54</v>
      </c>
      <c r="B15" s="21"/>
      <c r="C15" s="36"/>
      <c r="D15" s="71"/>
      <c r="E15" s="11"/>
      <c r="F15" s="36"/>
      <c r="G15" s="71"/>
      <c r="H15" s="11"/>
    </row>
    <row r="16" spans="1:16" x14ac:dyDescent="0.15">
      <c r="A16" s="107" t="s">
        <v>55</v>
      </c>
      <c r="B16" s="21"/>
      <c r="C16" s="36"/>
      <c r="D16" s="73"/>
      <c r="E16" s="9"/>
      <c r="F16" s="36"/>
      <c r="G16" s="73"/>
      <c r="H16" s="9"/>
    </row>
    <row r="17" spans="1:8" x14ac:dyDescent="0.15">
      <c r="A17" s="107" t="s">
        <v>56</v>
      </c>
      <c r="B17" s="21"/>
      <c r="C17" s="36"/>
      <c r="D17" s="72"/>
      <c r="E17" s="12"/>
      <c r="F17" s="36"/>
      <c r="G17" s="72"/>
      <c r="H17" s="12"/>
    </row>
    <row r="18" spans="1:8" x14ac:dyDescent="0.15">
      <c r="A18" s="117" t="s">
        <v>58</v>
      </c>
      <c r="C18" s="38"/>
      <c r="D18" s="39"/>
      <c r="E18" s="27"/>
      <c r="F18" s="54"/>
      <c r="G18" s="39"/>
      <c r="H18" s="9"/>
    </row>
    <row r="19" spans="1:8" x14ac:dyDescent="0.15">
      <c r="A19" s="107" t="s">
        <v>72</v>
      </c>
      <c r="B19" s="21"/>
      <c r="C19" s="40"/>
      <c r="D19" s="41"/>
      <c r="E19" s="28"/>
      <c r="F19" s="40"/>
      <c r="G19" s="41"/>
      <c r="H19" s="10"/>
    </row>
    <row r="20" spans="1:8" x14ac:dyDescent="0.15">
      <c r="A20" s="107" t="s">
        <v>73</v>
      </c>
      <c r="B20" s="21"/>
      <c r="C20" s="40"/>
      <c r="D20" s="41"/>
      <c r="E20" s="28"/>
      <c r="F20" s="40"/>
      <c r="G20" s="41"/>
      <c r="H20" s="13"/>
    </row>
    <row r="21" spans="1:8" x14ac:dyDescent="0.15">
      <c r="A21" s="21" t="s">
        <v>15</v>
      </c>
      <c r="B21" s="21"/>
      <c r="C21" s="42"/>
      <c r="D21" s="43"/>
      <c r="E21" s="9"/>
      <c r="F21" s="55"/>
      <c r="G21" s="56"/>
      <c r="H21" s="14"/>
    </row>
    <row r="22" spans="1:8" x14ac:dyDescent="0.15">
      <c r="A22" s="117" t="s">
        <v>67</v>
      </c>
      <c r="B22" s="21"/>
      <c r="C22" s="74"/>
      <c r="D22" s="72"/>
      <c r="E22" s="12"/>
      <c r="F22" s="36"/>
      <c r="G22" s="37"/>
      <c r="H22" s="7"/>
    </row>
    <row r="23" spans="1:8" x14ac:dyDescent="0.15">
      <c r="A23" s="117" t="s">
        <v>71</v>
      </c>
      <c r="B23" s="21"/>
      <c r="C23" s="60"/>
      <c r="D23" s="61"/>
      <c r="E23" s="13"/>
      <c r="F23" s="57"/>
      <c r="G23" s="58"/>
      <c r="H23" s="13"/>
    </row>
    <row r="24" spans="1:8" x14ac:dyDescent="0.15">
      <c r="A24" s="106" t="s">
        <v>16</v>
      </c>
      <c r="B24" s="21"/>
      <c r="C24" s="74"/>
      <c r="D24" s="44"/>
      <c r="E24" s="12"/>
      <c r="F24" s="74"/>
      <c r="G24" s="44"/>
    </row>
    <row r="25" spans="1:8" x14ac:dyDescent="0.15">
      <c r="A25" s="117" t="s">
        <v>69</v>
      </c>
      <c r="B25" s="21"/>
      <c r="C25" s="74"/>
      <c r="D25" s="44"/>
      <c r="E25" s="12"/>
      <c r="F25" s="74"/>
      <c r="G25" s="44"/>
    </row>
    <row r="26" spans="1:8" x14ac:dyDescent="0.15">
      <c r="A26" s="117" t="s">
        <v>70</v>
      </c>
      <c r="B26" s="21"/>
      <c r="C26" s="35"/>
      <c r="D26" s="45"/>
      <c r="E26" s="7"/>
      <c r="F26" s="35"/>
      <c r="G26" s="45"/>
    </row>
    <row r="27" spans="1:8" x14ac:dyDescent="0.15">
      <c r="A27" s="106" t="s">
        <v>17</v>
      </c>
      <c r="B27" s="21"/>
      <c r="C27" s="46"/>
      <c r="D27" s="45"/>
      <c r="E27" s="7"/>
      <c r="F27" s="46"/>
      <c r="G27" s="45"/>
    </row>
    <row r="28" spans="1:8" x14ac:dyDescent="0.15">
      <c r="A28" s="106" t="s">
        <v>18</v>
      </c>
      <c r="B28" s="21"/>
      <c r="C28" s="47"/>
      <c r="D28" s="48"/>
      <c r="E28" s="34"/>
      <c r="F28" s="47"/>
      <c r="G28" s="45"/>
    </row>
    <row r="29" spans="1:8" x14ac:dyDescent="0.15">
      <c r="A29" s="106" t="s">
        <v>19</v>
      </c>
      <c r="B29" s="21"/>
      <c r="C29" s="75"/>
      <c r="D29" s="45"/>
      <c r="E29" s="7"/>
      <c r="F29" s="76">
        <f>C29</f>
        <v>0</v>
      </c>
      <c r="G29" s="45"/>
    </row>
    <row r="30" spans="1:8" x14ac:dyDescent="0.15">
      <c r="A30" s="117" t="s">
        <v>74</v>
      </c>
      <c r="B30" s="21"/>
      <c r="C30" s="67"/>
      <c r="D30" s="49"/>
      <c r="E30" s="32"/>
      <c r="F30" s="67"/>
      <c r="G30" s="45"/>
    </row>
    <row r="31" spans="1:8" x14ac:dyDescent="0.15">
      <c r="A31" s="106" t="s">
        <v>20</v>
      </c>
      <c r="B31" s="21"/>
      <c r="C31" s="77"/>
      <c r="D31" s="50"/>
      <c r="E31" s="11"/>
      <c r="F31" s="78">
        <f>C31</f>
        <v>0</v>
      </c>
      <c r="G31" s="50"/>
      <c r="H31" s="15"/>
    </row>
    <row r="32" spans="1:8" x14ac:dyDescent="0.15">
      <c r="A32" s="106" t="s">
        <v>26</v>
      </c>
      <c r="B32" s="21"/>
      <c r="C32" s="80"/>
      <c r="D32" s="51"/>
      <c r="F32" s="59">
        <f>C32</f>
        <v>0</v>
      </c>
      <c r="G32" s="51"/>
      <c r="H32" s="16"/>
    </row>
    <row r="33" spans="1:8" x14ac:dyDescent="0.15">
      <c r="B33" s="22"/>
      <c r="C33" s="52"/>
      <c r="D33" s="51"/>
      <c r="F33" s="59"/>
      <c r="G33" s="51"/>
      <c r="H33" s="16"/>
    </row>
    <row r="34" spans="1:8" x14ac:dyDescent="0.15">
      <c r="A34" s="117" t="s">
        <v>66</v>
      </c>
      <c r="B34" s="33"/>
      <c r="C34" s="53"/>
      <c r="D34" s="51"/>
      <c r="F34" s="53"/>
      <c r="G34" s="51"/>
      <c r="H34" s="10"/>
    </row>
    <row r="35" spans="1:8" x14ac:dyDescent="0.15">
      <c r="A35" s="117" t="s">
        <v>8</v>
      </c>
      <c r="C35" s="38"/>
      <c r="D35" s="87">
        <f>IF((D13-D16&lt;0),D15,D15+(D13-D16)*D17)</f>
        <v>0</v>
      </c>
      <c r="E35" s="15"/>
      <c r="F35" s="38"/>
      <c r="G35" s="87">
        <f>IF((G13-G16&lt;0),G15,G15+(G13-G16)*G17)</f>
        <v>0</v>
      </c>
      <c r="H35" s="10"/>
    </row>
    <row r="36" spans="1:8" x14ac:dyDescent="0.15">
      <c r="A36" s="117" t="s">
        <v>7</v>
      </c>
      <c r="C36" s="88">
        <f>IF(C19,C19,C13*C20)</f>
        <v>0</v>
      </c>
      <c r="D36" s="89"/>
      <c r="E36" s="10"/>
      <c r="F36" s="88">
        <f>IF(F19,F19,F13*F20)</f>
        <v>0</v>
      </c>
      <c r="G36" s="89"/>
      <c r="H36" s="10"/>
    </row>
    <row r="37" spans="1:8" x14ac:dyDescent="0.15">
      <c r="A37" s="117" t="s">
        <v>9</v>
      </c>
      <c r="C37" s="90">
        <f>C11*C12*C13/12</f>
        <v>0</v>
      </c>
      <c r="D37" s="91">
        <f>D11*D12*D13/12</f>
        <v>0</v>
      </c>
      <c r="E37" s="16"/>
      <c r="F37" s="90">
        <f>F11*F12*F13/12</f>
        <v>0</v>
      </c>
      <c r="G37" s="91">
        <f>G11*G12*G13/12</f>
        <v>0</v>
      </c>
      <c r="H37" s="17"/>
    </row>
    <row r="38" spans="1:8" x14ac:dyDescent="0.15">
      <c r="A38" s="117" t="s">
        <v>39</v>
      </c>
      <c r="C38" s="90">
        <f>MAX((0.15-C21)*100*C22,0)+MAX((0.15-C21)*100*C23*C11,0)</f>
        <v>0</v>
      </c>
      <c r="D38" s="91">
        <f>MAX((0.15-D21)*100*D22,0)+MAX((0.15-D21)*100*D23*D11,0)</f>
        <v>0</v>
      </c>
      <c r="E38" s="17"/>
      <c r="F38" s="90"/>
      <c r="G38" s="92"/>
      <c r="H38" s="16"/>
    </row>
    <row r="39" spans="1:8" x14ac:dyDescent="0.15">
      <c r="A39" s="106" t="s">
        <v>40</v>
      </c>
      <c r="C39" s="90">
        <f>C24+C25</f>
        <v>0</v>
      </c>
      <c r="D39" s="92"/>
      <c r="E39" s="17"/>
      <c r="F39" s="90">
        <f>F24+F25</f>
        <v>0</v>
      </c>
      <c r="G39" s="92"/>
      <c r="H39" s="15"/>
    </row>
    <row r="40" spans="1:8" x14ac:dyDescent="0.15">
      <c r="A40" s="117" t="s">
        <v>1</v>
      </c>
      <c r="C40" s="90">
        <f>C11*C26</f>
        <v>0</v>
      </c>
      <c r="D40" s="93"/>
      <c r="E40" s="16"/>
      <c r="F40" s="90">
        <f>F11*F26</f>
        <v>0</v>
      </c>
      <c r="G40" s="93"/>
    </row>
    <row r="41" spans="1:8" x14ac:dyDescent="0.15">
      <c r="A41" s="106" t="s">
        <v>22</v>
      </c>
      <c r="C41" s="90">
        <f>IF(C10&gt;11,0.8*C27*C28*C29/C10,0)</f>
        <v>0</v>
      </c>
      <c r="D41" s="93"/>
      <c r="E41" s="16"/>
      <c r="F41" s="90">
        <f>IF(F10&gt;11,0.8*F27*F28*F29/F10,0)</f>
        <v>0</v>
      </c>
      <c r="G41" s="93"/>
    </row>
    <row r="42" spans="1:8" x14ac:dyDescent="0.15">
      <c r="A42" s="106" t="s">
        <v>23</v>
      </c>
      <c r="C42" s="94">
        <f>IF(C10&gt;0,C30*C31*C13/C10,0)</f>
        <v>0</v>
      </c>
      <c r="D42" s="95"/>
      <c r="E42" s="96"/>
      <c r="F42" s="94">
        <f>IF(F10&gt;0,F30*F31*F13/F10,0)</f>
        <v>0</v>
      </c>
      <c r="G42" s="95"/>
      <c r="H42" s="15"/>
    </row>
    <row r="43" spans="1:8" x14ac:dyDescent="0.15">
      <c r="A43" s="106" t="s">
        <v>10</v>
      </c>
      <c r="C43" s="97">
        <f>SUM(C35:C42)</f>
        <v>0</v>
      </c>
      <c r="D43" s="87">
        <f>SUM(D35:D42)</f>
        <v>0</v>
      </c>
      <c r="E43" s="15"/>
      <c r="F43" s="97">
        <f>SUM(F35:F42)</f>
        <v>0</v>
      </c>
      <c r="G43" s="87">
        <f>SUM(G35:G42)</f>
        <v>0</v>
      </c>
    </row>
    <row r="44" spans="1:8" x14ac:dyDescent="0.15">
      <c r="C44" s="98"/>
      <c r="D44" s="99"/>
      <c r="E44" s="15"/>
      <c r="F44" s="98"/>
      <c r="G44" s="99"/>
    </row>
    <row r="45" spans="1:8" x14ac:dyDescent="0.15">
      <c r="A45" s="106" t="s">
        <v>24</v>
      </c>
      <c r="C45" s="90">
        <f>IF(C13&gt;3,C11*C12*$C32,0)</f>
        <v>0</v>
      </c>
      <c r="D45" s="91">
        <f>IF(D13&gt;3,D11*D12*$C32,0)</f>
        <v>0</v>
      </c>
      <c r="F45" s="90">
        <f>IF(F13&gt;3,F11*F12*$C32,0)</f>
        <v>0</v>
      </c>
      <c r="G45" s="91">
        <f>IF(G13&gt;3,G11*G12*$C32,0)</f>
        <v>0</v>
      </c>
    </row>
    <row r="46" spans="1:8" x14ac:dyDescent="0.15">
      <c r="A46" s="106" t="s">
        <v>25</v>
      </c>
      <c r="C46" s="97">
        <f>C43-C45</f>
        <v>0</v>
      </c>
      <c r="D46" s="87">
        <f>D43-D45</f>
        <v>0</v>
      </c>
      <c r="E46" s="15"/>
      <c r="F46" s="97">
        <f>F43-F45</f>
        <v>0</v>
      </c>
      <c r="G46" s="87">
        <f>G43-G45</f>
        <v>0</v>
      </c>
    </row>
    <row r="47" spans="1:8" x14ac:dyDescent="0.15">
      <c r="A47" s="106"/>
      <c r="C47" s="53"/>
      <c r="D47" s="51"/>
      <c r="F47" s="53"/>
      <c r="G47" s="51"/>
    </row>
    <row r="48" spans="1:8" ht="14" thickBot="1" x14ac:dyDescent="0.2">
      <c r="A48" s="117" t="s">
        <v>57</v>
      </c>
      <c r="C48" s="100">
        <f>C11+C43</f>
        <v>0</v>
      </c>
      <c r="D48" s="101">
        <f>D11+D43</f>
        <v>0</v>
      </c>
      <c r="E48" s="102"/>
      <c r="F48" s="100">
        <f>F11+F43</f>
        <v>0</v>
      </c>
      <c r="G48" s="101">
        <f>G11+G43</f>
        <v>0</v>
      </c>
    </row>
    <row r="50" spans="1:14" ht="13.25" customHeight="1" x14ac:dyDescent="0.15">
      <c r="I50" s="111" t="s">
        <v>47</v>
      </c>
      <c r="J50" s="1"/>
      <c r="N50" s="1"/>
    </row>
    <row r="51" spans="1:14" ht="13.25" customHeight="1" x14ac:dyDescent="0.15">
      <c r="B51" s="1" t="s">
        <v>6</v>
      </c>
      <c r="C51" s="130" t="s">
        <v>2</v>
      </c>
      <c r="D51" s="130"/>
      <c r="E51" s="3"/>
      <c r="F51" s="129" t="s">
        <v>4</v>
      </c>
      <c r="G51" s="129"/>
      <c r="H51" s="1"/>
      <c r="I51" s="111" t="s">
        <v>48</v>
      </c>
      <c r="J51" s="1"/>
      <c r="K51" s="128" t="s">
        <v>41</v>
      </c>
      <c r="L51" s="128"/>
      <c r="M51" s="1" t="s">
        <v>42</v>
      </c>
      <c r="N51" s="1"/>
    </row>
    <row r="52" spans="1:14" x14ac:dyDescent="0.15">
      <c r="B52" s="64" t="s">
        <v>12</v>
      </c>
      <c r="C52" s="63" t="s">
        <v>5</v>
      </c>
      <c r="D52" s="63" t="s">
        <v>3</v>
      </c>
      <c r="E52" s="63"/>
      <c r="F52" s="63" t="s">
        <v>5</v>
      </c>
      <c r="G52" s="63" t="s">
        <v>3</v>
      </c>
      <c r="H52" s="62" t="s">
        <v>12</v>
      </c>
      <c r="I52" s="63" t="s">
        <v>2</v>
      </c>
      <c r="J52" s="63" t="s">
        <v>4</v>
      </c>
      <c r="K52" s="63" t="s">
        <v>2</v>
      </c>
      <c r="L52" s="63" t="s">
        <v>4</v>
      </c>
      <c r="M52" s="63" t="s">
        <v>2</v>
      </c>
      <c r="N52" s="63" t="s">
        <v>4</v>
      </c>
    </row>
    <row r="53" spans="1:14" x14ac:dyDescent="0.15">
      <c r="A53" s="6">
        <v>1</v>
      </c>
      <c r="B53" s="65" t="s">
        <v>38</v>
      </c>
      <c r="C53" s="109">
        <f>IF(C$19,C$19,$A53*C$20)+C$11*C$12*$A53/12+SUM(C$38:C$42)</f>
        <v>0</v>
      </c>
      <c r="D53" s="109">
        <f>D$11*D$12*$A53/12+SUM(D$38:D$42)+IF(($A53-D$16&lt;0),D$15,D$15+($A53-D$16)*D$17)</f>
        <v>0</v>
      </c>
      <c r="E53" s="109"/>
      <c r="F53" s="109">
        <f>IF(F$19,F$19,$A53*F$20)+F$11*F$12*$A53/12+SUM(F$38:F$42)</f>
        <v>0</v>
      </c>
      <c r="G53" s="109">
        <f>G$11*G$12*$A53/12+SUM(G$38:G$42)+IF(($A53-G$16&lt;0),G$15,G$15+($A53-G$16)*G$17)</f>
        <v>0</v>
      </c>
      <c r="H53" s="24" t="s">
        <v>38</v>
      </c>
      <c r="I53" s="110">
        <v>1</v>
      </c>
      <c r="J53" s="110">
        <v>1</v>
      </c>
      <c r="K53" s="109">
        <f t="shared" ref="K53:K64" si="0">$C$11*I53</f>
        <v>0</v>
      </c>
      <c r="L53" s="109">
        <f t="shared" ref="L53:L64" si="1">$F$11*J53</f>
        <v>0</v>
      </c>
      <c r="M53" s="109">
        <f>K53-$C$11</f>
        <v>0</v>
      </c>
      <c r="N53" s="109">
        <f>L53-$F$11</f>
        <v>0</v>
      </c>
    </row>
    <row r="54" spans="1:14" x14ac:dyDescent="0.15">
      <c r="A54" s="8">
        <v>2</v>
      </c>
      <c r="B54" s="65" t="s">
        <v>27</v>
      </c>
      <c r="C54" s="109">
        <f>IF(C$19,C$19,$A54*C$20)+C$11*C$12*$A54/12+SUM(C$38:C$42)</f>
        <v>0</v>
      </c>
      <c r="D54" s="109">
        <f>D$11*D$12*$A54/12+SUM(D$38:D$42)+IF(($A54-D$16&lt;0),D$15,D$15+($A54-D$16)*D$17)</f>
        <v>0</v>
      </c>
      <c r="E54" s="109"/>
      <c r="F54" s="109">
        <f>IF(F$19,F$19,$A54*F$20)+F$11*F$12*$A54/12+SUM(F$38:F$42)</f>
        <v>0</v>
      </c>
      <c r="G54" s="109">
        <f>G$11*G$12*$A54/12+SUM(G$38:G$42)+IF(($A54-G$16&lt;0),G$15,G$15+($A54-G$16)*G$17)</f>
        <v>0</v>
      </c>
      <c r="H54" s="24" t="s">
        <v>27</v>
      </c>
      <c r="I54" s="110">
        <v>0.99765888893295873</v>
      </c>
      <c r="J54" s="110">
        <v>1.0132137318985062</v>
      </c>
      <c r="K54" s="109">
        <f t="shared" si="0"/>
        <v>0</v>
      </c>
      <c r="L54" s="109">
        <f t="shared" si="1"/>
        <v>0</v>
      </c>
      <c r="M54" s="109">
        <f>K54-$C$11</f>
        <v>0</v>
      </c>
      <c r="N54" s="109">
        <f t="shared" ref="N54:N64" si="2">L54-$F$11</f>
        <v>0</v>
      </c>
    </row>
    <row r="55" spans="1:14" x14ac:dyDescent="0.15">
      <c r="A55" s="6">
        <v>3</v>
      </c>
      <c r="B55" s="65" t="s">
        <v>28</v>
      </c>
      <c r="C55" s="109">
        <f>IF(C$19,C$19,$A55*C$20)+C$11*C$12*$A55/12+SUM(C$38:C$42)</f>
        <v>0</v>
      </c>
      <c r="D55" s="109">
        <f>D$11*D$12*$A55/12+SUM(D$38:D$42)+IF(($A55-D$16&lt;0),D$15,D$15+($A55-D$16)*D$17)</f>
        <v>0</v>
      </c>
      <c r="E55" s="109"/>
      <c r="F55" s="109">
        <f>IF(F$19,F$19,$A55*F$20)+F$11*F$12*$A55/12+SUM(F$38:F$42)</f>
        <v>0</v>
      </c>
      <c r="G55" s="109">
        <f>G$11*G$12*$A55/12+SUM(G$38:G$42)+IF(($A55-G$16&lt;0),G$15,G$15+($A55-G$16)*G$17)</f>
        <v>0</v>
      </c>
      <c r="H55" s="24" t="s">
        <v>28</v>
      </c>
      <c r="I55" s="110">
        <v>1.0197329979769587</v>
      </c>
      <c r="J55" s="110">
        <v>1.0246046544684835</v>
      </c>
      <c r="K55" s="109">
        <f t="shared" si="0"/>
        <v>0</v>
      </c>
      <c r="L55" s="109">
        <f t="shared" si="1"/>
        <v>0</v>
      </c>
      <c r="M55" s="109">
        <f t="shared" ref="M55:M64" si="3">K55-$C$11</f>
        <v>0</v>
      </c>
      <c r="N55" s="109">
        <f t="shared" si="2"/>
        <v>0</v>
      </c>
    </row>
    <row r="56" spans="1:14" x14ac:dyDescent="0.15">
      <c r="A56" s="6">
        <v>4</v>
      </c>
      <c r="B56" s="65" t="s">
        <v>29</v>
      </c>
      <c r="C56" s="109">
        <f>IF(C$19,C$19,$A56*C$20)+C$11*C$12*$A56/12+SUM(C$38:C$42)-C$11*C$12*$C$32</f>
        <v>0</v>
      </c>
      <c r="D56" s="109">
        <f t="shared" ref="D56:D64" si="4">D$11*D$12*$A56/12+SUM(D$38:D$42)+IF(($A56-D$16&lt;0),D$15,D$15+($A56-D$16)*D$17)-D$11*D$12*C$32</f>
        <v>0</v>
      </c>
      <c r="E56" s="109"/>
      <c r="F56" s="109">
        <f t="shared" ref="F56:F64" si="5">IF(F$19,F$19,$A56*F$20)+F$11*F$12*$A56/12+SUM(F$38:F$42)-F$11*F$12*F$32</f>
        <v>0</v>
      </c>
      <c r="G56" s="109">
        <f t="shared" ref="G56:G64" si="6">G$11*G$12*$A56/12+SUM(G$38:G$42)+IF(($A56-G$16&lt;0),G$15,G$15+($A56-G$16)*G$17)-G$11*G$12*F$32</f>
        <v>0</v>
      </c>
      <c r="H56" s="24" t="s">
        <v>29</v>
      </c>
      <c r="I56" s="110">
        <v>1.0450017964420062</v>
      </c>
      <c r="J56" s="110">
        <v>1.0332220058902359</v>
      </c>
      <c r="K56" s="109">
        <f>$C$11*I56</f>
        <v>0</v>
      </c>
      <c r="L56" s="109">
        <f t="shared" si="1"/>
        <v>0</v>
      </c>
      <c r="M56" s="109">
        <f t="shared" si="3"/>
        <v>0</v>
      </c>
      <c r="N56" s="109">
        <f t="shared" si="2"/>
        <v>0</v>
      </c>
    </row>
    <row r="57" spans="1:14" x14ac:dyDescent="0.15">
      <c r="A57" s="6">
        <v>5</v>
      </c>
      <c r="B57" s="65" t="s">
        <v>30</v>
      </c>
      <c r="C57" s="109">
        <f t="shared" ref="C57:C63" si="7">IF(C$19,C$19,$A57*C$20)+C$11*C$12*$A57/12+SUM(C$38:C$42)-C$11*C$12*$C$32</f>
        <v>0</v>
      </c>
      <c r="D57" s="109">
        <f t="shared" si="4"/>
        <v>0</v>
      </c>
      <c r="E57" s="109"/>
      <c r="F57" s="109">
        <f t="shared" si="5"/>
        <v>0</v>
      </c>
      <c r="G57" s="109">
        <f t="shared" si="6"/>
        <v>0</v>
      </c>
      <c r="H57" s="24" t="s">
        <v>30</v>
      </c>
      <c r="I57" s="110">
        <v>1.0656769695922681</v>
      </c>
      <c r="J57" s="110">
        <v>1.0616433999874935</v>
      </c>
      <c r="K57" s="109">
        <f t="shared" si="0"/>
        <v>0</v>
      </c>
      <c r="L57" s="109">
        <f t="shared" si="1"/>
        <v>0</v>
      </c>
      <c r="M57" s="109">
        <f t="shared" si="3"/>
        <v>0</v>
      </c>
      <c r="N57" s="109">
        <f t="shared" si="2"/>
        <v>0</v>
      </c>
    </row>
    <row r="58" spans="1:14" x14ac:dyDescent="0.15">
      <c r="A58" s="6">
        <v>6</v>
      </c>
      <c r="B58" s="65" t="s">
        <v>31</v>
      </c>
      <c r="C58" s="109">
        <f t="shared" si="7"/>
        <v>0</v>
      </c>
      <c r="D58" s="109">
        <f t="shared" si="4"/>
        <v>0</v>
      </c>
      <c r="E58" s="109"/>
      <c r="F58" s="109">
        <f t="shared" si="5"/>
        <v>0</v>
      </c>
      <c r="G58" s="109">
        <f t="shared" si="6"/>
        <v>0</v>
      </c>
      <c r="H58" s="24" t="s">
        <v>31</v>
      </c>
      <c r="I58" s="110">
        <v>1.082960473911101</v>
      </c>
      <c r="J58" s="110">
        <v>1.0782904962609219</v>
      </c>
      <c r="K58" s="109">
        <f t="shared" si="0"/>
        <v>0</v>
      </c>
      <c r="L58" s="109">
        <f t="shared" si="1"/>
        <v>0</v>
      </c>
      <c r="M58" s="109">
        <f t="shared" si="3"/>
        <v>0</v>
      </c>
      <c r="N58" s="109">
        <f t="shared" si="2"/>
        <v>0</v>
      </c>
    </row>
    <row r="59" spans="1:14" x14ac:dyDescent="0.15">
      <c r="A59" s="6">
        <v>7</v>
      </c>
      <c r="B59" s="65" t="s">
        <v>32</v>
      </c>
      <c r="C59" s="109">
        <f t="shared" si="7"/>
        <v>0</v>
      </c>
      <c r="D59" s="109">
        <f t="shared" si="4"/>
        <v>0</v>
      </c>
      <c r="E59" s="109"/>
      <c r="F59" s="109">
        <f t="shared" si="5"/>
        <v>0</v>
      </c>
      <c r="G59" s="109">
        <f t="shared" si="6"/>
        <v>0</v>
      </c>
      <c r="H59" s="24" t="s">
        <v>32</v>
      </c>
      <c r="I59" s="110">
        <v>1.098332112646784</v>
      </c>
      <c r="J59" s="110">
        <v>1.088563097170806</v>
      </c>
      <c r="K59" s="109">
        <f t="shared" si="0"/>
        <v>0</v>
      </c>
      <c r="L59" s="109">
        <f t="shared" si="1"/>
        <v>0</v>
      </c>
      <c r="M59" s="109">
        <f t="shared" si="3"/>
        <v>0</v>
      </c>
      <c r="N59" s="109">
        <f t="shared" si="2"/>
        <v>0</v>
      </c>
    </row>
    <row r="60" spans="1:14" x14ac:dyDescent="0.15">
      <c r="A60" s="6">
        <v>8</v>
      </c>
      <c r="B60" s="65" t="s">
        <v>33</v>
      </c>
      <c r="C60" s="109">
        <f t="shared" si="7"/>
        <v>0</v>
      </c>
      <c r="D60" s="109">
        <f t="shared" si="4"/>
        <v>0</v>
      </c>
      <c r="E60" s="109"/>
      <c r="F60" s="109">
        <f t="shared" si="5"/>
        <v>0</v>
      </c>
      <c r="G60" s="109">
        <f t="shared" si="6"/>
        <v>0</v>
      </c>
      <c r="H60" s="24" t="s">
        <v>33</v>
      </c>
      <c r="I60" s="110">
        <v>1.1195783449007801</v>
      </c>
      <c r="J60" s="110">
        <v>1.1085267007919306</v>
      </c>
      <c r="K60" s="109">
        <f t="shared" si="0"/>
        <v>0</v>
      </c>
      <c r="L60" s="109">
        <f t="shared" si="1"/>
        <v>0</v>
      </c>
      <c r="M60" s="109">
        <f t="shared" si="3"/>
        <v>0</v>
      </c>
      <c r="N60" s="109">
        <f t="shared" si="2"/>
        <v>0</v>
      </c>
    </row>
    <row r="61" spans="1:14" x14ac:dyDescent="0.15">
      <c r="A61" s="6">
        <v>9</v>
      </c>
      <c r="B61" s="65" t="s">
        <v>34</v>
      </c>
      <c r="C61" s="109">
        <f t="shared" si="7"/>
        <v>0</v>
      </c>
      <c r="D61" s="109">
        <f t="shared" si="4"/>
        <v>0</v>
      </c>
      <c r="E61" s="109"/>
      <c r="F61" s="109">
        <f t="shared" si="5"/>
        <v>0</v>
      </c>
      <c r="G61" s="109">
        <f t="shared" si="6"/>
        <v>0</v>
      </c>
      <c r="H61" s="24" t="s">
        <v>34</v>
      </c>
      <c r="I61" s="110">
        <v>1.1341891375617712</v>
      </c>
      <c r="J61" s="110">
        <v>1.1161842674312428</v>
      </c>
      <c r="K61" s="109">
        <f t="shared" si="0"/>
        <v>0</v>
      </c>
      <c r="L61" s="109">
        <f t="shared" si="1"/>
        <v>0</v>
      </c>
      <c r="M61" s="109">
        <f t="shared" si="3"/>
        <v>0</v>
      </c>
      <c r="N61" s="109">
        <f t="shared" si="2"/>
        <v>0</v>
      </c>
    </row>
    <row r="62" spans="1:14" x14ac:dyDescent="0.15">
      <c r="A62" s="6">
        <v>10</v>
      </c>
      <c r="B62" s="65" t="s">
        <v>35</v>
      </c>
      <c r="C62" s="109">
        <f t="shared" si="7"/>
        <v>0</v>
      </c>
      <c r="D62" s="109">
        <f t="shared" si="4"/>
        <v>0</v>
      </c>
      <c r="E62" s="109"/>
      <c r="F62" s="109">
        <f t="shared" si="5"/>
        <v>0</v>
      </c>
      <c r="G62" s="109">
        <f t="shared" si="6"/>
        <v>0</v>
      </c>
      <c r="H62" s="24" t="s">
        <v>35</v>
      </c>
      <c r="I62" s="110">
        <v>1.1252429046706707</v>
      </c>
      <c r="J62" s="110">
        <v>1.1068041405438207</v>
      </c>
      <c r="K62" s="109">
        <f t="shared" si="0"/>
        <v>0</v>
      </c>
      <c r="L62" s="109">
        <f t="shared" si="1"/>
        <v>0</v>
      </c>
      <c r="M62" s="109">
        <f t="shared" si="3"/>
        <v>0</v>
      </c>
      <c r="N62" s="109">
        <f t="shared" si="2"/>
        <v>0</v>
      </c>
    </row>
    <row r="63" spans="1:14" x14ac:dyDescent="0.15">
      <c r="A63" s="6">
        <v>11</v>
      </c>
      <c r="B63" s="65" t="s">
        <v>36</v>
      </c>
      <c r="C63" s="109">
        <f t="shared" si="7"/>
        <v>0</v>
      </c>
      <c r="D63" s="109">
        <f t="shared" si="4"/>
        <v>0</v>
      </c>
      <c r="E63" s="109"/>
      <c r="F63" s="109">
        <f t="shared" si="5"/>
        <v>0</v>
      </c>
      <c r="G63" s="109">
        <f t="shared" si="6"/>
        <v>0</v>
      </c>
      <c r="H63" s="24" t="s">
        <v>36</v>
      </c>
      <c r="I63" s="110">
        <v>1.0761982888910093</v>
      </c>
      <c r="J63" s="110">
        <v>1.0650079384676201</v>
      </c>
      <c r="K63" s="109">
        <f t="shared" si="0"/>
        <v>0</v>
      </c>
      <c r="L63" s="109">
        <f t="shared" si="1"/>
        <v>0</v>
      </c>
      <c r="M63" s="109">
        <f t="shared" si="3"/>
        <v>0</v>
      </c>
      <c r="N63" s="109">
        <f t="shared" si="2"/>
        <v>0</v>
      </c>
    </row>
    <row r="64" spans="1:14" x14ac:dyDescent="0.15">
      <c r="A64" s="6">
        <v>12</v>
      </c>
      <c r="B64" s="65" t="s">
        <v>37</v>
      </c>
      <c r="C64" s="109">
        <f>IF(C$19,C$19,$A64*C$20)+C$11*C$12*$A64/12+SUM(C$38:C$42)-C$11*C$12*$C$32</f>
        <v>0</v>
      </c>
      <c r="D64" s="109">
        <f t="shared" si="4"/>
        <v>0</v>
      </c>
      <c r="E64" s="109"/>
      <c r="F64" s="109">
        <f t="shared" si="5"/>
        <v>0</v>
      </c>
      <c r="G64" s="109">
        <f t="shared" si="6"/>
        <v>0</v>
      </c>
      <c r="H64" s="24" t="s">
        <v>37</v>
      </c>
      <c r="I64" s="110">
        <v>1.0126471001774309</v>
      </c>
      <c r="J64" s="110">
        <v>1.0187250403852839</v>
      </c>
      <c r="K64" s="109">
        <f t="shared" si="0"/>
        <v>0</v>
      </c>
      <c r="L64" s="109">
        <f t="shared" si="1"/>
        <v>0</v>
      </c>
      <c r="M64" s="109">
        <f t="shared" si="3"/>
        <v>0</v>
      </c>
      <c r="N64" s="109">
        <f t="shared" si="2"/>
        <v>0</v>
      </c>
    </row>
    <row r="65" spans="1:11" x14ac:dyDescent="0.15">
      <c r="H65" s="108" t="s">
        <v>46</v>
      </c>
    </row>
    <row r="67" spans="1:11" customFormat="1" x14ac:dyDescent="0.15">
      <c r="A67" s="117" t="s">
        <v>65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15">
      <c r="A68" s="127" t="s">
        <v>60</v>
      </c>
      <c r="B68" s="19"/>
      <c r="C68" s="19"/>
      <c r="D68" s="19"/>
      <c r="E68" s="19"/>
      <c r="F68" s="19"/>
      <c r="G68" s="19"/>
    </row>
    <row r="69" spans="1:11" x14ac:dyDescent="0.15">
      <c r="A69" s="127" t="s">
        <v>61</v>
      </c>
    </row>
    <row r="70" spans="1:11" x14ac:dyDescent="0.15">
      <c r="A70" s="127" t="s">
        <v>62</v>
      </c>
    </row>
    <row r="71" spans="1:11" x14ac:dyDescent="0.15">
      <c r="A71" s="127" t="s">
        <v>63</v>
      </c>
    </row>
    <row r="72" spans="1:11" x14ac:dyDescent="0.15">
      <c r="A72" s="127" t="s">
        <v>64</v>
      </c>
    </row>
    <row r="73" spans="1:11" x14ac:dyDescent="0.15">
      <c r="A73" s="127" t="s">
        <v>59</v>
      </c>
    </row>
    <row r="75" spans="1:11" x14ac:dyDescent="0.15">
      <c r="A75" s="117" t="s">
        <v>75</v>
      </c>
      <c r="C75" s="1"/>
      <c r="D75" s="1"/>
      <c r="E75" s="1"/>
    </row>
    <row r="76" spans="1:11" x14ac:dyDescent="0.15">
      <c r="A76" s="118" t="s">
        <v>45</v>
      </c>
    </row>
    <row r="77" spans="1:11" x14ac:dyDescent="0.15">
      <c r="A77" s="119" t="s">
        <v>14</v>
      </c>
    </row>
    <row r="78" spans="1:11" x14ac:dyDescent="0.15">
      <c r="A78" s="120">
        <f ca="1">TODAY()</f>
        <v>45056</v>
      </c>
      <c r="C78" s="25"/>
    </row>
    <row r="79" spans="1:11" customFormat="1" x14ac:dyDescent="0.15">
      <c r="A79" s="106" t="s">
        <v>0</v>
      </c>
      <c r="B79" s="2"/>
    </row>
    <row r="80" spans="1:11" customFormat="1" x14ac:dyDescent="0.15">
      <c r="A80" s="116" t="s">
        <v>49</v>
      </c>
      <c r="B80" s="2"/>
      <c r="C80" s="112"/>
      <c r="D80" s="112"/>
      <c r="E80" s="112"/>
      <c r="F80" s="112"/>
      <c r="G80" s="112"/>
      <c r="H80" s="112"/>
      <c r="I80" s="112"/>
      <c r="J80" s="112"/>
      <c r="K80" s="112"/>
    </row>
    <row r="81" spans="1:11" customFormat="1" x14ac:dyDescent="0.15">
      <c r="B81" s="112"/>
      <c r="C81" s="112"/>
      <c r="D81" s="112"/>
      <c r="E81" s="112"/>
      <c r="F81" s="112"/>
      <c r="G81" s="112"/>
      <c r="H81" s="112"/>
      <c r="I81" s="112"/>
      <c r="J81" s="112"/>
      <c r="K81" s="112"/>
    </row>
    <row r="87" spans="1:11" x14ac:dyDescent="0.15">
      <c r="A87" s="2"/>
    </row>
  </sheetData>
  <sheetProtection sheet="1" objects="1" scenarios="1"/>
  <scenarios current="0">
    <scenario name="Graph" count="4" user="William Edwards" comment="Created by William Edwards on 12/31/2001_x000a_Modified by William Edwards on 12/31/2001">
      <inputCells r="C13" val="1" numFmtId="166"/>
      <inputCells r="D13" val="1" numFmtId="166"/>
      <inputCells r="F13" val="1" numFmtId="166"/>
      <inputCells r="G13" val="1" numFmtId="166"/>
    </scenario>
  </scenarios>
  <hyperlinks>
    <hyperlink ref="A3" r:id="rId1" display="Crop Production Cost Budgets has more information on the cost and returns for growing a corn crop after a previous crop of corn." xr:uid="{00000000-0004-0000-0100-000000000000}"/>
    <hyperlink ref="A3:F4" r:id="rId2" display="Cost of Storing Grain has more information on projecting the costs of storing grain past harvest in commerical storage or an existing farm facility." xr:uid="{00000000-0004-0000-0100-000001000000}"/>
    <hyperlink ref="A76" r:id="rId3" display="Prepared by William Edwards, Extension Economist" xr:uid="{00000000-0004-0000-0100-000002000000}"/>
    <hyperlink ref="A2:C2" r:id="rId4" display="Ag Decision Maker -- Iowa State University Extension and Outreach" xr:uid="{00000000-0004-0000-0100-000003000000}"/>
    <hyperlink ref="A3:B3" r:id="rId5" display="Cost of Storing Grain has more information on projecting the costs of storing grain past harvest in commercial storage or an existing farm facility." xr:uid="{00000000-0004-0000-0100-000004000000}"/>
    <hyperlink ref="A80" r:id="rId6" display="https://www.extension.iastate.edu/diversity/ext" xr:uid="{00000000-0004-0000-0100-000005000000}"/>
  </hyperlinks>
  <pageMargins left="0.75" right="0.75" top="0.75" bottom="0.75" header="0.5" footer="0.5"/>
  <pageSetup scale="68" fitToHeight="2" orientation="portrait" horizontalDpi="4294967294" verticalDpi="300" r:id="rId7"/>
  <headerFooter alignWithMargins="0"/>
  <colBreaks count="1" manualBreakCount="1">
    <brk id="7" max="78" man="1"/>
  </colBreaks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Company>ISU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</dc:creator>
  <cp:lastModifiedBy>Microsoft Office User</cp:lastModifiedBy>
  <cp:lastPrinted>2018-12-14T16:07:18Z</cp:lastPrinted>
  <dcterms:created xsi:type="dcterms:W3CDTF">2000-11-08T21:50:06Z</dcterms:created>
  <dcterms:modified xsi:type="dcterms:W3CDTF">2023-05-10T21:12:01Z</dcterms:modified>
</cp:coreProperties>
</file>