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holste\Box Sync\AAnns Files\Farm Bill\"/>
    </mc:Choice>
  </mc:AlternateContent>
  <workbookProtection workbookPassword="C0C6" lockStructure="1"/>
  <bookViews>
    <workbookView xWindow="0" yWindow="0" windowWidth="25200" windowHeight="10785"/>
  </bookViews>
  <sheets>
    <sheet name="Example" sheetId="8" r:id="rId1"/>
    <sheet name="Blank" sheetId="13" r:id="rId2"/>
  </sheets>
  <definedNames>
    <definedName name="_xlnm.Print_Area" localSheetId="1">Blank!$C$1:$Q$61</definedName>
    <definedName name="_xlnm.Print_Area" localSheetId="0">Example!$C$1:$Q$61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13" l="1"/>
  <c r="C82" i="13" s="1"/>
  <c r="C81" i="13"/>
  <c r="C80" i="13"/>
  <c r="C72" i="13"/>
  <c r="C73" i="13" s="1"/>
  <c r="D73" i="13" s="1"/>
  <c r="E73" i="13" s="1"/>
  <c r="C58" i="13"/>
  <c r="E29" i="13"/>
  <c r="E28" i="13"/>
  <c r="E30" i="13" s="1"/>
  <c r="E33" i="13" s="1"/>
  <c r="D28" i="13"/>
  <c r="D36" i="13" s="1"/>
  <c r="D39" i="13" s="1"/>
  <c r="E27" i="13"/>
  <c r="C127" i="13" s="1"/>
  <c r="C130" i="13" s="1"/>
  <c r="D27" i="13"/>
  <c r="C116" i="13" s="1"/>
  <c r="C119" i="13" s="1"/>
  <c r="D119" i="13" s="1"/>
  <c r="E26" i="13"/>
  <c r="C105" i="13" s="1"/>
  <c r="D26" i="13"/>
  <c r="C94" i="13" s="1"/>
  <c r="E25" i="13"/>
  <c r="D25" i="13"/>
  <c r="E24" i="13"/>
  <c r="D24" i="13"/>
  <c r="E27" i="8"/>
  <c r="E25" i="8"/>
  <c r="E26" i="8"/>
  <c r="C127" i="8"/>
  <c r="C130" i="8" s="1"/>
  <c r="E24" i="8"/>
  <c r="D27" i="8"/>
  <c r="C116" i="8" s="1"/>
  <c r="C119" i="8" s="1"/>
  <c r="D26" i="8"/>
  <c r="C84" i="13" l="1"/>
  <c r="E36" i="13"/>
  <c r="E39" i="13" s="1"/>
  <c r="C85" i="13"/>
  <c r="D85" i="13" s="1"/>
  <c r="E85" i="13" s="1"/>
  <c r="D82" i="13"/>
  <c r="E82" i="13" s="1"/>
  <c r="C71" i="13"/>
  <c r="C91" i="13"/>
  <c r="D91" i="13" s="1"/>
  <c r="C96" i="13"/>
  <c r="D96" i="13" s="1"/>
  <c r="E96" i="13" s="1"/>
  <c r="C93" i="13"/>
  <c r="C95" i="13"/>
  <c r="C92" i="13"/>
  <c r="D92" i="13" s="1"/>
  <c r="E92" i="13" s="1"/>
  <c r="C97" i="13"/>
  <c r="D97" i="13" s="1"/>
  <c r="E97" i="13" s="1"/>
  <c r="D130" i="13"/>
  <c r="C108" i="13"/>
  <c r="D108" i="13" s="1"/>
  <c r="E108" i="13" s="1"/>
  <c r="C107" i="13"/>
  <c r="C102" i="13"/>
  <c r="C103" i="13"/>
  <c r="D103" i="13" s="1"/>
  <c r="E103" i="13" s="1"/>
  <c r="C104" i="13"/>
  <c r="D104" i="13" s="1"/>
  <c r="E104" i="13" s="1"/>
  <c r="C106" i="13"/>
  <c r="D106" i="13" s="1"/>
  <c r="E106" i="13" s="1"/>
  <c r="D94" i="13"/>
  <c r="E94" i="13" s="1"/>
  <c r="D127" i="13"/>
  <c r="F36" i="13"/>
  <c r="D42" i="13"/>
  <c r="D48" i="13"/>
  <c r="D71" i="13"/>
  <c r="E71" i="13" s="1"/>
  <c r="C74" i="13"/>
  <c r="D74" i="13" s="1"/>
  <c r="E74" i="13" s="1"/>
  <c r="D80" i="13"/>
  <c r="D116" i="13"/>
  <c r="C124" i="13"/>
  <c r="D124" i="13" s="1"/>
  <c r="C128" i="13"/>
  <c r="D128" i="13" s="1"/>
  <c r="E31" i="13"/>
  <c r="D37" i="13"/>
  <c r="E42" i="13"/>
  <c r="E48" i="13"/>
  <c r="C69" i="13"/>
  <c r="D83" i="13"/>
  <c r="E83" i="13" s="1"/>
  <c r="C86" i="13"/>
  <c r="D86" i="13" s="1"/>
  <c r="E86" i="13" s="1"/>
  <c r="C113" i="13"/>
  <c r="C117" i="13"/>
  <c r="D117" i="13" s="1"/>
  <c r="D40" i="13"/>
  <c r="E37" i="13"/>
  <c r="D69" i="13"/>
  <c r="D95" i="13"/>
  <c r="E95" i="13" s="1"/>
  <c r="D72" i="13"/>
  <c r="E72" i="13" s="1"/>
  <c r="C75" i="13"/>
  <c r="D75" i="13" s="1"/>
  <c r="E75" i="13" s="1"/>
  <c r="D81" i="13"/>
  <c r="E81" i="13" s="1"/>
  <c r="D107" i="13"/>
  <c r="E107" i="13" s="1"/>
  <c r="C114" i="13"/>
  <c r="D114" i="13" s="1"/>
  <c r="C118" i="13"/>
  <c r="D118" i="13" s="1"/>
  <c r="D129" i="13"/>
  <c r="D113" i="13"/>
  <c r="C120" i="13" s="1"/>
  <c r="C125" i="13"/>
  <c r="D125" i="13" s="1"/>
  <c r="C129" i="13"/>
  <c r="D38" i="13"/>
  <c r="C70" i="13"/>
  <c r="D84" i="13"/>
  <c r="E84" i="13" s="1"/>
  <c r="D93" i="13"/>
  <c r="E93" i="13" s="1"/>
  <c r="D102" i="13"/>
  <c r="C126" i="13"/>
  <c r="D126" i="13" s="1"/>
  <c r="D30" i="13"/>
  <c r="D70" i="13"/>
  <c r="E70" i="13" s="1"/>
  <c r="D105" i="13"/>
  <c r="E105" i="13" s="1"/>
  <c r="C115" i="13"/>
  <c r="D115" i="13" s="1"/>
  <c r="C124" i="8"/>
  <c r="C128" i="8"/>
  <c r="C118" i="8"/>
  <c r="C113" i="8"/>
  <c r="C117" i="8"/>
  <c r="C125" i="8"/>
  <c r="C129" i="8"/>
  <c r="C114" i="8"/>
  <c r="C126" i="8"/>
  <c r="C115" i="8"/>
  <c r="E69" i="13" l="1"/>
  <c r="C76" i="13"/>
  <c r="D51" i="13"/>
  <c r="D50" i="13"/>
  <c r="D49" i="13"/>
  <c r="D34" i="13"/>
  <c r="D32" i="13"/>
  <c r="D33" i="13"/>
  <c r="F30" i="13"/>
  <c r="D31" i="13"/>
  <c r="C41" i="13"/>
  <c r="E49" i="13"/>
  <c r="E51" i="13"/>
  <c r="E102" i="13"/>
  <c r="C109" i="13"/>
  <c r="C87" i="13"/>
  <c r="E80" i="13"/>
  <c r="D45" i="13"/>
  <c r="D44" i="13"/>
  <c r="D43" i="13"/>
  <c r="D52" i="13"/>
  <c r="D46" i="13"/>
  <c r="E45" i="13"/>
  <c r="E43" i="13"/>
  <c r="C98" i="13"/>
  <c r="E91" i="13"/>
  <c r="C83" i="8" l="1"/>
  <c r="C72" i="8"/>
  <c r="C70" i="8" s="1"/>
  <c r="C94" i="8"/>
  <c r="E29" i="8"/>
  <c r="C86" i="8"/>
  <c r="C58" i="8"/>
  <c r="E28" i="8"/>
  <c r="E48" i="8" s="1"/>
  <c r="E51" i="8" s="1"/>
  <c r="D28" i="8"/>
  <c r="D25" i="8"/>
  <c r="D24" i="8"/>
  <c r="C80" i="8"/>
  <c r="C84" i="8"/>
  <c r="C81" i="8"/>
  <c r="C85" i="8"/>
  <c r="C82" i="8"/>
  <c r="C71" i="8"/>
  <c r="D48" i="8" l="1"/>
  <c r="D119" i="8"/>
  <c r="D116" i="8"/>
  <c r="D118" i="8"/>
  <c r="D114" i="8"/>
  <c r="D115" i="8"/>
  <c r="D117" i="8"/>
  <c r="D113" i="8"/>
  <c r="C120" i="8" s="1"/>
  <c r="D36" i="8"/>
  <c r="D39" i="8" s="1"/>
  <c r="D70" i="8"/>
  <c r="E70" i="8" s="1"/>
  <c r="D30" i="8"/>
  <c r="D31" i="8" s="1"/>
  <c r="D71" i="8"/>
  <c r="E71" i="8" s="1"/>
  <c r="D83" i="8"/>
  <c r="E83" i="8" s="1"/>
  <c r="E36" i="8"/>
  <c r="E37" i="8" s="1"/>
  <c r="D130" i="8"/>
  <c r="D127" i="8"/>
  <c r="D125" i="8"/>
  <c r="D128" i="8"/>
  <c r="D124" i="8"/>
  <c r="D126" i="8"/>
  <c r="D129" i="8"/>
  <c r="D80" i="8"/>
  <c r="E80" i="8" s="1"/>
  <c r="D38" i="8"/>
  <c r="D37" i="8"/>
  <c r="D33" i="8"/>
  <c r="E39" i="8"/>
  <c r="D40" i="8"/>
  <c r="C73" i="8"/>
  <c r="D73" i="8" s="1"/>
  <c r="E73" i="8" s="1"/>
  <c r="E30" i="8"/>
  <c r="F30" i="8" s="1"/>
  <c r="E42" i="8"/>
  <c r="D82" i="8"/>
  <c r="E82" i="8" s="1"/>
  <c r="D86" i="8"/>
  <c r="E86" i="8" s="1"/>
  <c r="D85" i="8"/>
  <c r="E85" i="8" s="1"/>
  <c r="D81" i="8"/>
  <c r="E81" i="8" s="1"/>
  <c r="D84" i="8"/>
  <c r="E84" i="8" s="1"/>
  <c r="C105" i="8"/>
  <c r="D94" i="8"/>
  <c r="E94" i="8" s="1"/>
  <c r="C92" i="8"/>
  <c r="D92" i="8" s="1"/>
  <c r="E92" i="8" s="1"/>
  <c r="C91" i="8"/>
  <c r="D91" i="8" s="1"/>
  <c r="C97" i="8"/>
  <c r="D97" i="8" s="1"/>
  <c r="E97" i="8" s="1"/>
  <c r="C96" i="8"/>
  <c r="D96" i="8" s="1"/>
  <c r="E96" i="8" s="1"/>
  <c r="C93" i="8"/>
  <c r="D93" i="8" s="1"/>
  <c r="E93" i="8" s="1"/>
  <c r="C95" i="8"/>
  <c r="D95" i="8" s="1"/>
  <c r="E95" i="8" s="1"/>
  <c r="D42" i="8"/>
  <c r="D45" i="8" s="1"/>
  <c r="C69" i="8"/>
  <c r="D69" i="8" s="1"/>
  <c r="E69" i="8" s="1"/>
  <c r="F36" i="8"/>
  <c r="C75" i="8"/>
  <c r="D75" i="8" s="1"/>
  <c r="E75" i="8" s="1"/>
  <c r="D72" i="8"/>
  <c r="E72" i="8" s="1"/>
  <c r="C74" i="8"/>
  <c r="D74" i="8" s="1"/>
  <c r="E74" i="8" s="1"/>
  <c r="D52" i="8" l="1"/>
  <c r="E43" i="8"/>
  <c r="C76" i="8"/>
  <c r="E45" i="8"/>
  <c r="D49" i="8"/>
  <c r="D51" i="8"/>
  <c r="D50" i="8"/>
  <c r="E49" i="8"/>
  <c r="C87" i="8"/>
  <c r="C41" i="8"/>
  <c r="D34" i="8"/>
  <c r="E33" i="8"/>
  <c r="E31" i="8"/>
  <c r="D32" i="8"/>
  <c r="D46" i="8"/>
  <c r="C104" i="8"/>
  <c r="D104" i="8" s="1"/>
  <c r="E104" i="8" s="1"/>
  <c r="C103" i="8"/>
  <c r="D103" i="8" s="1"/>
  <c r="E103" i="8" s="1"/>
  <c r="C108" i="8"/>
  <c r="D108" i="8" s="1"/>
  <c r="E108" i="8" s="1"/>
  <c r="C106" i="8"/>
  <c r="D106" i="8" s="1"/>
  <c r="E106" i="8" s="1"/>
  <c r="C107" i="8"/>
  <c r="D107" i="8" s="1"/>
  <c r="E107" i="8" s="1"/>
  <c r="D105" i="8"/>
  <c r="E105" i="8" s="1"/>
  <c r="C102" i="8"/>
  <c r="D102" i="8" s="1"/>
  <c r="E91" i="8"/>
  <c r="C98" i="8"/>
  <c r="D44" i="8"/>
  <c r="D43" i="8"/>
  <c r="C109" i="8" l="1"/>
  <c r="E102" i="8"/>
</calcChain>
</file>

<file path=xl/comments1.xml><?xml version="1.0" encoding="utf-8"?>
<comments xmlns="http://schemas.openxmlformats.org/spreadsheetml/2006/main">
  <authors>
    <author>Economics Department</author>
    <author>Johanns, Ann M [ECONA]</author>
    <author>isuimage</author>
  </authors>
  <commentList>
    <comment ref="C5" authorId="0" shapeId="0">
      <text>
        <r>
          <rPr>
            <sz val="8"/>
            <color indexed="81"/>
            <rFont val="Tahoma"/>
            <family val="2"/>
          </rPr>
          <t>Place the cursor over cells with red triangles to read comments.</t>
        </r>
      </text>
    </comment>
    <comment ref="C18" authorId="1" shapeId="0">
      <text>
        <r>
          <rPr>
            <sz val="9"/>
            <color indexed="81"/>
            <rFont val="Tahoma"/>
            <family val="2"/>
          </rPr>
          <t>Average national price September 1, 2014- 
August 31, 2015 by USDA.</t>
        </r>
      </text>
    </comment>
    <comment ref="C19" authorId="1" shapeId="0">
      <text>
        <r>
          <rPr>
            <sz val="9"/>
            <color indexed="81"/>
            <rFont val="Tahoma"/>
            <family val="2"/>
          </rPr>
          <t>Average national price September 1, 2015- 
August 31, 2016 by USDA.</t>
        </r>
      </text>
    </comment>
    <comment ref="C20" authorId="1" shapeId="0">
      <text>
        <r>
          <rPr>
            <sz val="9"/>
            <color indexed="81"/>
            <rFont val="Tahoma"/>
            <family val="2"/>
          </rPr>
          <t>Average national price September 1, 2016- 
August 31, 2017 by 
USDA.</t>
        </r>
      </text>
    </comment>
    <comment ref="C21" authorId="1" shapeId="0">
      <text>
        <r>
          <rPr>
            <sz val="9"/>
            <color indexed="81"/>
            <rFont val="Tahoma"/>
            <family val="2"/>
          </rPr>
          <t>Average national price September 1, 2016- 
August 31, 2017 by 
USDA.</t>
        </r>
      </text>
    </comment>
    <comment ref="C24" authorId="1" shapeId="0">
      <text>
        <r>
          <rPr>
            <sz val="9"/>
            <color indexed="81"/>
            <rFont val="Tahoma"/>
            <family val="2"/>
          </rPr>
          <t>Effective price is the higher of the 2014/15 
Projected Marketing Year Average Price 
or the National Loan Rate.</t>
        </r>
      </text>
    </comment>
    <comment ref="C25" authorId="1" shapeId="0">
      <text>
        <r>
          <rPr>
            <sz val="9"/>
            <color indexed="81"/>
            <rFont val="Tahoma"/>
            <family val="2"/>
          </rPr>
          <t>Effective price is the higher of the 2015/16 
Projected Marketing Year Average Price 
or the National Loan Rate.</t>
        </r>
      </text>
    </comment>
    <comment ref="C26" authorId="2" shapeId="0">
      <text>
        <r>
          <rPr>
            <sz val="9"/>
            <color indexed="81"/>
            <rFont val="Tahoma"/>
            <family val="2"/>
          </rPr>
          <t xml:space="preserve">Effective price is the higher of the 2016/17 Projected Marketing Year Average Price or the National Loan Rate.
</t>
        </r>
      </text>
    </comment>
    <comment ref="C27" authorId="2" shapeId="0">
      <text>
        <r>
          <rPr>
            <sz val="9"/>
            <color indexed="81"/>
            <rFont val="Tahoma"/>
            <family val="2"/>
          </rPr>
          <t xml:space="preserve">Effective price is the higher of the 2017/18 Projected Marketing Year Average Price or the National Loan Rate.
</t>
        </r>
      </text>
    </comment>
    <comment ref="C30" authorId="1" shapeId="0">
      <text>
        <r>
          <rPr>
            <sz val="9"/>
            <color indexed="81"/>
            <rFont val="Tahoma"/>
            <family val="2"/>
          </rPr>
          <t>PLC Payments scheduled to 
start in October 2015.
= Payment acres x Payment yield x 
   (Reference price - Effective price)</t>
        </r>
      </text>
    </comment>
    <comment ref="C31" authorId="1" shapeId="0">
      <text>
        <r>
          <rPr>
            <sz val="9"/>
            <color indexed="81"/>
            <rFont val="Tahoma"/>
            <family val="2"/>
          </rPr>
          <t>=PLC Payment/
   Your Base Acres</t>
        </r>
      </text>
    </comment>
    <comment ref="C33" authorId="1" shapeId="0">
      <text>
        <r>
          <rPr>
            <sz val="9"/>
            <color indexed="81"/>
            <rFont val="Tahoma"/>
            <family val="2"/>
          </rPr>
          <t>=PLC Payment/
   Your Crop Acres</t>
        </r>
      </text>
    </comment>
    <comment ref="C36" authorId="1" shapeId="0">
      <text>
        <r>
          <rPr>
            <sz val="9"/>
            <color indexed="81"/>
            <rFont val="Tahoma"/>
            <family val="2"/>
          </rPr>
          <t>PLC Payments scheduled to 
start in October 2016.
= Payment acres x Payment yield x 
   (Reference price - Effective price)</t>
        </r>
      </text>
    </comment>
    <comment ref="C37" authorId="1" shapeId="0">
      <text>
        <r>
          <rPr>
            <sz val="9"/>
            <color indexed="81"/>
            <rFont val="Tahoma"/>
            <family val="2"/>
          </rPr>
          <t>=PLC Payment/
   Your Base Acres</t>
        </r>
      </text>
    </comment>
    <comment ref="C39" authorId="1" shapeId="0">
      <text>
        <r>
          <rPr>
            <sz val="9"/>
            <color indexed="81"/>
            <rFont val="Tahoma"/>
            <family val="2"/>
          </rPr>
          <t>=PLC Payment/
   Your Crop Acres</t>
        </r>
      </text>
    </comment>
    <comment ref="C42" authorId="1" shapeId="0">
      <text>
        <r>
          <rPr>
            <sz val="9"/>
            <color indexed="81"/>
            <rFont val="Tahoma"/>
            <family val="2"/>
          </rPr>
          <t>PLC Payments scheduled to 
start in October 2017.
= Payment acres x Payment yield x 
   (Reference price - Effective price)</t>
        </r>
      </text>
    </comment>
    <comment ref="C43" authorId="1" shapeId="0">
      <text>
        <r>
          <rPr>
            <sz val="9"/>
            <color indexed="81"/>
            <rFont val="Tahoma"/>
            <family val="2"/>
          </rPr>
          <t>=PLC Payment/
   Your Base Acres</t>
        </r>
      </text>
    </comment>
    <comment ref="C45" authorId="1" shapeId="0">
      <text>
        <r>
          <rPr>
            <sz val="9"/>
            <color indexed="81"/>
            <rFont val="Tahoma"/>
            <family val="2"/>
          </rPr>
          <t>=PLC Payment/
   Your Crop Acres</t>
        </r>
      </text>
    </comment>
    <comment ref="C48" authorId="1" shapeId="0">
      <text>
        <r>
          <rPr>
            <sz val="9"/>
            <color indexed="81"/>
            <rFont val="Tahoma"/>
            <family val="2"/>
          </rPr>
          <t>PLC Payments scheduled to 
start in October 2018
.
= Payment acres x Payment yield x 
   (Reference price - Effective price)</t>
        </r>
      </text>
    </comment>
    <comment ref="C49" authorId="1" shapeId="0">
      <text>
        <r>
          <rPr>
            <sz val="9"/>
            <color indexed="81"/>
            <rFont val="Tahoma"/>
            <family val="2"/>
          </rPr>
          <t>=PLC Payment/
   Your Base Acres</t>
        </r>
      </text>
    </comment>
    <comment ref="C51" authorId="1" shapeId="0">
      <text>
        <r>
          <rPr>
            <sz val="9"/>
            <color indexed="81"/>
            <rFont val="Tahoma"/>
            <family val="2"/>
          </rPr>
          <t>=PLC Payment/
   Your Crop Acres</t>
        </r>
      </text>
    </comment>
  </commentList>
</comments>
</file>

<file path=xl/comments2.xml><?xml version="1.0" encoding="utf-8"?>
<comments xmlns="http://schemas.openxmlformats.org/spreadsheetml/2006/main">
  <authors>
    <author>Economics Department</author>
    <author>Johanns, Ann M [ECONA]</author>
    <author>isuimage</author>
  </authors>
  <commentList>
    <comment ref="C5" authorId="0" shapeId="0">
      <text>
        <r>
          <rPr>
            <sz val="8"/>
            <color indexed="81"/>
            <rFont val="Tahoma"/>
            <family val="2"/>
          </rPr>
          <t>Place the cursor over cells with red triangles to read comments.</t>
        </r>
      </text>
    </comment>
    <comment ref="C18" authorId="1" shapeId="0">
      <text>
        <r>
          <rPr>
            <sz val="9"/>
            <color indexed="81"/>
            <rFont val="Tahoma"/>
            <family val="2"/>
          </rPr>
          <t>Average national price September 1, 2014- 
August 31, 2015 by USDA.</t>
        </r>
      </text>
    </comment>
    <comment ref="C19" authorId="1" shapeId="0">
      <text>
        <r>
          <rPr>
            <sz val="9"/>
            <color indexed="81"/>
            <rFont val="Tahoma"/>
            <family val="2"/>
          </rPr>
          <t>Average national price September 1, 2015- 
August 31, 2016 by USDA.</t>
        </r>
      </text>
    </comment>
    <comment ref="C20" authorId="1" shapeId="0">
      <text>
        <r>
          <rPr>
            <sz val="9"/>
            <color indexed="81"/>
            <rFont val="Tahoma"/>
            <family val="2"/>
          </rPr>
          <t>Average national price September 1, 2016- 
August 31, 2017 by 
USDA.</t>
        </r>
      </text>
    </comment>
    <comment ref="C21" authorId="1" shapeId="0">
      <text>
        <r>
          <rPr>
            <sz val="9"/>
            <color indexed="81"/>
            <rFont val="Tahoma"/>
            <family val="2"/>
          </rPr>
          <t>Average national price September 1, 2016- 
August 31, 2017 by 
USDA.</t>
        </r>
      </text>
    </comment>
    <comment ref="C24" authorId="1" shapeId="0">
      <text>
        <r>
          <rPr>
            <sz val="9"/>
            <color indexed="81"/>
            <rFont val="Tahoma"/>
            <family val="2"/>
          </rPr>
          <t>Effective price is the higher of the 2014/15 
Projected Marketing Year Average Price 
or the National Loan Rate.</t>
        </r>
      </text>
    </comment>
    <comment ref="C25" authorId="1" shapeId="0">
      <text>
        <r>
          <rPr>
            <sz val="9"/>
            <color indexed="81"/>
            <rFont val="Tahoma"/>
            <family val="2"/>
          </rPr>
          <t>Effective price is the higher of the 2015/16 
Projected Marketing Year Average Price 
or the National Loan Rate.</t>
        </r>
      </text>
    </comment>
    <comment ref="C26" authorId="2" shapeId="0">
      <text>
        <r>
          <rPr>
            <sz val="9"/>
            <color indexed="81"/>
            <rFont val="Tahoma"/>
            <family val="2"/>
          </rPr>
          <t xml:space="preserve">Effective price is the higher of the 2016/17 Projected Marketing Year Average Price or the National Loan Rate.
</t>
        </r>
      </text>
    </comment>
    <comment ref="C27" authorId="2" shapeId="0">
      <text>
        <r>
          <rPr>
            <sz val="9"/>
            <color indexed="81"/>
            <rFont val="Tahoma"/>
            <family val="2"/>
          </rPr>
          <t xml:space="preserve">Effective price is the higher of the 2017/18 Projected Marketing Year Average Price or the National Loan Rate.
</t>
        </r>
      </text>
    </comment>
    <comment ref="C30" authorId="1" shapeId="0">
      <text>
        <r>
          <rPr>
            <sz val="9"/>
            <color indexed="81"/>
            <rFont val="Tahoma"/>
            <family val="2"/>
          </rPr>
          <t>PLC Payments scheduled to 
start in October 2015.
= Payment acres x Payment yield x 
   (Reference price - Effective price)</t>
        </r>
      </text>
    </comment>
    <comment ref="C31" authorId="1" shapeId="0">
      <text>
        <r>
          <rPr>
            <sz val="9"/>
            <color indexed="81"/>
            <rFont val="Tahoma"/>
            <family val="2"/>
          </rPr>
          <t>=PLC Payment/
   Your Base Acres</t>
        </r>
      </text>
    </comment>
    <comment ref="C33" authorId="1" shapeId="0">
      <text>
        <r>
          <rPr>
            <sz val="9"/>
            <color indexed="81"/>
            <rFont val="Tahoma"/>
            <family val="2"/>
          </rPr>
          <t>=PLC Payment/
   Your Crop Acres</t>
        </r>
      </text>
    </comment>
    <comment ref="C36" authorId="1" shapeId="0">
      <text>
        <r>
          <rPr>
            <sz val="9"/>
            <color indexed="81"/>
            <rFont val="Tahoma"/>
            <family val="2"/>
          </rPr>
          <t>PLC Payments scheduled to 
start in October 2016.
= Payment acres x Payment yield x 
   (Reference price - Effective price)</t>
        </r>
      </text>
    </comment>
    <comment ref="C37" authorId="1" shapeId="0">
      <text>
        <r>
          <rPr>
            <sz val="9"/>
            <color indexed="81"/>
            <rFont val="Tahoma"/>
            <family val="2"/>
          </rPr>
          <t>=PLC Payment/
   Your Base Acres</t>
        </r>
      </text>
    </comment>
    <comment ref="C39" authorId="1" shapeId="0">
      <text>
        <r>
          <rPr>
            <sz val="9"/>
            <color indexed="81"/>
            <rFont val="Tahoma"/>
            <family val="2"/>
          </rPr>
          <t>=PLC Payment/
   Your Crop Acres</t>
        </r>
      </text>
    </comment>
    <comment ref="C42" authorId="1" shapeId="0">
      <text>
        <r>
          <rPr>
            <sz val="9"/>
            <color indexed="81"/>
            <rFont val="Tahoma"/>
            <family val="2"/>
          </rPr>
          <t>PLC Payments scheduled to 
start in October 2017.
= Payment acres x Payment yield x 
   (Reference price - Effective price)</t>
        </r>
      </text>
    </comment>
    <comment ref="C43" authorId="1" shapeId="0">
      <text>
        <r>
          <rPr>
            <sz val="9"/>
            <color indexed="81"/>
            <rFont val="Tahoma"/>
            <family val="2"/>
          </rPr>
          <t>=PLC Payment/
   Your Base Acres</t>
        </r>
      </text>
    </comment>
    <comment ref="C45" authorId="1" shapeId="0">
      <text>
        <r>
          <rPr>
            <sz val="9"/>
            <color indexed="81"/>
            <rFont val="Tahoma"/>
            <family val="2"/>
          </rPr>
          <t>=PLC Payment/
   Your Crop Acres</t>
        </r>
      </text>
    </comment>
    <comment ref="C48" authorId="1" shapeId="0">
      <text>
        <r>
          <rPr>
            <sz val="9"/>
            <color indexed="81"/>
            <rFont val="Tahoma"/>
            <family val="2"/>
          </rPr>
          <t>PLC Payments scheduled to 
start in October 2018.
= Payment acres x Payment yield x 
   (Reference price - Effective price)</t>
        </r>
      </text>
    </comment>
    <comment ref="C49" authorId="1" shapeId="0">
      <text>
        <r>
          <rPr>
            <sz val="9"/>
            <color indexed="81"/>
            <rFont val="Tahoma"/>
            <family val="2"/>
          </rPr>
          <t>=PLC Payment/
   Your Base Acres</t>
        </r>
      </text>
    </comment>
    <comment ref="C51" authorId="1" shapeId="0">
      <text>
        <r>
          <rPr>
            <sz val="9"/>
            <color indexed="81"/>
            <rFont val="Tahoma"/>
            <family val="2"/>
          </rPr>
          <t>=PLC Payment/
   Your Crop Acres</t>
        </r>
      </text>
    </comment>
  </commentList>
</comments>
</file>

<file path=xl/sharedStrings.xml><?xml version="1.0" encoding="utf-8"?>
<sst xmlns="http://schemas.openxmlformats.org/spreadsheetml/2006/main" count="140" uniqueCount="54">
  <si>
    <t>Corn</t>
  </si>
  <si>
    <t>Soybeans</t>
  </si>
  <si>
    <t>Your Base Acres</t>
  </si>
  <si>
    <t>Your Program Payment Yield</t>
  </si>
  <si>
    <t>Reference Price</t>
  </si>
  <si>
    <t>National Loan Rate</t>
  </si>
  <si>
    <t>Sensitivity Analysis</t>
  </si>
  <si>
    <t>Projected Marketing Year Average Price</t>
  </si>
  <si>
    <t xml:space="preserve">PLC Payment </t>
  </si>
  <si>
    <t>Author: Alejandro Plastina</t>
  </si>
  <si>
    <t>2015/16 Corn</t>
  </si>
  <si>
    <t>2015/16 Soybeans</t>
  </si>
  <si>
    <t>Ag Decision Maker -- Iowa State University Extension and Outreach</t>
  </si>
  <si>
    <r>
      <t xml:space="preserve">See Information File A1-32, </t>
    </r>
    <r>
      <rPr>
        <u/>
        <sz val="11"/>
        <color rgb="FFC00000"/>
        <rFont val="Arial"/>
        <family val="2"/>
      </rPr>
      <t>New Safety Net: PLC, ARC-CO, ARC-IC</t>
    </r>
    <r>
      <rPr>
        <sz val="11"/>
        <rFont val="Arial"/>
        <family val="2"/>
      </rPr>
      <t xml:space="preserve"> for more information.</t>
    </r>
  </si>
  <si>
    <t>Place the cursor over cells with red triangles to read comments.</t>
  </si>
  <si>
    <t>Enter your input values in shaded cells.</t>
  </si>
  <si>
    <t>FSA Farm Number</t>
  </si>
  <si>
    <t>Payment Acres (Base acres x 0.85)</t>
  </si>
  <si>
    <t>2014/15 Effective Price</t>
  </si>
  <si>
    <t xml:space="preserve">2015/16 Effective Price </t>
  </si>
  <si>
    <t xml:space="preserve">PLC Payment for 2014/2015 </t>
  </si>
  <si>
    <t>PLC Payment for 2015/16</t>
  </si>
  <si>
    <t>Date Printed:</t>
  </si>
  <si>
    <t>PLC Payment for 2014/2015 per Crop Acre</t>
  </si>
  <si>
    <t xml:space="preserve">PLC Payment for 2014/2015 per Base Acre </t>
  </si>
  <si>
    <t>Weighted Average Corn &amp; Soy PLC Payment per Base Acre</t>
  </si>
  <si>
    <t>Weighted Average Corn &amp; Soy PLC Payment per Crop Acre</t>
  </si>
  <si>
    <t>Your 2014/15 Crop Acres</t>
  </si>
  <si>
    <t>Your 2015/16 Crop Acres</t>
  </si>
  <si>
    <t xml:space="preserve">PLC Payment for 2015/2016 per Base Acre </t>
  </si>
  <si>
    <t>PLC Payment for 2015/2016 per Crop Acre</t>
  </si>
  <si>
    <t>SEQUESTRATION</t>
  </si>
  <si>
    <t xml:space="preserve">2016/17 Effective Price </t>
  </si>
  <si>
    <t>2016/17 Corn</t>
  </si>
  <si>
    <t>2016/17 Soybeans</t>
  </si>
  <si>
    <t>PLC Payment for 2016/17</t>
  </si>
  <si>
    <t xml:space="preserve">PLC Payment for 2016/2017 per Base Acre </t>
  </si>
  <si>
    <t>PLC Payment for 2016/2017 per Crop Acre</t>
  </si>
  <si>
    <t>2014/15 Official Marketing Year Average Price</t>
  </si>
  <si>
    <t>2015/16 Official Marketing Year Average Price</t>
  </si>
  <si>
    <t>Your 2016/17 Crop Acres</t>
  </si>
  <si>
    <t>Iowa State University Extension and Outreach does not discriminate on the basis of age, disability, ethnicity, gender identity, genetic information, marital status, national origin, pregnancy, race, religion, sex, sexual orientation, socioeconomic status, or status as a U.S. veteran. (Not all prohibited bases apply to all programs.) Inquiries regarding non-discrimination policies may be directed to Ross Wilburn, Diversity Officer, 2150 Beardshear Hall, 515 Morrill Road, Ames, Iowa 50011, 515-294-1482, wilburn@iastate.edu.</t>
  </si>
  <si>
    <t>2016/17 Official Marketing Year Average Price</t>
  </si>
  <si>
    <t>Version 1.19</t>
  </si>
  <si>
    <t>File updated: 08/09/18</t>
  </si>
  <si>
    <t>2017/18 Official Marketing Year Average Price</t>
  </si>
  <si>
    <t xml:space="preserve">2017/18 Effective Price </t>
  </si>
  <si>
    <t>PLC Payment for 2017/18</t>
  </si>
  <si>
    <t>Your 2017/18 Crop Acres</t>
  </si>
  <si>
    <t>2017/18 Corn</t>
  </si>
  <si>
    <t>2017/18 Soybeans</t>
  </si>
  <si>
    <t>Price Loss Coverage (PLC) Payment Calculator for Crop Years 2014/15-2017/18</t>
  </si>
  <si>
    <t xml:space="preserve">PLC Payment for 2017/2018 per Base Acre </t>
  </si>
  <si>
    <t>PLC Payment for 2017/2018 per Crop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</si>
</sst>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_(* #,##0_);_(* \(#,##0\);_(* &quot;-&quot;??_);_(@_)"/>
    <numFmt numFmtId="166" formatCode="&quot;$&quot;#,##0"/>
  </numFmts>
  <fonts count="1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u/>
      <sz val="11"/>
      <color theme="10"/>
      <name val="Calibri"/>
      <family val="2"/>
      <scheme val="minor"/>
    </font>
    <font>
      <b/>
      <sz val="10"/>
      <color theme="1"/>
      <name val="Arial"/>
      <family val="2"/>
    </font>
    <font>
      <b/>
      <sz val="11"/>
      <color rgb="FF333333"/>
      <name val="Arial"/>
      <family val="2"/>
    </font>
    <font>
      <b/>
      <sz val="14"/>
      <color theme="0"/>
      <name val="Arial"/>
      <family val="2"/>
    </font>
    <font>
      <sz val="11"/>
      <color theme="1"/>
      <name val="Arial"/>
      <family val="2"/>
    </font>
    <font>
      <sz val="11"/>
      <name val="Arial"/>
      <family val="2"/>
    </font>
    <font>
      <u/>
      <sz val="11"/>
      <color rgb="FFC00000"/>
      <name val="Arial"/>
      <family val="2"/>
    </font>
    <font>
      <b/>
      <sz val="10"/>
      <color rgb="FFFF0000"/>
      <name val="Arial"/>
      <family val="2"/>
    </font>
    <font>
      <sz val="9"/>
      <name val="Arial"/>
      <family val="2"/>
    </font>
    <font>
      <sz val="8"/>
      <color indexed="81"/>
      <name val="Tahoma"/>
      <family val="2"/>
    </font>
    <font>
      <sz val="9"/>
      <color indexed="81"/>
      <name val="Tahoma"/>
      <family val="2"/>
    </font>
    <font>
      <u/>
      <sz val="10"/>
      <color rgb="FFC00000"/>
      <name val="Arial"/>
      <family val="2"/>
    </font>
    <font>
      <sz val="6"/>
      <color rgb="FF333333"/>
      <name val="Arial"/>
      <family val="2"/>
    </font>
    <font>
      <sz val="7"/>
      <color rgb="FF333333"/>
      <name val="Arial"/>
      <family val="2"/>
    </font>
  </fonts>
  <fills count="10">
    <fill>
      <patternFill patternType="none"/>
    </fill>
    <fill>
      <patternFill patternType="gray125"/>
    </fill>
    <fill>
      <patternFill patternType="solid">
        <fgColor rgb="FFC00000"/>
        <bgColor indexed="64"/>
      </patternFill>
    </fill>
    <fill>
      <patternFill patternType="solid">
        <fgColor theme="2" tint="-9.9978637043366805E-2"/>
        <bgColor indexed="64"/>
      </patternFill>
    </fill>
    <fill>
      <patternFill patternType="solid">
        <fgColor theme="2"/>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thick">
        <color theme="2" tint="-9.9948118533890809E-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cellStyleXfs>
  <cellXfs count="75">
    <xf numFmtId="0" fontId="0" fillId="0" borderId="0" xfId="0"/>
    <xf numFmtId="0" fontId="7" fillId="0" borderId="0" xfId="0" applyFont="1"/>
    <xf numFmtId="0" fontId="8" fillId="2" borderId="10" xfId="0" applyFont="1" applyFill="1" applyBorder="1"/>
    <xf numFmtId="0" fontId="9" fillId="3" borderId="0" xfId="0" applyFont="1" applyFill="1"/>
    <xf numFmtId="0" fontId="9" fillId="0" borderId="0" xfId="0" applyFont="1"/>
    <xf numFmtId="0" fontId="3" fillId="3" borderId="0" xfId="0" applyFont="1" applyFill="1"/>
    <xf numFmtId="0" fontId="3" fillId="0" borderId="0" xfId="0" applyFont="1"/>
    <xf numFmtId="0" fontId="3" fillId="0" borderId="9" xfId="0" applyFont="1" applyBorder="1" applyAlignment="1">
      <alignment horizontal="left"/>
    </xf>
    <xf numFmtId="0" fontId="3" fillId="0" borderId="0" xfId="0" applyFont="1" applyProtection="1"/>
    <xf numFmtId="0" fontId="3" fillId="0" borderId="0" xfId="0" applyFont="1" applyAlignment="1">
      <alignment horizontal="right"/>
    </xf>
    <xf numFmtId="0" fontId="6" fillId="0" borderId="0" xfId="0" applyFont="1" applyAlignment="1" applyProtection="1">
      <alignment horizontal="center"/>
    </xf>
    <xf numFmtId="0" fontId="3" fillId="0" borderId="1" xfId="0" applyFont="1" applyBorder="1"/>
    <xf numFmtId="0" fontId="3" fillId="0" borderId="4" xfId="0" applyFont="1" applyBorder="1"/>
    <xf numFmtId="164" fontId="3" fillId="0" borderId="0" xfId="2" applyNumberFormat="1" applyFont="1"/>
    <xf numFmtId="165" fontId="3" fillId="0" borderId="0" xfId="1" applyNumberFormat="1" applyFont="1" applyFill="1"/>
    <xf numFmtId="0" fontId="12" fillId="0" borderId="0" xfId="0" applyFont="1"/>
    <xf numFmtId="0" fontId="3" fillId="0" borderId="0" xfId="0" applyFont="1" applyFill="1"/>
    <xf numFmtId="164" fontId="6" fillId="0" borderId="0" xfId="2" applyNumberFormat="1" applyFont="1" applyFill="1" applyBorder="1"/>
    <xf numFmtId="14" fontId="3" fillId="0" borderId="0" xfId="0" applyNumberFormat="1" applyFont="1"/>
    <xf numFmtId="0" fontId="6" fillId="0" borderId="0" xfId="0" applyFont="1"/>
    <xf numFmtId="0" fontId="3" fillId="0" borderId="7" xfId="0" applyFont="1" applyBorder="1"/>
    <xf numFmtId="0" fontId="3" fillId="0" borderId="8" xfId="0" applyFont="1" applyBorder="1"/>
    <xf numFmtId="164" fontId="3" fillId="0" borderId="7" xfId="2" applyNumberFormat="1" applyFont="1" applyBorder="1" applyAlignment="1">
      <alignment horizontal="center"/>
    </xf>
    <xf numFmtId="166" fontId="3" fillId="0" borderId="8" xfId="2" applyNumberFormat="1" applyFont="1" applyBorder="1" applyAlignment="1">
      <alignment horizontal="center"/>
    </xf>
    <xf numFmtId="164" fontId="6" fillId="0" borderId="7" xfId="2" applyNumberFormat="1" applyFont="1" applyBorder="1" applyAlignment="1">
      <alignment horizontal="center"/>
    </xf>
    <xf numFmtId="166" fontId="6" fillId="0" borderId="8" xfId="2" applyNumberFormat="1" applyFont="1" applyBorder="1" applyAlignment="1">
      <alignment horizontal="center"/>
    </xf>
    <xf numFmtId="164" fontId="3" fillId="0" borderId="4" xfId="2" applyNumberFormat="1" applyFont="1" applyBorder="1" applyAlignment="1">
      <alignment horizontal="center"/>
    </xf>
    <xf numFmtId="166" fontId="3" fillId="0" borderId="6" xfId="2" applyNumberFormat="1" applyFont="1" applyBorder="1" applyAlignment="1">
      <alignment horizontal="center"/>
    </xf>
    <xf numFmtId="0" fontId="10" fillId="0" borderId="0" xfId="3" applyFont="1" applyAlignment="1"/>
    <xf numFmtId="0" fontId="3" fillId="4" borderId="4" xfId="0" applyFont="1" applyFill="1" applyBorder="1"/>
    <xf numFmtId="0" fontId="13" fillId="0" borderId="0" xfId="0" applyFont="1" applyFill="1" applyBorder="1" applyAlignment="1" applyProtection="1"/>
    <xf numFmtId="0" fontId="13" fillId="0" borderId="0" xfId="0" applyFont="1" applyBorder="1" applyAlignment="1" applyProtection="1"/>
    <xf numFmtId="0" fontId="16" fillId="0" borderId="0" xfId="3" applyFont="1"/>
    <xf numFmtId="164" fontId="3" fillId="6" borderId="0" xfId="2" applyNumberFormat="1" applyFont="1" applyFill="1" applyBorder="1"/>
    <xf numFmtId="0" fontId="0" fillId="0" borderId="0" xfId="0" applyAlignment="1">
      <alignment vertical="center" wrapText="1"/>
    </xf>
    <xf numFmtId="0" fontId="18" fillId="0" borderId="0" xfId="0" applyFont="1" applyAlignment="1">
      <alignment vertical="center"/>
    </xf>
    <xf numFmtId="14" fontId="3" fillId="0" borderId="0" xfId="0" applyNumberFormat="1" applyFont="1" applyAlignment="1">
      <alignment horizontal="left"/>
    </xf>
    <xf numFmtId="0" fontId="13" fillId="5" borderId="11" xfId="0" applyFont="1" applyFill="1" applyBorder="1" applyAlignment="1" applyProtection="1"/>
    <xf numFmtId="0" fontId="3" fillId="5" borderId="12" xfId="0" applyFont="1" applyFill="1" applyBorder="1" applyProtection="1">
      <protection locked="0"/>
    </xf>
    <xf numFmtId="165" fontId="3" fillId="5" borderId="13" xfId="1" applyNumberFormat="1" applyFont="1" applyFill="1" applyBorder="1" applyProtection="1">
      <protection locked="0"/>
    </xf>
    <xf numFmtId="165" fontId="3" fillId="5" borderId="14" xfId="1" applyNumberFormat="1" applyFont="1" applyFill="1" applyBorder="1" applyProtection="1">
      <protection locked="0"/>
    </xf>
    <xf numFmtId="165" fontId="3" fillId="5" borderId="15" xfId="1" applyNumberFormat="1" applyFont="1" applyFill="1" applyBorder="1" applyProtection="1">
      <protection locked="0"/>
    </xf>
    <xf numFmtId="165" fontId="3" fillId="5" borderId="16" xfId="1" applyNumberFormat="1" applyFont="1" applyFill="1" applyBorder="1" applyProtection="1">
      <protection locked="0"/>
    </xf>
    <xf numFmtId="0" fontId="17" fillId="0" borderId="0" xfId="0" applyFont="1" applyAlignment="1">
      <alignment horizontal="left" vertical="center" wrapText="1"/>
    </xf>
    <xf numFmtId="0" fontId="3" fillId="4" borderId="19" xfId="0" applyFont="1" applyFill="1" applyBorder="1"/>
    <xf numFmtId="164" fontId="6" fillId="3" borderId="18" xfId="2" applyNumberFormat="1" applyFont="1" applyFill="1" applyBorder="1"/>
    <xf numFmtId="164" fontId="6" fillId="3" borderId="20" xfId="2" applyNumberFormat="1" applyFont="1" applyFill="1" applyBorder="1"/>
    <xf numFmtId="0" fontId="6" fillId="7" borderId="1" xfId="0" applyFont="1" applyFill="1" applyBorder="1"/>
    <xf numFmtId="0" fontId="3" fillId="8" borderId="17" xfId="0" applyFont="1" applyFill="1" applyBorder="1"/>
    <xf numFmtId="0" fontId="3" fillId="8" borderId="4" xfId="0" applyFont="1" applyFill="1" applyBorder="1"/>
    <xf numFmtId="164" fontId="6" fillId="9" borderId="18" xfId="2" applyNumberFormat="1" applyFont="1" applyFill="1" applyBorder="1" applyAlignment="1">
      <alignment horizontal="right"/>
    </xf>
    <xf numFmtId="164" fontId="6" fillId="9" borderId="20" xfId="2" applyNumberFormat="1" applyFont="1" applyFill="1" applyBorder="1" applyAlignment="1">
      <alignment horizontal="right"/>
    </xf>
    <xf numFmtId="164" fontId="6" fillId="7" borderId="2" xfId="2" applyNumberFormat="1" applyFont="1" applyFill="1" applyBorder="1"/>
    <xf numFmtId="164" fontId="6" fillId="7" borderId="3" xfId="2" applyNumberFormat="1" applyFont="1" applyFill="1" applyBorder="1"/>
    <xf numFmtId="165" fontId="3" fillId="0" borderId="0" xfId="0" applyNumberFormat="1" applyFont="1"/>
    <xf numFmtId="10" fontId="3" fillId="0" borderId="0" xfId="0" applyNumberFormat="1" applyFont="1"/>
    <xf numFmtId="0" fontId="2" fillId="0" borderId="0" xfId="0" applyFont="1"/>
    <xf numFmtId="165" fontId="3" fillId="5" borderId="21" xfId="1" applyNumberFormat="1" applyFont="1" applyFill="1" applyBorder="1" applyProtection="1">
      <protection locked="0"/>
    </xf>
    <xf numFmtId="165" fontId="3" fillId="5" borderId="22" xfId="1" applyNumberFormat="1" applyFont="1" applyFill="1" applyBorder="1" applyProtection="1">
      <protection locked="0"/>
    </xf>
    <xf numFmtId="165" fontId="3" fillId="5" borderId="11" xfId="1" applyNumberFormat="1" applyFont="1" applyFill="1" applyBorder="1" applyProtection="1">
      <protection locked="0"/>
    </xf>
    <xf numFmtId="165" fontId="3" fillId="5" borderId="23" xfId="1" applyNumberFormat="1" applyFont="1" applyFill="1" applyBorder="1" applyProtection="1">
      <protection locked="0"/>
    </xf>
    <xf numFmtId="0" fontId="1" fillId="0" borderId="0" xfId="0" applyFont="1"/>
    <xf numFmtId="0" fontId="17" fillId="0" borderId="0" xfId="0" applyFont="1" applyAlignment="1">
      <alignment horizontal="left" vertical="center" wrapText="1"/>
    </xf>
    <xf numFmtId="0" fontId="1" fillId="0" borderId="4" xfId="0" applyFont="1" applyBorder="1"/>
    <xf numFmtId="0" fontId="2" fillId="0" borderId="24" xfId="0" applyFont="1" applyBorder="1"/>
    <xf numFmtId="0" fontId="1" fillId="4" borderId="19" xfId="0" applyFont="1" applyFill="1" applyBorder="1"/>
    <xf numFmtId="0" fontId="1" fillId="8" borderId="17" xfId="0" applyFont="1" applyFill="1" applyBorder="1"/>
    <xf numFmtId="0" fontId="6" fillId="0" borderId="1" xfId="0" applyFont="1" applyBorder="1" applyAlignment="1">
      <alignment horizontal="center"/>
    </xf>
    <xf numFmtId="0" fontId="6" fillId="0" borderId="3" xfId="0" applyFont="1" applyBorder="1" applyAlignment="1">
      <alignment horizontal="center"/>
    </xf>
    <xf numFmtId="0" fontId="17" fillId="0" borderId="0" xfId="0" applyFont="1" applyAlignment="1">
      <alignment horizontal="left" vertical="center" wrapText="1"/>
    </xf>
    <xf numFmtId="0" fontId="10" fillId="0" borderId="0" xfId="3" applyFont="1" applyAlignment="1">
      <alignment horizontal="left"/>
    </xf>
    <xf numFmtId="164" fontId="6" fillId="3" borderId="5" xfId="2" applyNumberFormat="1" applyFont="1" applyFill="1" applyBorder="1" applyAlignment="1">
      <alignment horizontal="center"/>
    </xf>
    <xf numFmtId="164" fontId="6" fillId="3" borderId="6" xfId="2" applyNumberFormat="1" applyFont="1" applyFill="1" applyBorder="1" applyAlignment="1">
      <alignment horizontal="center"/>
    </xf>
    <xf numFmtId="164" fontId="6" fillId="9" borderId="5" xfId="2" applyNumberFormat="1" applyFont="1" applyFill="1" applyBorder="1" applyAlignment="1">
      <alignment horizontal="center"/>
    </xf>
    <xf numFmtId="164" fontId="6" fillId="9" borderId="6" xfId="2" applyNumberFormat="1"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2017/18 PLC Payments for Corn</a:t>
            </a:r>
            <a:r>
              <a:rPr lang="en-US" sz="1200" b="1" baseline="0"/>
              <a:t> Base Acres under </a:t>
            </a:r>
            <a:r>
              <a:rPr lang="en-US" sz="1200" b="1"/>
              <a:t>Alternative Prices</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Example!$D$68</c:f>
              <c:strCache>
                <c:ptCount val="1"/>
                <c:pt idx="0">
                  <c:v>PLC Payment </c:v>
                </c:pt>
              </c:strCache>
            </c:strRef>
          </c:tx>
          <c:spPr>
            <a:solidFill>
              <a:schemeClr val="accent2"/>
            </a:solidFill>
            <a:ln>
              <a:noFill/>
            </a:ln>
            <a:effectLst/>
          </c:spPr>
          <c:invertIfNegative val="0"/>
          <c:cat>
            <c:numRef>
              <c:f>Example!$C$113:$C$119</c:f>
              <c:numCache>
                <c:formatCode>"$"#,##0.00</c:formatCode>
                <c:ptCount val="7"/>
                <c:pt idx="0">
                  <c:v>2.89</c:v>
                </c:pt>
                <c:pt idx="1">
                  <c:v>3.06</c:v>
                </c:pt>
                <c:pt idx="2">
                  <c:v>3.23</c:v>
                </c:pt>
                <c:pt idx="3">
                  <c:v>3.4</c:v>
                </c:pt>
                <c:pt idx="4">
                  <c:v>3.57</c:v>
                </c:pt>
                <c:pt idx="5">
                  <c:v>3.74</c:v>
                </c:pt>
                <c:pt idx="6">
                  <c:v>3.91</c:v>
                </c:pt>
              </c:numCache>
            </c:numRef>
          </c:cat>
          <c:val>
            <c:numRef>
              <c:f>Example!$D$113:$D$119</c:f>
              <c:numCache>
                <c:formatCode>"$"#,##0</c:formatCode>
                <c:ptCount val="7"/>
                <c:pt idx="0">
                  <c:v>8406.0342000000001</c:v>
                </c:pt>
                <c:pt idx="1">
                  <c:v>6641.8048000000008</c:v>
                </c:pt>
                <c:pt idx="2">
                  <c:v>4877.5754000000024</c:v>
                </c:pt>
                <c:pt idx="3">
                  <c:v>3113.3460000000027</c:v>
                </c:pt>
                <c:pt idx="4">
                  <c:v>1349.1166000000035</c:v>
                </c:pt>
                <c:pt idx="5">
                  <c:v>0</c:v>
                </c:pt>
                <c:pt idx="6">
                  <c:v>0</c:v>
                </c:pt>
              </c:numCache>
            </c:numRef>
          </c:val>
          <c:extLst>
            <c:ext xmlns:c16="http://schemas.microsoft.com/office/drawing/2014/chart" uri="{C3380CC4-5D6E-409C-BE32-E72D297353CC}">
              <c16:uniqueId val="{00000002-A06E-4E1B-AEB4-9D835AD59371}"/>
            </c:ext>
          </c:extLst>
        </c:ser>
        <c:dLbls>
          <c:showLegendKey val="0"/>
          <c:showVal val="0"/>
          <c:showCatName val="0"/>
          <c:showSerName val="0"/>
          <c:showPercent val="0"/>
          <c:showBubbleSize val="0"/>
        </c:dLbls>
        <c:gapWidth val="219"/>
        <c:overlap val="-27"/>
        <c:axId val="745229808"/>
        <c:axId val="745230200"/>
      </c:barChart>
      <c:catAx>
        <c:axId val="745229808"/>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230200"/>
        <c:crosses val="autoZero"/>
        <c:auto val="1"/>
        <c:lblAlgn val="ctr"/>
        <c:lblOffset val="100"/>
        <c:noMultiLvlLbl val="0"/>
      </c:catAx>
      <c:valAx>
        <c:axId val="7452302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22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2017/18 PLC Payments for </a:t>
            </a:r>
            <a:r>
              <a:rPr lang="en-US" sz="1200" b="1" i="0" u="none" strike="noStrike" baseline="0">
                <a:effectLst/>
              </a:rPr>
              <a:t>Soybean Base Acres under </a:t>
            </a:r>
            <a:r>
              <a:rPr lang="en-US" sz="1200" b="1"/>
              <a:t>Alternative Prices</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Example!$D$123</c:f>
              <c:strCache>
                <c:ptCount val="1"/>
                <c:pt idx="0">
                  <c:v>PLC Payment </c:v>
                </c:pt>
              </c:strCache>
            </c:strRef>
          </c:tx>
          <c:spPr>
            <a:solidFill>
              <a:schemeClr val="accent2"/>
            </a:solidFill>
            <a:ln>
              <a:noFill/>
            </a:ln>
            <a:effectLst/>
          </c:spPr>
          <c:invertIfNegative val="0"/>
          <c:cat>
            <c:numRef>
              <c:f>Example!$C$124:$C$130</c:f>
              <c:numCache>
                <c:formatCode>"$"#,##0.00</c:formatCode>
                <c:ptCount val="7"/>
                <c:pt idx="0">
                  <c:v>7.95</c:v>
                </c:pt>
                <c:pt idx="1">
                  <c:v>8.42</c:v>
                </c:pt>
                <c:pt idx="2">
                  <c:v>8.8800000000000008</c:v>
                </c:pt>
                <c:pt idx="3">
                  <c:v>9.35</c:v>
                </c:pt>
                <c:pt idx="4">
                  <c:v>9.82</c:v>
                </c:pt>
                <c:pt idx="5">
                  <c:v>10.29</c:v>
                </c:pt>
                <c:pt idx="6">
                  <c:v>10.75</c:v>
                </c:pt>
              </c:numCache>
            </c:numRef>
          </c:cat>
          <c:val>
            <c:numRef>
              <c:f>Example!$D$124:$D$130</c:f>
              <c:numCache>
                <c:formatCode>"$"#,##0</c:formatCode>
                <c:ptCount val="7"/>
                <c:pt idx="0">
                  <c:v>1319.0130000000004</c:v>
                </c:pt>
                <c:pt idx="1">
                  <c:v>0</c:v>
                </c:pt>
                <c:pt idx="2">
                  <c:v>0</c:v>
                </c:pt>
                <c:pt idx="3">
                  <c:v>0</c:v>
                </c:pt>
                <c:pt idx="4">
                  <c:v>0</c:v>
                </c:pt>
                <c:pt idx="5">
                  <c:v>0</c:v>
                </c:pt>
                <c:pt idx="6">
                  <c:v>0</c:v>
                </c:pt>
              </c:numCache>
            </c:numRef>
          </c:val>
          <c:extLst>
            <c:ext xmlns:c16="http://schemas.microsoft.com/office/drawing/2014/chart" uri="{C3380CC4-5D6E-409C-BE32-E72D297353CC}">
              <c16:uniqueId val="{00000002-EF21-4022-9C7A-ADF5E98BF8DC}"/>
            </c:ext>
          </c:extLst>
        </c:ser>
        <c:dLbls>
          <c:showLegendKey val="0"/>
          <c:showVal val="0"/>
          <c:showCatName val="0"/>
          <c:showSerName val="0"/>
          <c:showPercent val="0"/>
          <c:showBubbleSize val="0"/>
        </c:dLbls>
        <c:gapWidth val="219"/>
        <c:overlap val="-27"/>
        <c:axId val="856678360"/>
        <c:axId val="856678752"/>
      </c:barChart>
      <c:catAx>
        <c:axId val="856678360"/>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678752"/>
        <c:crosses val="autoZero"/>
        <c:auto val="1"/>
        <c:lblAlgn val="ctr"/>
        <c:lblOffset val="100"/>
        <c:noMultiLvlLbl val="0"/>
      </c:catAx>
      <c:valAx>
        <c:axId val="8566787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678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2017/18 PLC Payments for Corn</a:t>
            </a:r>
            <a:r>
              <a:rPr lang="en-US" sz="1200" b="1" baseline="0"/>
              <a:t> Base Acres under </a:t>
            </a:r>
            <a:r>
              <a:rPr lang="en-US" sz="1200" b="1"/>
              <a:t>Alternative Prices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Blank!$D$68</c:f>
              <c:strCache>
                <c:ptCount val="1"/>
                <c:pt idx="0">
                  <c:v>PLC Payment </c:v>
                </c:pt>
              </c:strCache>
            </c:strRef>
          </c:tx>
          <c:spPr>
            <a:solidFill>
              <a:schemeClr val="accent2"/>
            </a:solidFill>
            <a:ln>
              <a:noFill/>
            </a:ln>
            <a:effectLst/>
          </c:spPr>
          <c:invertIfNegative val="0"/>
          <c:cat>
            <c:numRef>
              <c:f>Blank!$C$113:$C$119</c:f>
              <c:numCache>
                <c:formatCode>"$"#,##0.00</c:formatCode>
                <c:ptCount val="7"/>
                <c:pt idx="0">
                  <c:v>2.89</c:v>
                </c:pt>
                <c:pt idx="1">
                  <c:v>3.06</c:v>
                </c:pt>
                <c:pt idx="2">
                  <c:v>3.23</c:v>
                </c:pt>
                <c:pt idx="3">
                  <c:v>3.4</c:v>
                </c:pt>
                <c:pt idx="4">
                  <c:v>3.57</c:v>
                </c:pt>
                <c:pt idx="5">
                  <c:v>3.74</c:v>
                </c:pt>
                <c:pt idx="6">
                  <c:v>3.91</c:v>
                </c:pt>
              </c:numCache>
            </c:numRef>
          </c:cat>
          <c:val>
            <c:numRef>
              <c:f>Blank!$D$113:$D$119</c:f>
              <c:numCache>
                <c:formatCode>"$"#,##0</c:formatCode>
                <c:ptCount val="7"/>
                <c:pt idx="0">
                  <c:v>8406.0342000000001</c:v>
                </c:pt>
                <c:pt idx="1">
                  <c:v>6641.8048000000008</c:v>
                </c:pt>
                <c:pt idx="2">
                  <c:v>4877.5754000000024</c:v>
                </c:pt>
                <c:pt idx="3">
                  <c:v>3113.3460000000027</c:v>
                </c:pt>
                <c:pt idx="4">
                  <c:v>1349.1166000000035</c:v>
                </c:pt>
                <c:pt idx="5">
                  <c:v>0</c:v>
                </c:pt>
                <c:pt idx="6">
                  <c:v>0</c:v>
                </c:pt>
              </c:numCache>
            </c:numRef>
          </c:val>
          <c:extLst>
            <c:ext xmlns:c16="http://schemas.microsoft.com/office/drawing/2014/chart" uri="{C3380CC4-5D6E-409C-BE32-E72D297353CC}">
              <c16:uniqueId val="{00000002-A06E-4E1B-AEB4-9D835AD59371}"/>
            </c:ext>
          </c:extLst>
        </c:ser>
        <c:dLbls>
          <c:showLegendKey val="0"/>
          <c:showVal val="0"/>
          <c:showCatName val="0"/>
          <c:showSerName val="0"/>
          <c:showPercent val="0"/>
          <c:showBubbleSize val="0"/>
        </c:dLbls>
        <c:gapWidth val="219"/>
        <c:overlap val="-27"/>
        <c:axId val="710916232"/>
        <c:axId val="705621320"/>
      </c:barChart>
      <c:catAx>
        <c:axId val="710916232"/>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621320"/>
        <c:crosses val="autoZero"/>
        <c:auto val="1"/>
        <c:lblAlgn val="ctr"/>
        <c:lblOffset val="100"/>
        <c:noMultiLvlLbl val="0"/>
      </c:catAx>
      <c:valAx>
        <c:axId val="705621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916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2017/18 PLC Payments for </a:t>
            </a:r>
            <a:r>
              <a:rPr lang="en-US" sz="1200" b="1" i="0" u="none" strike="noStrike" baseline="0">
                <a:effectLst/>
              </a:rPr>
              <a:t>Soybean Base Acres under </a:t>
            </a:r>
            <a:r>
              <a:rPr lang="en-US" sz="1200" b="1"/>
              <a:t>Alternative Prices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Blank!$D$123</c:f>
              <c:strCache>
                <c:ptCount val="1"/>
                <c:pt idx="0">
                  <c:v>PLC Payment </c:v>
                </c:pt>
              </c:strCache>
            </c:strRef>
          </c:tx>
          <c:spPr>
            <a:solidFill>
              <a:schemeClr val="accent2"/>
            </a:solidFill>
            <a:ln>
              <a:noFill/>
            </a:ln>
            <a:effectLst/>
          </c:spPr>
          <c:invertIfNegative val="0"/>
          <c:cat>
            <c:numRef>
              <c:f>Blank!$C$124:$C$130</c:f>
              <c:numCache>
                <c:formatCode>"$"#,##0.00</c:formatCode>
                <c:ptCount val="7"/>
                <c:pt idx="0">
                  <c:v>7.95</c:v>
                </c:pt>
                <c:pt idx="1">
                  <c:v>8.42</c:v>
                </c:pt>
                <c:pt idx="2">
                  <c:v>8.8800000000000008</c:v>
                </c:pt>
                <c:pt idx="3">
                  <c:v>9.35</c:v>
                </c:pt>
                <c:pt idx="4">
                  <c:v>9.82</c:v>
                </c:pt>
                <c:pt idx="5">
                  <c:v>10.29</c:v>
                </c:pt>
                <c:pt idx="6">
                  <c:v>10.75</c:v>
                </c:pt>
              </c:numCache>
            </c:numRef>
          </c:cat>
          <c:val>
            <c:numRef>
              <c:f>Blank!$D$124:$D$130</c:f>
              <c:numCache>
                <c:formatCode>"$"#,##0</c:formatCode>
                <c:ptCount val="7"/>
                <c:pt idx="0">
                  <c:v>1319.0130000000004</c:v>
                </c:pt>
                <c:pt idx="1">
                  <c:v>0</c:v>
                </c:pt>
                <c:pt idx="2">
                  <c:v>0</c:v>
                </c:pt>
                <c:pt idx="3">
                  <c:v>0</c:v>
                </c:pt>
                <c:pt idx="4">
                  <c:v>0</c:v>
                </c:pt>
                <c:pt idx="5">
                  <c:v>0</c:v>
                </c:pt>
                <c:pt idx="6">
                  <c:v>0</c:v>
                </c:pt>
              </c:numCache>
            </c:numRef>
          </c:val>
          <c:extLst>
            <c:ext xmlns:c16="http://schemas.microsoft.com/office/drawing/2014/chart" uri="{C3380CC4-5D6E-409C-BE32-E72D297353CC}">
              <c16:uniqueId val="{00000002-EF21-4022-9C7A-ADF5E98BF8DC}"/>
            </c:ext>
          </c:extLst>
        </c:ser>
        <c:dLbls>
          <c:showLegendKey val="0"/>
          <c:showVal val="0"/>
          <c:showCatName val="0"/>
          <c:showSerName val="0"/>
          <c:showPercent val="0"/>
          <c:showBubbleSize val="0"/>
        </c:dLbls>
        <c:gapWidth val="219"/>
        <c:overlap val="-27"/>
        <c:axId val="705622104"/>
        <c:axId val="705622496"/>
      </c:barChart>
      <c:catAx>
        <c:axId val="705622104"/>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622496"/>
        <c:crosses val="autoZero"/>
        <c:auto val="1"/>
        <c:lblAlgn val="ctr"/>
        <c:lblOffset val="100"/>
        <c:noMultiLvlLbl val="0"/>
      </c:catAx>
      <c:valAx>
        <c:axId val="705622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622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9</xdr:col>
      <xdr:colOff>47805</xdr:colOff>
      <xdr:row>21</xdr:row>
      <xdr:rowOff>0</xdr:rowOff>
    </xdr:from>
    <xdr:to>
      <xdr:col>11</xdr:col>
      <xdr:colOff>478765</xdr:colOff>
      <xdr:row>34</xdr:row>
      <xdr:rowOff>27587</xdr:rowOff>
    </xdr:to>
    <xdr:graphicFrame macro="">
      <xdr:nvGraphicFramePr>
        <xdr:cNvPr id="4" name="Chart 3" title="2016/17 Payments for Corn Base Acres under Alternative Pric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608522</xdr:colOff>
      <xdr:row>21</xdr:row>
      <xdr:rowOff>14377</xdr:rowOff>
    </xdr:from>
    <xdr:to>
      <xdr:col>16</xdr:col>
      <xdr:colOff>209372</xdr:colOff>
      <xdr:row>34</xdr:row>
      <xdr:rowOff>45650</xdr:rowOff>
    </xdr:to>
    <xdr:graphicFrame macro="">
      <xdr:nvGraphicFramePr>
        <xdr:cNvPr id="5" name="Chart 4" title="2016/17 Payments for Soybean Base Acres under Alternative Pric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3139440</xdr:colOff>
      <xdr:row>53</xdr:row>
      <xdr:rowOff>144780</xdr:rowOff>
    </xdr:from>
    <xdr:to>
      <xdr:col>6</xdr:col>
      <xdr:colOff>106680</xdr:colOff>
      <xdr:row>57</xdr:row>
      <xdr:rowOff>3365</xdr:rowOff>
    </xdr:to>
    <xdr:pic>
      <xdr:nvPicPr>
        <xdr:cNvPr id="6" name="Picture 5" title="Iowa State University Extension and Outreach"/>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8040" y="7574280"/>
          <a:ext cx="2895600" cy="529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47805</xdr:colOff>
      <xdr:row>21</xdr:row>
      <xdr:rowOff>0</xdr:rowOff>
    </xdr:from>
    <xdr:to>
      <xdr:col>11</xdr:col>
      <xdr:colOff>478765</xdr:colOff>
      <xdr:row>34</xdr:row>
      <xdr:rowOff>27587</xdr:rowOff>
    </xdr:to>
    <xdr:graphicFrame macro="">
      <xdr:nvGraphicFramePr>
        <xdr:cNvPr id="2" name="Chart 1" title="2016/17 Payments for Corn Base Acres under Alternative Pric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608522</xdr:colOff>
      <xdr:row>21</xdr:row>
      <xdr:rowOff>14377</xdr:rowOff>
    </xdr:from>
    <xdr:to>
      <xdr:col>16</xdr:col>
      <xdr:colOff>209372</xdr:colOff>
      <xdr:row>34</xdr:row>
      <xdr:rowOff>45650</xdr:rowOff>
    </xdr:to>
    <xdr:graphicFrame macro="">
      <xdr:nvGraphicFramePr>
        <xdr:cNvPr id="3" name="Chart 2" title="2016/17 Payments for Soybean Base Acres under Alternative Pric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3139440</xdr:colOff>
      <xdr:row>53</xdr:row>
      <xdr:rowOff>144780</xdr:rowOff>
    </xdr:from>
    <xdr:to>
      <xdr:col>6</xdr:col>
      <xdr:colOff>106680</xdr:colOff>
      <xdr:row>57</xdr:row>
      <xdr:rowOff>3365</xdr:rowOff>
    </xdr:to>
    <xdr:pic>
      <xdr:nvPicPr>
        <xdr:cNvPr id="4" name="Picture 3" title="Iowa State University Extension and Outreach"/>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8040" y="9079230"/>
          <a:ext cx="2729865" cy="50628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lastina@iastate.edu?subject=PLC%20Payment%20Calculator" TargetMode="External"/><Relationship Id="rId7" Type="http://schemas.openxmlformats.org/officeDocument/2006/relationships/comments" Target="../comments1.xml"/><Relationship Id="rId2" Type="http://schemas.openxmlformats.org/officeDocument/2006/relationships/hyperlink" Target="http://www.extension.iastate.edu/agdm/crops/html/a1-32.html" TargetMode="External"/><Relationship Id="rId1" Type="http://schemas.openxmlformats.org/officeDocument/2006/relationships/hyperlink" Target="http://www.extension.iastate.edu/agdm/crops/pdf/a3-29.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lastina@iastate.edu?subject=PLC%20Payment%20Calculator" TargetMode="External"/><Relationship Id="rId7" Type="http://schemas.openxmlformats.org/officeDocument/2006/relationships/comments" Target="../comments2.xml"/><Relationship Id="rId2" Type="http://schemas.openxmlformats.org/officeDocument/2006/relationships/hyperlink" Target="http://www.extension.iastate.edu/agdm/crops/html/a1-32.html" TargetMode="External"/><Relationship Id="rId1" Type="http://schemas.openxmlformats.org/officeDocument/2006/relationships/hyperlink" Target="http://www.extension.iastate.edu/agdm/crops/pdf/a3-29.pdf"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0"/>
  <sheetViews>
    <sheetView showGridLines="0" tabSelected="1" zoomScaleNormal="100" workbookViewId="0">
      <selection activeCell="C1" sqref="C1"/>
    </sheetView>
  </sheetViews>
  <sheetFormatPr defaultColWidth="8.85546875" defaultRowHeight="14.25" x14ac:dyDescent="0.2"/>
  <cols>
    <col min="1" max="1" width="1.7109375" style="3" customWidth="1"/>
    <col min="2" max="2" width="1.7109375" style="4" customWidth="1"/>
    <col min="3" max="3" width="52.140625" style="4" customWidth="1"/>
    <col min="4" max="4" width="13.28515625" style="4" customWidth="1"/>
    <col min="5" max="5" width="12.28515625" style="4" customWidth="1"/>
    <col min="6" max="6" width="8.7109375" style="4" customWidth="1"/>
    <col min="7" max="8" width="4.85546875" style="4" customWidth="1"/>
    <col min="9" max="9" width="4.140625" style="4" customWidth="1"/>
    <col min="10" max="10" width="8.85546875" style="4"/>
    <col min="11" max="11" width="36.7109375" style="4" bestFit="1" customWidth="1"/>
    <col min="12" max="12" width="23.140625" style="4" bestFit="1" customWidth="1"/>
    <col min="13" max="16" width="8.85546875" style="4"/>
    <col min="17" max="17" width="5.140625" style="4" customWidth="1"/>
    <col min="18" max="16384" width="8.85546875" style="4"/>
  </cols>
  <sheetData>
    <row r="1" spans="1:10" s="2" customFormat="1" ht="18.75" thickBot="1" x14ac:dyDescent="0.3">
      <c r="C1" s="2" t="s">
        <v>51</v>
      </c>
    </row>
    <row r="2" spans="1:10" ht="15.75" thickTop="1" x14ac:dyDescent="0.25">
      <c r="C2" s="1" t="s">
        <v>12</v>
      </c>
    </row>
    <row r="3" spans="1:10" x14ac:dyDescent="0.2">
      <c r="C3" s="70" t="s">
        <v>13</v>
      </c>
      <c r="D3" s="70"/>
      <c r="E3" s="70"/>
      <c r="F3" s="70"/>
      <c r="G3" s="70"/>
      <c r="H3" s="28"/>
      <c r="I3" s="28"/>
      <c r="J3" s="28"/>
    </row>
    <row r="4" spans="1:10" x14ac:dyDescent="0.2">
      <c r="C4" s="28"/>
      <c r="D4" s="28"/>
      <c r="E4" s="28"/>
      <c r="F4" s="28"/>
      <c r="G4" s="28"/>
      <c r="H4" s="28"/>
      <c r="I4" s="28"/>
      <c r="J4" s="28"/>
    </row>
    <row r="5" spans="1:10" s="6" customFormat="1" ht="13.15" customHeight="1" x14ac:dyDescent="0.2">
      <c r="A5" s="5"/>
      <c r="C5" s="31" t="s">
        <v>14</v>
      </c>
      <c r="D5" s="31"/>
    </row>
    <row r="6" spans="1:10" s="6" customFormat="1" ht="12.75" x14ac:dyDescent="0.2">
      <c r="A6" s="5"/>
      <c r="C6" s="37" t="s">
        <v>15</v>
      </c>
      <c r="D6" s="30"/>
    </row>
    <row r="7" spans="1:10" s="6" customFormat="1" ht="13.5" thickBot="1" x14ac:dyDescent="0.25">
      <c r="A7" s="5"/>
    </row>
    <row r="8" spans="1:10" s="6" customFormat="1" ht="13.5" thickBot="1" x14ac:dyDescent="0.25">
      <c r="A8" s="5"/>
      <c r="C8" s="7" t="s">
        <v>16</v>
      </c>
      <c r="D8" s="38">
        <v>11111111</v>
      </c>
      <c r="E8" s="8"/>
    </row>
    <row r="9" spans="1:10" s="6" customFormat="1" ht="12.75" x14ac:dyDescent="0.2">
      <c r="A9" s="5"/>
      <c r="C9" s="9"/>
      <c r="D9" s="8"/>
      <c r="E9" s="8"/>
    </row>
    <row r="10" spans="1:10" s="6" customFormat="1" ht="13.5" thickBot="1" x14ac:dyDescent="0.25">
      <c r="A10" s="5"/>
      <c r="D10" s="10" t="s">
        <v>0</v>
      </c>
      <c r="E10" s="10" t="s">
        <v>1</v>
      </c>
    </row>
    <row r="11" spans="1:10" s="6" customFormat="1" ht="12.75" x14ac:dyDescent="0.2">
      <c r="A11" s="5"/>
      <c r="C11" s="11" t="s">
        <v>2</v>
      </c>
      <c r="D11" s="39">
        <v>100</v>
      </c>
      <c r="E11" s="40">
        <v>100</v>
      </c>
    </row>
    <row r="12" spans="1:10" s="6" customFormat="1" ht="13.5" thickBot="1" x14ac:dyDescent="0.25">
      <c r="A12" s="5"/>
      <c r="C12" s="12" t="s">
        <v>3</v>
      </c>
      <c r="D12" s="41">
        <v>131</v>
      </c>
      <c r="E12" s="42">
        <v>37</v>
      </c>
    </row>
    <row r="13" spans="1:10" s="6" customFormat="1" ht="12.75" x14ac:dyDescent="0.2">
      <c r="A13" s="5"/>
      <c r="C13" s="11" t="s">
        <v>27</v>
      </c>
      <c r="D13" s="39">
        <v>60</v>
      </c>
      <c r="E13" s="40">
        <v>150</v>
      </c>
    </row>
    <row r="14" spans="1:10" s="6" customFormat="1" ht="12.75" x14ac:dyDescent="0.2">
      <c r="A14" s="5"/>
      <c r="C14" s="20" t="s">
        <v>28</v>
      </c>
      <c r="D14" s="59">
        <v>150</v>
      </c>
      <c r="E14" s="60">
        <v>60</v>
      </c>
    </row>
    <row r="15" spans="1:10" s="6" customFormat="1" ht="12.75" x14ac:dyDescent="0.2">
      <c r="A15" s="5"/>
      <c r="C15" s="64" t="s">
        <v>40</v>
      </c>
      <c r="D15" s="59">
        <v>55</v>
      </c>
      <c r="E15" s="60">
        <v>155</v>
      </c>
    </row>
    <row r="16" spans="1:10" s="6" customFormat="1" ht="13.5" thickBot="1" x14ac:dyDescent="0.25">
      <c r="A16" s="5"/>
      <c r="C16" s="63" t="s">
        <v>48</v>
      </c>
      <c r="D16" s="57">
        <v>90</v>
      </c>
      <c r="E16" s="58">
        <v>120</v>
      </c>
    </row>
    <row r="17" spans="1:7" s="6" customFormat="1" ht="12.75" x14ac:dyDescent="0.2">
      <c r="A17" s="5"/>
    </row>
    <row r="18" spans="1:7" s="6" customFormat="1" ht="12.75" x14ac:dyDescent="0.2">
      <c r="A18" s="5"/>
      <c r="C18" s="56" t="s">
        <v>38</v>
      </c>
      <c r="D18" s="33">
        <v>3.7</v>
      </c>
      <c r="E18" s="33">
        <v>10.1</v>
      </c>
    </row>
    <row r="19" spans="1:7" s="6" customFormat="1" ht="12.75" x14ac:dyDescent="0.2">
      <c r="A19" s="5"/>
      <c r="C19" s="56" t="s">
        <v>39</v>
      </c>
      <c r="D19" s="33">
        <v>3.61</v>
      </c>
      <c r="E19" s="33">
        <v>8.9499999999999993</v>
      </c>
    </row>
    <row r="20" spans="1:7" s="6" customFormat="1" ht="12.75" x14ac:dyDescent="0.2">
      <c r="A20" s="5"/>
      <c r="C20" s="61" t="s">
        <v>42</v>
      </c>
      <c r="D20" s="33">
        <v>3.36</v>
      </c>
      <c r="E20" s="33">
        <v>9.4700000000000006</v>
      </c>
    </row>
    <row r="21" spans="1:7" s="6" customFormat="1" ht="12.75" x14ac:dyDescent="0.2">
      <c r="A21" s="5"/>
      <c r="C21" s="61" t="s">
        <v>45</v>
      </c>
      <c r="D21" s="33">
        <v>3.4</v>
      </c>
      <c r="E21" s="33">
        <v>9.35</v>
      </c>
    </row>
    <row r="22" spans="1:7" s="6" customFormat="1" ht="12.75" x14ac:dyDescent="0.2">
      <c r="A22" s="5"/>
      <c r="C22" s="6" t="s">
        <v>5</v>
      </c>
      <c r="D22" s="13">
        <v>1.95</v>
      </c>
      <c r="E22" s="13">
        <v>5</v>
      </c>
    </row>
    <row r="23" spans="1:7" s="6" customFormat="1" ht="12.75" x14ac:dyDescent="0.2">
      <c r="A23" s="5"/>
      <c r="C23" s="6" t="s">
        <v>4</v>
      </c>
      <c r="D23" s="13">
        <v>3.7</v>
      </c>
      <c r="E23" s="13">
        <v>8.4</v>
      </c>
    </row>
    <row r="24" spans="1:7" s="6" customFormat="1" ht="12.75" x14ac:dyDescent="0.2">
      <c r="A24" s="5"/>
      <c r="C24" s="6" t="s">
        <v>18</v>
      </c>
      <c r="D24" s="13">
        <f>+MAX(D$22,D18)</f>
        <v>3.7</v>
      </c>
      <c r="E24" s="13">
        <f>+MAX(E$22,E18)</f>
        <v>10.1</v>
      </c>
      <c r="G24" s="13"/>
    </row>
    <row r="25" spans="1:7" s="6" customFormat="1" ht="12.75" x14ac:dyDescent="0.2">
      <c r="A25" s="5"/>
      <c r="C25" s="6" t="s">
        <v>19</v>
      </c>
      <c r="D25" s="13">
        <f>+MAX(D$22,D19)</f>
        <v>3.61</v>
      </c>
      <c r="E25" s="13">
        <f t="shared" ref="E25:E26" si="0">+MAX(E$22,E19)</f>
        <v>8.9499999999999993</v>
      </c>
      <c r="G25" s="13"/>
    </row>
    <row r="26" spans="1:7" s="6" customFormat="1" ht="12.75" x14ac:dyDescent="0.2">
      <c r="A26" s="5"/>
      <c r="C26" s="6" t="s">
        <v>32</v>
      </c>
      <c r="D26" s="13">
        <f>+MAX(D$22,D20)</f>
        <v>3.36</v>
      </c>
      <c r="E26" s="13">
        <f t="shared" si="0"/>
        <v>9.4700000000000006</v>
      </c>
      <c r="G26" s="13"/>
    </row>
    <row r="27" spans="1:7" s="6" customFormat="1" ht="12.75" x14ac:dyDescent="0.2">
      <c r="A27" s="5"/>
      <c r="C27" s="61" t="s">
        <v>46</v>
      </c>
      <c r="D27" s="13">
        <f>+MAX(D$22,D21)</f>
        <v>3.4</v>
      </c>
      <c r="E27" s="13">
        <f>+MAX(E$22,E21)</f>
        <v>9.35</v>
      </c>
      <c r="G27" s="13"/>
    </row>
    <row r="28" spans="1:7" s="6" customFormat="1" ht="12.75" x14ac:dyDescent="0.2">
      <c r="A28" s="5"/>
      <c r="C28" s="6" t="s">
        <v>17</v>
      </c>
      <c r="D28" s="14">
        <f>0.85*D11</f>
        <v>85</v>
      </c>
      <c r="E28" s="14">
        <f>0.85*E11</f>
        <v>85</v>
      </c>
    </row>
    <row r="29" spans="1:7" s="6" customFormat="1" ht="13.5" thickBot="1" x14ac:dyDescent="0.25">
      <c r="A29" s="5"/>
      <c r="C29" s="9" t="s">
        <v>31</v>
      </c>
      <c r="D29" s="55">
        <v>6.8000000000000005E-2</v>
      </c>
      <c r="E29" s="55">
        <f>D29</f>
        <v>6.8000000000000005E-2</v>
      </c>
    </row>
    <row r="30" spans="1:7" s="6" customFormat="1" ht="13.5" thickBot="1" x14ac:dyDescent="0.25">
      <c r="A30" s="5"/>
      <c r="C30" s="47" t="s">
        <v>20</v>
      </c>
      <c r="D30" s="52">
        <f>+IFERROR(MAX(0,D28*D12*(D23-D24))*(1-D29),"")</f>
        <v>0</v>
      </c>
      <c r="E30" s="53">
        <f>+IFERROR(MAX(0,E28*E12*(E23-E24))*(1-E29),"")</f>
        <v>0</v>
      </c>
      <c r="F30" s="15" t="str">
        <f>+IF(D30+E30&gt;125000,"***","")</f>
        <v/>
      </c>
    </row>
    <row r="31" spans="1:7" s="6" customFormat="1" ht="12.75" x14ac:dyDescent="0.2">
      <c r="A31" s="5"/>
      <c r="C31" s="44" t="s">
        <v>24</v>
      </c>
      <c r="D31" s="45">
        <f>IFERROR(D30/D11,"")</f>
        <v>0</v>
      </c>
      <c r="E31" s="46">
        <f>IFERROR(E30/E11,"")</f>
        <v>0</v>
      </c>
    </row>
    <row r="32" spans="1:7" s="6" customFormat="1" ht="13.5" thickBot="1" x14ac:dyDescent="0.25">
      <c r="A32" s="5"/>
      <c r="C32" s="29" t="s">
        <v>25</v>
      </c>
      <c r="D32" s="71">
        <f>+IFERROR(SUM(D30:E30)/SUM(D11:E11),"")</f>
        <v>0</v>
      </c>
      <c r="E32" s="72"/>
      <c r="F32" s="54"/>
    </row>
    <row r="33" spans="1:9" s="6" customFormat="1" ht="12.75" x14ac:dyDescent="0.2">
      <c r="A33" s="5"/>
      <c r="C33" s="48" t="s">
        <v>23</v>
      </c>
      <c r="D33" s="50">
        <f>+IFERROR(D30/D13,"")</f>
        <v>0</v>
      </c>
      <c r="E33" s="51">
        <f>+IFERROR(E30/E13,"")</f>
        <v>0</v>
      </c>
      <c r="F33" s="54"/>
    </row>
    <row r="34" spans="1:9" s="6" customFormat="1" ht="13.5" thickBot="1" x14ac:dyDescent="0.25">
      <c r="A34" s="5"/>
      <c r="C34" s="49" t="s">
        <v>26</v>
      </c>
      <c r="D34" s="73">
        <f>+IFERROR(SUM(D30:E30)/SUM(D13:E13),"")</f>
        <v>0</v>
      </c>
      <c r="E34" s="74"/>
      <c r="F34" s="54"/>
    </row>
    <row r="35" spans="1:9" s="6" customFormat="1" ht="13.5" thickBot="1" x14ac:dyDescent="0.25">
      <c r="A35" s="5"/>
    </row>
    <row r="36" spans="1:9" s="6" customFormat="1" ht="13.5" thickBot="1" x14ac:dyDescent="0.25">
      <c r="A36" s="5"/>
      <c r="C36" s="47" t="s">
        <v>21</v>
      </c>
      <c r="D36" s="52">
        <f>+IFERROR(MAX(0,D$28*D$12*(D$23-D$25))*(1-D$29),"")</f>
        <v>934.00380000000314</v>
      </c>
      <c r="E36" s="53">
        <f>+IFERROR(MAX(0,E$28*E$12*(E$23-E$25))*(1-E$29),"")</f>
        <v>0</v>
      </c>
      <c r="F36" s="15" t="str">
        <f>+IF(D36+E36&gt;125000,"***","")</f>
        <v/>
      </c>
    </row>
    <row r="37" spans="1:9" s="6" customFormat="1" ht="12.75" x14ac:dyDescent="0.2">
      <c r="A37" s="5"/>
      <c r="C37" s="44" t="s">
        <v>29</v>
      </c>
      <c r="D37" s="45">
        <f>IFERROR(D$36/D$11,"")</f>
        <v>9.3400380000000318</v>
      </c>
      <c r="E37" s="46">
        <f>IFERROR(E$36/E$11,"")</f>
        <v>0</v>
      </c>
    </row>
    <row r="38" spans="1:9" s="6" customFormat="1" ht="13.5" thickBot="1" x14ac:dyDescent="0.25">
      <c r="A38" s="5"/>
      <c r="C38" s="29" t="s">
        <v>25</v>
      </c>
      <c r="D38" s="71">
        <f>+IFERROR(SUM($D$36:$E$36)/SUM($D$11:$E$11),"")</f>
        <v>4.6700190000000159</v>
      </c>
      <c r="E38" s="72"/>
    </row>
    <row r="39" spans="1:9" s="16" customFormat="1" ht="12.75" x14ac:dyDescent="0.2">
      <c r="A39" s="5"/>
      <c r="B39" s="6"/>
      <c r="C39" s="48" t="s">
        <v>30</v>
      </c>
      <c r="D39" s="50">
        <f>+IFERROR(D$36/D$14,"")</f>
        <v>6.2266920000000212</v>
      </c>
      <c r="E39" s="51">
        <f>+IFERROR(E$36/E$14,"")</f>
        <v>0</v>
      </c>
      <c r="F39" s="6"/>
      <c r="G39" s="6"/>
      <c r="H39" s="6"/>
      <c r="I39" s="6"/>
    </row>
    <row r="40" spans="1:9" s="16" customFormat="1" ht="13.5" thickBot="1" x14ac:dyDescent="0.25">
      <c r="A40" s="5"/>
      <c r="C40" s="49" t="s">
        <v>26</v>
      </c>
      <c r="D40" s="73">
        <f>+IFERROR(SUM($D$36:$E$36)/SUM($D$14:$E$14),"")</f>
        <v>4.4476371428571575</v>
      </c>
      <c r="E40" s="74"/>
      <c r="F40" s="6"/>
      <c r="G40" s="6"/>
      <c r="H40" s="6"/>
      <c r="I40" s="6"/>
    </row>
    <row r="41" spans="1:9" s="16" customFormat="1" ht="13.5" thickBot="1" x14ac:dyDescent="0.25">
      <c r="A41" s="5"/>
      <c r="C41" s="15" t="str">
        <f>+IF(OR(D30+E30&gt;125000,D36+E36&gt;125000),"***Limit on all federal payments per Individual: $125,000; per couple: $250,000","")</f>
        <v/>
      </c>
      <c r="D41" s="17"/>
      <c r="E41" s="17"/>
    </row>
    <row r="42" spans="1:9" s="16" customFormat="1" ht="13.5" thickBot="1" x14ac:dyDescent="0.25">
      <c r="A42" s="5"/>
      <c r="C42" s="47" t="s">
        <v>35</v>
      </c>
      <c r="D42" s="52">
        <f>+IFERROR(MAX(0,D$28*D$12*(D$23-D$26))*(1-D$29),"")</f>
        <v>3528.4588000000026</v>
      </c>
      <c r="E42" s="53">
        <f>+IFERROR(MAX(0,E$28*E$12*(E$23-E$26))*(1-E$29),"")</f>
        <v>0</v>
      </c>
    </row>
    <row r="43" spans="1:9" s="16" customFormat="1" ht="12.75" x14ac:dyDescent="0.2">
      <c r="A43" s="5"/>
      <c r="C43" s="44" t="s">
        <v>36</v>
      </c>
      <c r="D43" s="45">
        <f>IFERROR(D$42/D$11,"")</f>
        <v>35.284588000000028</v>
      </c>
      <c r="E43" s="46">
        <f>IFERROR(E$42/E$11,"")</f>
        <v>0</v>
      </c>
    </row>
    <row r="44" spans="1:9" s="16" customFormat="1" ht="13.5" thickBot="1" x14ac:dyDescent="0.25">
      <c r="A44" s="5"/>
      <c r="C44" s="29" t="s">
        <v>25</v>
      </c>
      <c r="D44" s="71">
        <f>+IFERROR(SUM($D$42:$E$42)/SUM($D$11:$E$11),"")</f>
        <v>17.642294000000014</v>
      </c>
      <c r="E44" s="72"/>
    </row>
    <row r="45" spans="1:9" s="16" customFormat="1" ht="12.75" x14ac:dyDescent="0.2">
      <c r="A45" s="5"/>
      <c r="C45" s="48" t="s">
        <v>37</v>
      </c>
      <c r="D45" s="50">
        <f>+IFERROR(D$42/D$15,"")</f>
        <v>64.153796363636417</v>
      </c>
      <c r="E45" s="51">
        <f>+IFERROR(E$42/E$15,"")</f>
        <v>0</v>
      </c>
    </row>
    <row r="46" spans="1:9" s="16" customFormat="1" ht="13.5" thickBot="1" x14ac:dyDescent="0.25">
      <c r="A46" s="5"/>
      <c r="C46" s="49" t="s">
        <v>26</v>
      </c>
      <c r="D46" s="73">
        <f>+IFERROR(SUM($D$42:$E$42)/SUM($D$15:$E$15),"")</f>
        <v>16.802184761904773</v>
      </c>
      <c r="E46" s="74"/>
    </row>
    <row r="47" spans="1:9" s="16" customFormat="1" ht="13.5" thickBot="1" x14ac:dyDescent="0.25">
      <c r="A47" s="5"/>
      <c r="C47" s="15"/>
      <c r="D47" s="17"/>
      <c r="E47" s="17"/>
    </row>
    <row r="48" spans="1:9" s="16" customFormat="1" ht="13.5" thickBot="1" x14ac:dyDescent="0.25">
      <c r="A48" s="5"/>
      <c r="C48" s="47" t="s">
        <v>47</v>
      </c>
      <c r="D48" s="52">
        <f>+IFERROR(MAX(0,D$28*D$12*(D$23-D$27))*(1-D$29),"")</f>
        <v>3113.3460000000027</v>
      </c>
      <c r="E48" s="53">
        <f>+IFERROR(MAX(0,E$28*E$12*(E$23-E$27))*(1-E$29),"")</f>
        <v>0</v>
      </c>
    </row>
    <row r="49" spans="1:9" s="16" customFormat="1" ht="12.75" x14ac:dyDescent="0.2">
      <c r="A49" s="5"/>
      <c r="C49" s="65" t="s">
        <v>52</v>
      </c>
      <c r="D49" s="45">
        <f>IFERROR(D$48/D$11,"")</f>
        <v>31.133460000000028</v>
      </c>
      <c r="E49" s="46">
        <f>IFERROR(E$48/E$11,"")</f>
        <v>0</v>
      </c>
    </row>
    <row r="50" spans="1:9" s="16" customFormat="1" ht="13.5" thickBot="1" x14ac:dyDescent="0.25">
      <c r="A50" s="5"/>
      <c r="C50" s="29" t="s">
        <v>25</v>
      </c>
      <c r="D50" s="71">
        <f>+IFERROR(SUM($D$48:$E$48)/SUM($D$11:$E$11),"")</f>
        <v>15.566730000000014</v>
      </c>
      <c r="E50" s="72"/>
    </row>
    <row r="51" spans="1:9" s="16" customFormat="1" ht="12.75" x14ac:dyDescent="0.2">
      <c r="A51" s="5"/>
      <c r="C51" s="66" t="s">
        <v>53</v>
      </c>
      <c r="D51" s="50">
        <f>+IFERROR(D$48/D$16,"")</f>
        <v>34.592733333333364</v>
      </c>
      <c r="E51" s="51">
        <f>+IFERROR(E$48/E$16,"")</f>
        <v>0</v>
      </c>
    </row>
    <row r="52" spans="1:9" s="16" customFormat="1" ht="13.5" thickBot="1" x14ac:dyDescent="0.25">
      <c r="A52" s="5"/>
      <c r="C52" s="49" t="s">
        <v>26</v>
      </c>
      <c r="D52" s="73">
        <f>+IFERROR(SUM($D$42:$E$42)/SUM($D$16:$E$16),"")</f>
        <v>16.802184761904773</v>
      </c>
      <c r="E52" s="74"/>
    </row>
    <row r="53" spans="1:9" s="16" customFormat="1" ht="12.75" x14ac:dyDescent="0.2">
      <c r="A53" s="5"/>
      <c r="C53" s="15"/>
      <c r="D53" s="17"/>
      <c r="E53" s="17"/>
    </row>
    <row r="54" spans="1:9" s="16" customFormat="1" ht="12.75" x14ac:dyDescent="0.2">
      <c r="A54" s="5"/>
      <c r="C54" s="61" t="s">
        <v>43</v>
      </c>
      <c r="D54" s="6"/>
      <c r="E54" s="17"/>
    </row>
    <row r="55" spans="1:9" s="16" customFormat="1" ht="12.75" x14ac:dyDescent="0.2">
      <c r="A55" s="5"/>
      <c r="C55" s="32" t="s">
        <v>9</v>
      </c>
      <c r="D55" s="6"/>
      <c r="E55" s="17"/>
    </row>
    <row r="56" spans="1:9" s="16" customFormat="1" ht="12.75" x14ac:dyDescent="0.2">
      <c r="A56" s="5"/>
      <c r="C56" s="61" t="s">
        <v>44</v>
      </c>
      <c r="E56" s="17"/>
    </row>
    <row r="57" spans="1:9" s="6" customFormat="1" ht="12.75" x14ac:dyDescent="0.2">
      <c r="A57" s="5"/>
      <c r="B57" s="16"/>
      <c r="C57" s="6" t="s">
        <v>22</v>
      </c>
      <c r="D57" s="18"/>
      <c r="E57" s="17"/>
      <c r="F57" s="16"/>
      <c r="G57" s="16"/>
      <c r="H57" s="16"/>
      <c r="I57" s="16"/>
    </row>
    <row r="58" spans="1:9" s="6" customFormat="1" ht="12.75" x14ac:dyDescent="0.2">
      <c r="A58" s="5"/>
      <c r="C58" s="36">
        <f ca="1">TODAY()</f>
        <v>43322</v>
      </c>
      <c r="D58" s="17"/>
      <c r="E58" s="17"/>
      <c r="F58" s="16"/>
      <c r="G58" s="16"/>
      <c r="H58" s="16"/>
      <c r="I58" s="16"/>
    </row>
    <row r="59" spans="1:9" s="6" customFormat="1" ht="14.25" customHeight="1" x14ac:dyDescent="0.2">
      <c r="A59" s="5"/>
      <c r="C59" s="35"/>
      <c r="D59" s="34"/>
      <c r="E59" s="34"/>
    </row>
    <row r="60" spans="1:9" s="6" customFormat="1" ht="12.75" x14ac:dyDescent="0.2">
      <c r="A60" s="5"/>
      <c r="C60" s="69" t="s">
        <v>41</v>
      </c>
      <c r="D60" s="69"/>
      <c r="E60" s="69"/>
      <c r="F60" s="69"/>
      <c r="G60" s="69"/>
      <c r="H60" s="69"/>
      <c r="I60" s="43"/>
    </row>
    <row r="61" spans="1:9" s="6" customFormat="1" ht="12.75" x14ac:dyDescent="0.2">
      <c r="A61" s="5"/>
      <c r="C61" s="69"/>
      <c r="D61" s="69"/>
      <c r="E61" s="69"/>
      <c r="F61" s="69"/>
      <c r="G61" s="69"/>
      <c r="H61" s="69"/>
      <c r="I61" s="43"/>
    </row>
    <row r="62" spans="1:9" s="6" customFormat="1" ht="12.75" x14ac:dyDescent="0.2">
      <c r="A62" s="5"/>
      <c r="C62" s="69"/>
      <c r="D62" s="69"/>
      <c r="E62" s="69"/>
      <c r="F62" s="69"/>
      <c r="G62" s="69"/>
      <c r="H62" s="69"/>
      <c r="I62" s="43"/>
    </row>
    <row r="63" spans="1:9" s="6" customFormat="1" ht="12.75" x14ac:dyDescent="0.2">
      <c r="A63" s="5"/>
    </row>
    <row r="64" spans="1:9" s="6" customFormat="1" ht="12.75" x14ac:dyDescent="0.2">
      <c r="A64" s="5"/>
    </row>
    <row r="65" spans="1:5" s="6" customFormat="1" ht="12.75" x14ac:dyDescent="0.2">
      <c r="A65" s="5"/>
      <c r="C65" s="19" t="s">
        <v>6</v>
      </c>
    </row>
    <row r="66" spans="1:5" s="6" customFormat="1" ht="13.5" hidden="1" thickBot="1" x14ac:dyDescent="0.25">
      <c r="A66" s="5"/>
      <c r="C66" s="19"/>
    </row>
    <row r="67" spans="1:5" s="6" customFormat="1" ht="12.75" hidden="1" x14ac:dyDescent="0.2">
      <c r="A67" s="5"/>
      <c r="C67" s="67" t="s">
        <v>10</v>
      </c>
      <c r="D67" s="68"/>
    </row>
    <row r="68" spans="1:5" s="6" customFormat="1" ht="12.75" hidden="1" x14ac:dyDescent="0.2">
      <c r="A68" s="5"/>
      <c r="C68" s="20" t="s">
        <v>7</v>
      </c>
      <c r="D68" s="21" t="s">
        <v>8</v>
      </c>
    </row>
    <row r="69" spans="1:5" s="6" customFormat="1" ht="12.75" hidden="1" x14ac:dyDescent="0.2">
      <c r="A69" s="5"/>
      <c r="C69" s="22">
        <f>+ROUND(C72*0.85,2)</f>
        <v>3.07</v>
      </c>
      <c r="D69" s="23">
        <f t="shared" ref="D69:D75" si="1">+MAX(D$28*D$12*(D$23-MAX($D$22,C69)),0)*(1-$D$29)</f>
        <v>6538.0266000000029</v>
      </c>
      <c r="E69" s="15" t="str">
        <f>+IF(D69&gt;125000,"***","")</f>
        <v/>
      </c>
    </row>
    <row r="70" spans="1:5" s="6" customFormat="1" ht="12.75" hidden="1" x14ac:dyDescent="0.2">
      <c r="A70" s="5"/>
      <c r="C70" s="22">
        <f>+ROUND(C72*0.9,2)</f>
        <v>3.25</v>
      </c>
      <c r="D70" s="23">
        <f t="shared" si="1"/>
        <v>4670.0190000000011</v>
      </c>
      <c r="E70" s="15" t="str">
        <f t="shared" ref="E70:E75" si="2">+IF(D70&gt;125000,"***","")</f>
        <v/>
      </c>
    </row>
    <row r="71" spans="1:5" s="6" customFormat="1" ht="12.75" hidden="1" x14ac:dyDescent="0.2">
      <c r="A71" s="5"/>
      <c r="C71" s="22">
        <f>+ROUND(C72*0.95,2)</f>
        <v>3.43</v>
      </c>
      <c r="D71" s="23">
        <f t="shared" si="1"/>
        <v>2802.0113999999999</v>
      </c>
      <c r="E71" s="15" t="str">
        <f t="shared" si="2"/>
        <v/>
      </c>
    </row>
    <row r="72" spans="1:5" s="6" customFormat="1" ht="12.75" hidden="1" x14ac:dyDescent="0.2">
      <c r="A72" s="5"/>
      <c r="C72" s="24">
        <f>+D19</f>
        <v>3.61</v>
      </c>
      <c r="D72" s="25">
        <f t="shared" si="1"/>
        <v>934.00380000000314</v>
      </c>
      <c r="E72" s="15" t="str">
        <f t="shared" si="2"/>
        <v/>
      </c>
    </row>
    <row r="73" spans="1:5" s="6" customFormat="1" ht="12.75" hidden="1" x14ac:dyDescent="0.2">
      <c r="A73" s="5"/>
      <c r="C73" s="22">
        <f>+ROUND(C72*1.05,2)</f>
        <v>3.79</v>
      </c>
      <c r="D73" s="23">
        <f t="shared" si="1"/>
        <v>0</v>
      </c>
      <c r="E73" s="15" t="str">
        <f t="shared" si="2"/>
        <v/>
      </c>
    </row>
    <row r="74" spans="1:5" s="6" customFormat="1" ht="12.75" hidden="1" x14ac:dyDescent="0.2">
      <c r="A74" s="5"/>
      <c r="C74" s="22">
        <f>+ROUND(C72*1.1,2)</f>
        <v>3.97</v>
      </c>
      <c r="D74" s="23">
        <f t="shared" si="1"/>
        <v>0</v>
      </c>
      <c r="E74" s="15" t="str">
        <f t="shared" si="2"/>
        <v/>
      </c>
    </row>
    <row r="75" spans="1:5" s="6" customFormat="1" ht="13.5" hidden="1" thickBot="1" x14ac:dyDescent="0.25">
      <c r="A75" s="5"/>
      <c r="C75" s="26">
        <f>+ROUND(C72*1.15,2)</f>
        <v>4.1500000000000004</v>
      </c>
      <c r="D75" s="27">
        <f t="shared" si="1"/>
        <v>0</v>
      </c>
      <c r="E75" s="15" t="str">
        <f t="shared" si="2"/>
        <v/>
      </c>
    </row>
    <row r="76" spans="1:5" s="6" customFormat="1" ht="12.75" hidden="1" x14ac:dyDescent="0.2">
      <c r="A76" s="5"/>
      <c r="C76" s="15" t="str">
        <f>+IF(D69&gt;125000,"***Limit on all federal payments per Individual: $125,000; per couple: $250,000","")</f>
        <v/>
      </c>
    </row>
    <row r="77" spans="1:5" s="6" customFormat="1" ht="13.5" hidden="1" thickBot="1" x14ac:dyDescent="0.25">
      <c r="A77" s="5"/>
      <c r="C77" s="15"/>
    </row>
    <row r="78" spans="1:5" s="6" customFormat="1" ht="12.75" hidden="1" x14ac:dyDescent="0.2">
      <c r="A78" s="5"/>
      <c r="C78" s="67" t="s">
        <v>11</v>
      </c>
      <c r="D78" s="68"/>
    </row>
    <row r="79" spans="1:5" s="6" customFormat="1" ht="12.75" hidden="1" x14ac:dyDescent="0.2">
      <c r="A79" s="5"/>
      <c r="C79" s="20" t="s">
        <v>7</v>
      </c>
      <c r="D79" s="21" t="s">
        <v>8</v>
      </c>
    </row>
    <row r="80" spans="1:5" s="6" customFormat="1" ht="12.75" hidden="1" x14ac:dyDescent="0.2">
      <c r="A80" s="5"/>
      <c r="C80" s="22">
        <f>+ROUND(C83*0.85,2)</f>
        <v>7.61</v>
      </c>
      <c r="D80" s="23">
        <f t="shared" ref="D80:D86" si="3">+MAX(E$28*E$12*(E$23-MAX($E$22,C80)),0)*(1-$E$29)</f>
        <v>2315.6006000000002</v>
      </c>
      <c r="E80" s="15" t="str">
        <f>+IF(D80&gt;125000,"***","")</f>
        <v/>
      </c>
    </row>
    <row r="81" spans="1:5" s="6" customFormat="1" ht="12.75" hidden="1" x14ac:dyDescent="0.2">
      <c r="A81" s="5"/>
      <c r="C81" s="22">
        <f>+ROUND(C83*0.9,2)</f>
        <v>8.06</v>
      </c>
      <c r="D81" s="23">
        <f t="shared" si="3"/>
        <v>996.5875999999995</v>
      </c>
      <c r="E81" s="15" t="str">
        <f t="shared" ref="E81:E86" si="4">+IF(D81&gt;125000,"***","")</f>
        <v/>
      </c>
    </row>
    <row r="82" spans="1:5" s="6" customFormat="1" ht="12.75" hidden="1" x14ac:dyDescent="0.2">
      <c r="A82" s="5"/>
      <c r="C82" s="22">
        <f>+ROUND(C83*0.95,2)</f>
        <v>8.5</v>
      </c>
      <c r="D82" s="23">
        <f t="shared" si="3"/>
        <v>0</v>
      </c>
      <c r="E82" s="15" t="str">
        <f t="shared" si="4"/>
        <v/>
      </c>
    </row>
    <row r="83" spans="1:5" s="6" customFormat="1" ht="12.75" hidden="1" x14ac:dyDescent="0.2">
      <c r="A83" s="5"/>
      <c r="C83" s="24">
        <f>+E19</f>
        <v>8.9499999999999993</v>
      </c>
      <c r="D83" s="25">
        <f t="shared" si="3"/>
        <v>0</v>
      </c>
      <c r="E83" s="15" t="str">
        <f t="shared" si="4"/>
        <v/>
      </c>
    </row>
    <row r="84" spans="1:5" s="6" customFormat="1" ht="12.75" hidden="1" x14ac:dyDescent="0.2">
      <c r="A84" s="5"/>
      <c r="C84" s="22">
        <f>+ROUND(C83*1.05,2)</f>
        <v>9.4</v>
      </c>
      <c r="D84" s="23">
        <f t="shared" si="3"/>
        <v>0</v>
      </c>
      <c r="E84" s="15" t="str">
        <f t="shared" si="4"/>
        <v/>
      </c>
    </row>
    <row r="85" spans="1:5" s="6" customFormat="1" ht="12.75" hidden="1" x14ac:dyDescent="0.2">
      <c r="A85" s="5"/>
      <c r="C85" s="22">
        <f>+ROUND(C83*1.1,2)</f>
        <v>9.85</v>
      </c>
      <c r="D85" s="23">
        <f t="shared" si="3"/>
        <v>0</v>
      </c>
      <c r="E85" s="15" t="str">
        <f t="shared" si="4"/>
        <v/>
      </c>
    </row>
    <row r="86" spans="1:5" s="6" customFormat="1" ht="13.5" hidden="1" thickBot="1" x14ac:dyDescent="0.25">
      <c r="A86" s="5"/>
      <c r="C86" s="26">
        <f>+ROUND(C83*1.15,2)</f>
        <v>10.29</v>
      </c>
      <c r="D86" s="27">
        <f t="shared" si="3"/>
        <v>0</v>
      </c>
      <c r="E86" s="15" t="str">
        <f t="shared" si="4"/>
        <v/>
      </c>
    </row>
    <row r="87" spans="1:5" s="6" customFormat="1" ht="12.75" hidden="1" x14ac:dyDescent="0.2">
      <c r="A87" s="5"/>
      <c r="C87" s="15" t="str">
        <f>+IF(D80&gt;125000,"***Limit on all federal payments per Individual: $125,000; per couple: $250,000","")</f>
        <v/>
      </c>
    </row>
    <row r="88" spans="1:5" s="6" customFormat="1" ht="13.5" thickBot="1" x14ac:dyDescent="0.25">
      <c r="A88" s="5"/>
    </row>
    <row r="89" spans="1:5" s="6" customFormat="1" ht="12.75" hidden="1" x14ac:dyDescent="0.2">
      <c r="A89" s="5"/>
      <c r="C89" s="67" t="s">
        <v>33</v>
      </c>
      <c r="D89" s="68"/>
    </row>
    <row r="90" spans="1:5" s="6" customFormat="1" ht="12.75" hidden="1" x14ac:dyDescent="0.2">
      <c r="A90" s="5"/>
      <c r="C90" s="20" t="s">
        <v>7</v>
      </c>
      <c r="D90" s="21" t="s">
        <v>8</v>
      </c>
    </row>
    <row r="91" spans="1:5" s="6" customFormat="1" ht="12.75" hidden="1" x14ac:dyDescent="0.2">
      <c r="A91" s="5"/>
      <c r="C91" s="22">
        <f>+ROUND(C94*0.85,2)</f>
        <v>2.86</v>
      </c>
      <c r="D91" s="23">
        <f t="shared" ref="D91:D97" si="5">+MAX(D$28*D$12*(D$23-MAX($D$22,C91)),0)*(1-$D$29)</f>
        <v>8717.368800000002</v>
      </c>
      <c r="E91" s="15" t="str">
        <f>+IF(D91&gt;125000,"***","")</f>
        <v/>
      </c>
    </row>
    <row r="92" spans="1:5" s="6" customFormat="1" ht="12.75" hidden="1" x14ac:dyDescent="0.2">
      <c r="A92" s="5"/>
      <c r="C92" s="22">
        <f>+ROUND(C94*0.9,2)</f>
        <v>3.02</v>
      </c>
      <c r="D92" s="23">
        <f t="shared" si="5"/>
        <v>7056.9176000000016</v>
      </c>
      <c r="E92" s="15" t="str">
        <f t="shared" ref="E92:E97" si="6">+IF(D92&gt;125000,"***","")</f>
        <v/>
      </c>
    </row>
    <row r="93" spans="1:5" s="6" customFormat="1" ht="12.75" hidden="1" x14ac:dyDescent="0.2">
      <c r="A93" s="5"/>
      <c r="C93" s="22">
        <f>+ROUND(C94*0.95,2)</f>
        <v>3.19</v>
      </c>
      <c r="D93" s="23">
        <f t="shared" si="5"/>
        <v>5292.6882000000014</v>
      </c>
      <c r="E93" s="15" t="str">
        <f t="shared" si="6"/>
        <v/>
      </c>
    </row>
    <row r="94" spans="1:5" s="6" customFormat="1" ht="12.75" hidden="1" x14ac:dyDescent="0.2">
      <c r="A94" s="5"/>
      <c r="C94" s="24">
        <f>+D26</f>
        <v>3.36</v>
      </c>
      <c r="D94" s="25">
        <f t="shared" si="5"/>
        <v>3528.4588000000026</v>
      </c>
      <c r="E94" s="15" t="str">
        <f t="shared" si="6"/>
        <v/>
      </c>
    </row>
    <row r="95" spans="1:5" s="6" customFormat="1" ht="12.75" hidden="1" x14ac:dyDescent="0.2">
      <c r="A95" s="5"/>
      <c r="C95" s="22">
        <f>+ROUND(C94*1.05,2)</f>
        <v>3.53</v>
      </c>
      <c r="D95" s="23">
        <f t="shared" si="5"/>
        <v>1764.2294000000038</v>
      </c>
      <c r="E95" s="15" t="str">
        <f t="shared" si="6"/>
        <v/>
      </c>
    </row>
    <row r="96" spans="1:5" s="6" customFormat="1" ht="12.75" hidden="1" x14ac:dyDescent="0.2">
      <c r="A96" s="5"/>
      <c r="C96" s="22">
        <f>+ROUND(C94*1.1,2)</f>
        <v>3.7</v>
      </c>
      <c r="D96" s="23">
        <f t="shared" si="5"/>
        <v>0</v>
      </c>
      <c r="E96" s="15" t="str">
        <f t="shared" si="6"/>
        <v/>
      </c>
    </row>
    <row r="97" spans="1:9" s="6" customFormat="1" ht="13.5" hidden="1" thickBot="1" x14ac:dyDescent="0.25">
      <c r="A97" s="5"/>
      <c r="C97" s="26">
        <f>+ROUND(C94*1.15,2)</f>
        <v>3.86</v>
      </c>
      <c r="D97" s="27">
        <f t="shared" si="5"/>
        <v>0</v>
      </c>
      <c r="E97" s="15" t="str">
        <f t="shared" si="6"/>
        <v/>
      </c>
    </row>
    <row r="98" spans="1:9" s="6" customFormat="1" ht="12.75" hidden="1" x14ac:dyDescent="0.2">
      <c r="A98" s="5"/>
      <c r="C98" s="15" t="str">
        <f>+IF(D91&gt;125000,"***Limit on all federal payments per Individual: $125,000; per couple: $250,000","")</f>
        <v/>
      </c>
    </row>
    <row r="99" spans="1:9" s="6" customFormat="1" ht="13.5" hidden="1" thickBot="1" x14ac:dyDescent="0.25">
      <c r="A99" s="5"/>
      <c r="C99" s="15"/>
    </row>
    <row r="100" spans="1:9" s="6" customFormat="1" ht="12.75" hidden="1" x14ac:dyDescent="0.2">
      <c r="A100" s="5"/>
      <c r="C100" s="67" t="s">
        <v>34</v>
      </c>
      <c r="D100" s="68"/>
    </row>
    <row r="101" spans="1:9" s="6" customFormat="1" ht="12.75" hidden="1" x14ac:dyDescent="0.2">
      <c r="A101" s="5"/>
      <c r="C101" s="20" t="s">
        <v>7</v>
      </c>
      <c r="D101" s="21" t="s">
        <v>8</v>
      </c>
    </row>
    <row r="102" spans="1:9" s="6" customFormat="1" ht="12.75" hidden="1" x14ac:dyDescent="0.2">
      <c r="A102" s="5"/>
      <c r="C102" s="22">
        <f>+ROUND(C105*0.85,2)</f>
        <v>8.0500000000000007</v>
      </c>
      <c r="D102" s="23">
        <f t="shared" ref="D102:D108" si="7">+MAX(E$28*E$12*(E$23-MAX($E$22,C102)),0)*(1-$E$29)</f>
        <v>1025.898999999999</v>
      </c>
      <c r="E102" s="15" t="str">
        <f>+IF(D102&gt;125000,"***","")</f>
        <v/>
      </c>
    </row>
    <row r="103" spans="1:9" s="6" customFormat="1" ht="12.75" hidden="1" x14ac:dyDescent="0.2">
      <c r="A103" s="5"/>
      <c r="C103" s="22">
        <f>+ROUND(C105*0.9,2)</f>
        <v>8.52</v>
      </c>
      <c r="D103" s="23">
        <f t="shared" si="7"/>
        <v>0</v>
      </c>
      <c r="E103" s="15" t="str">
        <f t="shared" ref="E103:E108" si="8">+IF(D103&gt;125000,"***","")</f>
        <v/>
      </c>
    </row>
    <row r="104" spans="1:9" s="6" customFormat="1" ht="12.75" hidden="1" x14ac:dyDescent="0.2">
      <c r="A104" s="5"/>
      <c r="C104" s="22">
        <f>+ROUND(C105*0.95,2)</f>
        <v>9</v>
      </c>
      <c r="D104" s="23">
        <f t="shared" si="7"/>
        <v>0</v>
      </c>
      <c r="E104" s="15" t="str">
        <f t="shared" si="8"/>
        <v/>
      </c>
    </row>
    <row r="105" spans="1:9" s="6" customFormat="1" ht="12.75" hidden="1" x14ac:dyDescent="0.2">
      <c r="A105" s="5"/>
      <c r="C105" s="24">
        <f>+E26</f>
        <v>9.4700000000000006</v>
      </c>
      <c r="D105" s="25">
        <f t="shared" si="7"/>
        <v>0</v>
      </c>
      <c r="E105" s="15" t="str">
        <f t="shared" si="8"/>
        <v/>
      </c>
    </row>
    <row r="106" spans="1:9" s="6" customFormat="1" ht="12.75" hidden="1" x14ac:dyDescent="0.2">
      <c r="A106" s="5"/>
      <c r="C106" s="22">
        <f>+ROUND(C105*1.05,2)</f>
        <v>9.94</v>
      </c>
      <c r="D106" s="23">
        <f t="shared" si="7"/>
        <v>0</v>
      </c>
      <c r="E106" s="15" t="str">
        <f t="shared" si="8"/>
        <v/>
      </c>
    </row>
    <row r="107" spans="1:9" s="6" customFormat="1" ht="12.75" hidden="1" x14ac:dyDescent="0.2">
      <c r="A107" s="5"/>
      <c r="C107" s="22">
        <f>+ROUND(C105*1.1,2)</f>
        <v>10.42</v>
      </c>
      <c r="D107" s="23">
        <f t="shared" si="7"/>
        <v>0</v>
      </c>
      <c r="E107" s="15" t="str">
        <f t="shared" si="8"/>
        <v/>
      </c>
    </row>
    <row r="108" spans="1:9" ht="15" hidden="1" thickBot="1" x14ac:dyDescent="0.25">
      <c r="B108" s="6"/>
      <c r="C108" s="26">
        <f>+ROUND(C105*1.15,2)</f>
        <v>10.89</v>
      </c>
      <c r="D108" s="27">
        <f t="shared" si="7"/>
        <v>0</v>
      </c>
      <c r="E108" s="15" t="str">
        <f t="shared" si="8"/>
        <v/>
      </c>
      <c r="F108" s="6"/>
      <c r="G108" s="6"/>
      <c r="H108" s="6"/>
      <c r="I108" s="6"/>
    </row>
    <row r="109" spans="1:9" hidden="1" x14ac:dyDescent="0.2">
      <c r="C109" s="15" t="str">
        <f>+IF(D102&gt;125000,"***Limit on all federal payments per Individual: $125,000; per couple: $250,000","")</f>
        <v/>
      </c>
      <c r="D109" s="6"/>
      <c r="E109" s="6"/>
      <c r="F109" s="6"/>
      <c r="G109" s="6"/>
      <c r="H109" s="6"/>
      <c r="I109" s="6"/>
    </row>
    <row r="110" spans="1:9" ht="15" hidden="1" thickBot="1" x14ac:dyDescent="0.25"/>
    <row r="111" spans="1:9" x14ac:dyDescent="0.2">
      <c r="C111" s="67" t="s">
        <v>49</v>
      </c>
      <c r="D111" s="68"/>
    </row>
    <row r="112" spans="1:9" x14ac:dyDescent="0.2">
      <c r="C112" s="20" t="s">
        <v>7</v>
      </c>
      <c r="D112" s="21" t="s">
        <v>8</v>
      </c>
    </row>
    <row r="113" spans="3:4" x14ac:dyDescent="0.2">
      <c r="C113" s="22">
        <f>+ROUND(C116*0.85,2)</f>
        <v>2.89</v>
      </c>
      <c r="D113" s="23">
        <f t="shared" ref="D113:D119" si="9">+MAX(D$28*D$12*(D$23-MAX($D$22,C113)),0)*(1-$D$29)</f>
        <v>8406.0342000000001</v>
      </c>
    </row>
    <row r="114" spans="3:4" x14ac:dyDescent="0.2">
      <c r="C114" s="22">
        <f>+ROUND(C116*0.9,2)</f>
        <v>3.06</v>
      </c>
      <c r="D114" s="23">
        <f t="shared" si="9"/>
        <v>6641.8048000000008</v>
      </c>
    </row>
    <row r="115" spans="3:4" x14ac:dyDescent="0.2">
      <c r="C115" s="22">
        <f>+ROUND(C116*0.95,2)</f>
        <v>3.23</v>
      </c>
      <c r="D115" s="23">
        <f t="shared" si="9"/>
        <v>4877.5754000000024</v>
      </c>
    </row>
    <row r="116" spans="3:4" x14ac:dyDescent="0.2">
      <c r="C116" s="24">
        <f>+D27</f>
        <v>3.4</v>
      </c>
      <c r="D116" s="25">
        <f t="shared" si="9"/>
        <v>3113.3460000000027</v>
      </c>
    </row>
    <row r="117" spans="3:4" x14ac:dyDescent="0.2">
      <c r="C117" s="22">
        <f>+ROUND(C116*1.05,2)</f>
        <v>3.57</v>
      </c>
      <c r="D117" s="23">
        <f t="shared" si="9"/>
        <v>1349.1166000000035</v>
      </c>
    </row>
    <row r="118" spans="3:4" x14ac:dyDescent="0.2">
      <c r="C118" s="22">
        <f>+ROUND(C116*1.1,2)</f>
        <v>3.74</v>
      </c>
      <c r="D118" s="23">
        <f t="shared" si="9"/>
        <v>0</v>
      </c>
    </row>
    <row r="119" spans="3:4" ht="15" thickBot="1" x14ac:dyDescent="0.25">
      <c r="C119" s="26">
        <f>+ROUND(C116*1.15,2)</f>
        <v>3.91</v>
      </c>
      <c r="D119" s="27">
        <f t="shared" si="9"/>
        <v>0</v>
      </c>
    </row>
    <row r="120" spans="3:4" x14ac:dyDescent="0.2">
      <c r="C120" s="15" t="str">
        <f>+IF(D113&gt;125000,"***Limit on all federal payments per Individual: $125,000; per couple: $250,000","")</f>
        <v/>
      </c>
      <c r="D120" s="6"/>
    </row>
    <row r="121" spans="3:4" ht="15" thickBot="1" x14ac:dyDescent="0.25">
      <c r="C121" s="15"/>
      <c r="D121" s="6"/>
    </row>
    <row r="122" spans="3:4" x14ac:dyDescent="0.2">
      <c r="C122" s="67" t="s">
        <v>50</v>
      </c>
      <c r="D122" s="68"/>
    </row>
    <row r="123" spans="3:4" x14ac:dyDescent="0.2">
      <c r="C123" s="20" t="s">
        <v>7</v>
      </c>
      <c r="D123" s="21" t="s">
        <v>8</v>
      </c>
    </row>
    <row r="124" spans="3:4" x14ac:dyDescent="0.2">
      <c r="C124" s="22">
        <f>+ROUND(C127*0.85,2)</f>
        <v>7.95</v>
      </c>
      <c r="D124" s="23">
        <f t="shared" ref="D124:D130" si="10">+MAX(E$28*E$12*(E$23-MAX($E$22,C124)),0)*(1-$E$29)</f>
        <v>1319.0130000000004</v>
      </c>
    </row>
    <row r="125" spans="3:4" x14ac:dyDescent="0.2">
      <c r="C125" s="22">
        <f>+ROUND(C127*0.9,2)</f>
        <v>8.42</v>
      </c>
      <c r="D125" s="23">
        <f t="shared" si="10"/>
        <v>0</v>
      </c>
    </row>
    <row r="126" spans="3:4" x14ac:dyDescent="0.2">
      <c r="C126" s="22">
        <f>+ROUND(C127*0.95,2)</f>
        <v>8.8800000000000008</v>
      </c>
      <c r="D126" s="23">
        <f t="shared" si="10"/>
        <v>0</v>
      </c>
    </row>
    <row r="127" spans="3:4" x14ac:dyDescent="0.2">
      <c r="C127" s="24">
        <f>+E27</f>
        <v>9.35</v>
      </c>
      <c r="D127" s="25">
        <f t="shared" si="10"/>
        <v>0</v>
      </c>
    </row>
    <row r="128" spans="3:4" x14ac:dyDescent="0.2">
      <c r="C128" s="22">
        <f>+ROUND(C127*1.05,2)</f>
        <v>9.82</v>
      </c>
      <c r="D128" s="23">
        <f t="shared" si="10"/>
        <v>0</v>
      </c>
    </row>
    <row r="129" spans="3:4" x14ac:dyDescent="0.2">
      <c r="C129" s="22">
        <f>+ROUND(C127*1.1,2)</f>
        <v>10.29</v>
      </c>
      <c r="D129" s="23">
        <f t="shared" si="10"/>
        <v>0</v>
      </c>
    </row>
    <row r="130" spans="3:4" ht="15" thickBot="1" x14ac:dyDescent="0.25">
      <c r="C130" s="26">
        <f>+ROUND(C127*1.15,2)</f>
        <v>10.75</v>
      </c>
      <c r="D130" s="27">
        <f t="shared" si="10"/>
        <v>0</v>
      </c>
    </row>
  </sheetData>
  <sheetProtection password="C0C6" sheet="1" objects="1" scenarios="1"/>
  <mergeCells count="17">
    <mergeCell ref="C100:D100"/>
    <mergeCell ref="C111:D111"/>
    <mergeCell ref="C122:D122"/>
    <mergeCell ref="C60:H61"/>
    <mergeCell ref="C3:G3"/>
    <mergeCell ref="D32:E32"/>
    <mergeCell ref="D34:E34"/>
    <mergeCell ref="D38:E38"/>
    <mergeCell ref="D40:E40"/>
    <mergeCell ref="D44:E44"/>
    <mergeCell ref="D46:E46"/>
    <mergeCell ref="D50:E50"/>
    <mergeCell ref="D52:E52"/>
    <mergeCell ref="C62:H62"/>
    <mergeCell ref="C67:D67"/>
    <mergeCell ref="C78:D78"/>
    <mergeCell ref="C89:D89"/>
  </mergeCells>
  <hyperlinks>
    <hyperlink ref="C3" r:id="rId1" display="http://www.extension.iastate.edu/agdm/crops/pdf/a3-29.pdf"/>
    <hyperlink ref="C3:E3" r:id="rId2" display="See Information File A1-32, New Safety Net: PLC, ARC-CO, ARC-IC for more information."/>
    <hyperlink ref="C55" r:id="rId3"/>
  </hyperlinks>
  <pageMargins left="0.7" right="0.7" top="0.75" bottom="0.75" header="0.3" footer="0.3"/>
  <pageSetup scale="82" fitToWidth="2" fitToHeight="2" orientation="landscape" r:id="rId4"/>
  <headerFooter>
    <oddHeader>&amp;LIowa State University Extension and Outreach &amp;RAg Decision Maker File A1-32</oddHeader>
    <oddFooter>&amp;Lhttp://www.extension.iastate.edu/agdm/crops/html/a1-32.html</oddFooter>
  </headerFooter>
  <colBreaks count="1" manualBreakCount="1">
    <brk id="9" max="36" man="1"/>
  </col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J130"/>
  <sheetViews>
    <sheetView showGridLines="0" topLeftCell="A16" zoomScaleNormal="100" workbookViewId="0">
      <selection activeCell="H50" sqref="H50"/>
    </sheetView>
  </sheetViews>
  <sheetFormatPr defaultColWidth="8.85546875" defaultRowHeight="14.25" x14ac:dyDescent="0.2"/>
  <cols>
    <col min="1" max="1" width="1.7109375" style="3" customWidth="1"/>
    <col min="2" max="2" width="1.7109375" style="4" customWidth="1"/>
    <col min="3" max="3" width="52.140625" style="4" customWidth="1"/>
    <col min="4" max="4" width="13.28515625" style="4" customWidth="1"/>
    <col min="5" max="5" width="12.28515625" style="4" customWidth="1"/>
    <col min="6" max="6" width="8.7109375" style="4" customWidth="1"/>
    <col min="7" max="8" width="4.85546875" style="4" customWidth="1"/>
    <col min="9" max="9" width="4.140625" style="4" customWidth="1"/>
    <col min="10" max="10" width="8.85546875" style="4"/>
    <col min="11" max="11" width="36.7109375" style="4" bestFit="1" customWidth="1"/>
    <col min="12" max="12" width="23.140625" style="4" bestFit="1" customWidth="1"/>
    <col min="13" max="16" width="8.85546875" style="4"/>
    <col min="17" max="17" width="5.140625" style="4" customWidth="1"/>
    <col min="18" max="16384" width="8.85546875" style="4"/>
  </cols>
  <sheetData>
    <row r="1" spans="1:10" s="2" customFormat="1" ht="18.75" thickBot="1" x14ac:dyDescent="0.3">
      <c r="C1" s="2" t="s">
        <v>51</v>
      </c>
    </row>
    <row r="2" spans="1:10" ht="15.75" thickTop="1" x14ac:dyDescent="0.25">
      <c r="C2" s="1" t="s">
        <v>12</v>
      </c>
    </row>
    <row r="3" spans="1:10" x14ac:dyDescent="0.2">
      <c r="C3" s="70" t="s">
        <v>13</v>
      </c>
      <c r="D3" s="70"/>
      <c r="E3" s="70"/>
      <c r="F3" s="70"/>
      <c r="G3" s="70"/>
      <c r="H3" s="28"/>
      <c r="I3" s="28"/>
      <c r="J3" s="28"/>
    </row>
    <row r="4" spans="1:10" x14ac:dyDescent="0.2">
      <c r="C4" s="28"/>
      <c r="D4" s="28"/>
      <c r="E4" s="28"/>
      <c r="F4" s="28"/>
      <c r="G4" s="28"/>
      <c r="H4" s="28"/>
      <c r="I4" s="28"/>
      <c r="J4" s="28"/>
    </row>
    <row r="5" spans="1:10" s="6" customFormat="1" ht="13.15" customHeight="1" x14ac:dyDescent="0.2">
      <c r="A5" s="5"/>
      <c r="C5" s="31" t="s">
        <v>14</v>
      </c>
      <c r="D5" s="31"/>
    </row>
    <row r="6" spans="1:10" s="6" customFormat="1" ht="12.75" x14ac:dyDescent="0.2">
      <c r="A6" s="5"/>
      <c r="C6" s="37" t="s">
        <v>15</v>
      </c>
      <c r="D6" s="30"/>
    </row>
    <row r="7" spans="1:10" s="6" customFormat="1" ht="13.5" thickBot="1" x14ac:dyDescent="0.25">
      <c r="A7" s="5"/>
    </row>
    <row r="8" spans="1:10" s="6" customFormat="1" ht="13.5" thickBot="1" x14ac:dyDescent="0.25">
      <c r="A8" s="5"/>
      <c r="C8" s="7" t="s">
        <v>16</v>
      </c>
      <c r="D8" s="38">
        <v>11111111</v>
      </c>
      <c r="E8" s="8"/>
    </row>
    <row r="9" spans="1:10" s="6" customFormat="1" ht="12.75" x14ac:dyDescent="0.2">
      <c r="A9" s="5"/>
      <c r="C9" s="9"/>
      <c r="D9" s="8"/>
      <c r="E9" s="8"/>
    </row>
    <row r="10" spans="1:10" s="6" customFormat="1" ht="13.5" thickBot="1" x14ac:dyDescent="0.25">
      <c r="A10" s="5"/>
      <c r="D10" s="10" t="s">
        <v>0</v>
      </c>
      <c r="E10" s="10" t="s">
        <v>1</v>
      </c>
    </row>
    <row r="11" spans="1:10" s="6" customFormat="1" ht="12.75" x14ac:dyDescent="0.2">
      <c r="A11" s="5"/>
      <c r="C11" s="11" t="s">
        <v>2</v>
      </c>
      <c r="D11" s="39">
        <v>100</v>
      </c>
      <c r="E11" s="40">
        <v>100</v>
      </c>
    </row>
    <row r="12" spans="1:10" s="6" customFormat="1" ht="13.5" thickBot="1" x14ac:dyDescent="0.25">
      <c r="A12" s="5"/>
      <c r="C12" s="12" t="s">
        <v>3</v>
      </c>
      <c r="D12" s="41">
        <v>131</v>
      </c>
      <c r="E12" s="42">
        <v>37</v>
      </c>
    </row>
    <row r="13" spans="1:10" s="6" customFormat="1" ht="12.75" x14ac:dyDescent="0.2">
      <c r="A13" s="5"/>
      <c r="C13" s="11" t="s">
        <v>27</v>
      </c>
      <c r="D13" s="39">
        <v>60</v>
      </c>
      <c r="E13" s="40">
        <v>150</v>
      </c>
    </row>
    <row r="14" spans="1:10" s="6" customFormat="1" ht="12.75" x14ac:dyDescent="0.2">
      <c r="A14" s="5"/>
      <c r="C14" s="20" t="s">
        <v>28</v>
      </c>
      <c r="D14" s="59">
        <v>150</v>
      </c>
      <c r="E14" s="60">
        <v>60</v>
      </c>
    </row>
    <row r="15" spans="1:10" s="6" customFormat="1" ht="12.75" x14ac:dyDescent="0.2">
      <c r="A15" s="5"/>
      <c r="C15" s="64" t="s">
        <v>40</v>
      </c>
      <c r="D15" s="59">
        <v>55</v>
      </c>
      <c r="E15" s="60">
        <v>155</v>
      </c>
    </row>
    <row r="16" spans="1:10" s="6" customFormat="1" ht="13.5" thickBot="1" x14ac:dyDescent="0.25">
      <c r="A16" s="5"/>
      <c r="C16" s="63" t="s">
        <v>48</v>
      </c>
      <c r="D16" s="57">
        <v>90</v>
      </c>
      <c r="E16" s="58">
        <v>120</v>
      </c>
    </row>
    <row r="17" spans="1:7" s="6" customFormat="1" ht="12.75" x14ac:dyDescent="0.2">
      <c r="A17" s="5"/>
    </row>
    <row r="18" spans="1:7" s="6" customFormat="1" ht="12.75" x14ac:dyDescent="0.2">
      <c r="A18" s="5"/>
      <c r="C18" s="56" t="s">
        <v>38</v>
      </c>
      <c r="D18" s="33">
        <v>3.7</v>
      </c>
      <c r="E18" s="33">
        <v>10.1</v>
      </c>
    </row>
    <row r="19" spans="1:7" s="6" customFormat="1" ht="12.75" x14ac:dyDescent="0.2">
      <c r="A19" s="5"/>
      <c r="C19" s="56" t="s">
        <v>39</v>
      </c>
      <c r="D19" s="33">
        <v>3.61</v>
      </c>
      <c r="E19" s="33">
        <v>8.9499999999999993</v>
      </c>
    </row>
    <row r="20" spans="1:7" s="6" customFormat="1" ht="12.75" x14ac:dyDescent="0.2">
      <c r="A20" s="5"/>
      <c r="C20" s="61" t="s">
        <v>42</v>
      </c>
      <c r="D20" s="33">
        <v>3.36</v>
      </c>
      <c r="E20" s="33">
        <v>9.4700000000000006</v>
      </c>
    </row>
    <row r="21" spans="1:7" s="6" customFormat="1" ht="12.75" x14ac:dyDescent="0.2">
      <c r="A21" s="5"/>
      <c r="C21" s="61" t="s">
        <v>45</v>
      </c>
      <c r="D21" s="33">
        <v>3.4</v>
      </c>
      <c r="E21" s="33">
        <v>9.35</v>
      </c>
    </row>
    <row r="22" spans="1:7" s="6" customFormat="1" ht="12.75" x14ac:dyDescent="0.2">
      <c r="A22" s="5"/>
      <c r="C22" s="6" t="s">
        <v>5</v>
      </c>
      <c r="D22" s="13">
        <v>1.95</v>
      </c>
      <c r="E22" s="13">
        <v>5</v>
      </c>
    </row>
    <row r="23" spans="1:7" s="6" customFormat="1" ht="12.75" x14ac:dyDescent="0.2">
      <c r="A23" s="5"/>
      <c r="C23" s="6" t="s">
        <v>4</v>
      </c>
      <c r="D23" s="13">
        <v>3.7</v>
      </c>
      <c r="E23" s="13">
        <v>8.4</v>
      </c>
    </row>
    <row r="24" spans="1:7" s="6" customFormat="1" ht="12.75" x14ac:dyDescent="0.2">
      <c r="A24" s="5"/>
      <c r="C24" s="6" t="s">
        <v>18</v>
      </c>
      <c r="D24" s="13">
        <f>+MAX(D$22,D18)</f>
        <v>3.7</v>
      </c>
      <c r="E24" s="13">
        <f>+MAX(E$22,E18)</f>
        <v>10.1</v>
      </c>
      <c r="G24" s="13"/>
    </row>
    <row r="25" spans="1:7" s="6" customFormat="1" ht="12.75" x14ac:dyDescent="0.2">
      <c r="A25" s="5"/>
      <c r="C25" s="6" t="s">
        <v>19</v>
      </c>
      <c r="D25" s="13">
        <f>+MAX(D$22,D19)</f>
        <v>3.61</v>
      </c>
      <c r="E25" s="13">
        <f t="shared" ref="E25:E26" si="0">+MAX(E$22,E19)</f>
        <v>8.9499999999999993</v>
      </c>
      <c r="G25" s="13"/>
    </row>
    <row r="26" spans="1:7" s="6" customFormat="1" ht="12.75" x14ac:dyDescent="0.2">
      <c r="A26" s="5"/>
      <c r="C26" s="6" t="s">
        <v>32</v>
      </c>
      <c r="D26" s="13">
        <f>+MAX(D$22,D20)</f>
        <v>3.36</v>
      </c>
      <c r="E26" s="13">
        <f t="shared" si="0"/>
        <v>9.4700000000000006</v>
      </c>
      <c r="G26" s="13"/>
    </row>
    <row r="27" spans="1:7" s="6" customFormat="1" ht="12.75" x14ac:dyDescent="0.2">
      <c r="A27" s="5"/>
      <c r="C27" s="61" t="s">
        <v>46</v>
      </c>
      <c r="D27" s="13">
        <f>+MAX(D$22,D21)</f>
        <v>3.4</v>
      </c>
      <c r="E27" s="13">
        <f>+MAX(E$22,E21)</f>
        <v>9.35</v>
      </c>
      <c r="G27" s="13"/>
    </row>
    <row r="28" spans="1:7" s="6" customFormat="1" ht="12.75" x14ac:dyDescent="0.2">
      <c r="A28" s="5"/>
      <c r="C28" s="6" t="s">
        <v>17</v>
      </c>
      <c r="D28" s="14">
        <f>0.85*D11</f>
        <v>85</v>
      </c>
      <c r="E28" s="14">
        <f>0.85*E11</f>
        <v>85</v>
      </c>
    </row>
    <row r="29" spans="1:7" s="6" customFormat="1" ht="13.5" thickBot="1" x14ac:dyDescent="0.25">
      <c r="A29" s="5"/>
      <c r="C29" s="9" t="s">
        <v>31</v>
      </c>
      <c r="D29" s="55">
        <v>6.8000000000000005E-2</v>
      </c>
      <c r="E29" s="55">
        <f>D29</f>
        <v>6.8000000000000005E-2</v>
      </c>
    </row>
    <row r="30" spans="1:7" s="6" customFormat="1" ht="13.5" thickBot="1" x14ac:dyDescent="0.25">
      <c r="A30" s="5"/>
      <c r="C30" s="47" t="s">
        <v>20</v>
      </c>
      <c r="D30" s="52">
        <f>+IFERROR(MAX(0,D28*D12*(D23-D24))*(1-D29),"")</f>
        <v>0</v>
      </c>
      <c r="E30" s="53">
        <f>+IFERROR(MAX(0,E28*E12*(E23-E24))*(1-E29),"")</f>
        <v>0</v>
      </c>
      <c r="F30" s="15" t="str">
        <f>+IF(D30+E30&gt;125000,"***","")</f>
        <v/>
      </c>
    </row>
    <row r="31" spans="1:7" s="6" customFormat="1" ht="12.75" x14ac:dyDescent="0.2">
      <c r="A31" s="5"/>
      <c r="C31" s="44" t="s">
        <v>24</v>
      </c>
      <c r="D31" s="45">
        <f>IFERROR(D30/D11,"")</f>
        <v>0</v>
      </c>
      <c r="E31" s="46">
        <f>IFERROR(E30/E11,"")</f>
        <v>0</v>
      </c>
    </row>
    <row r="32" spans="1:7" s="6" customFormat="1" ht="13.5" thickBot="1" x14ac:dyDescent="0.25">
      <c r="A32" s="5"/>
      <c r="C32" s="29" t="s">
        <v>25</v>
      </c>
      <c r="D32" s="71">
        <f>+IFERROR(SUM(D30:E30)/SUM(D11:E11),"")</f>
        <v>0</v>
      </c>
      <c r="E32" s="72"/>
      <c r="F32" s="54"/>
    </row>
    <row r="33" spans="1:9" s="6" customFormat="1" ht="12.75" x14ac:dyDescent="0.2">
      <c r="A33" s="5"/>
      <c r="C33" s="48" t="s">
        <v>23</v>
      </c>
      <c r="D33" s="50">
        <f>+IFERROR(D30/D13,"")</f>
        <v>0</v>
      </c>
      <c r="E33" s="51">
        <f>+IFERROR(E30/E13,"")</f>
        <v>0</v>
      </c>
      <c r="F33" s="54"/>
    </row>
    <row r="34" spans="1:9" s="6" customFormat="1" ht="13.5" thickBot="1" x14ac:dyDescent="0.25">
      <c r="A34" s="5"/>
      <c r="C34" s="49" t="s">
        <v>26</v>
      </c>
      <c r="D34" s="73">
        <f>+IFERROR(SUM(D30:E30)/SUM(D13:E13),"")</f>
        <v>0</v>
      </c>
      <c r="E34" s="74"/>
      <c r="F34" s="54"/>
    </row>
    <row r="35" spans="1:9" s="6" customFormat="1" ht="13.5" thickBot="1" x14ac:dyDescent="0.25">
      <c r="A35" s="5"/>
    </row>
    <row r="36" spans="1:9" s="6" customFormat="1" ht="13.5" thickBot="1" x14ac:dyDescent="0.25">
      <c r="A36" s="5"/>
      <c r="C36" s="47" t="s">
        <v>21</v>
      </c>
      <c r="D36" s="52">
        <f>+IFERROR(MAX(0,D$28*D$12*(D$23-D$25))*(1-D$29),"")</f>
        <v>934.00380000000314</v>
      </c>
      <c r="E36" s="53">
        <f>+IFERROR(MAX(0,E$28*E$12*(E$23-E$25))*(1-E$29),"")</f>
        <v>0</v>
      </c>
      <c r="F36" s="15" t="str">
        <f>+IF(D36+E36&gt;125000,"***","")</f>
        <v/>
      </c>
    </row>
    <row r="37" spans="1:9" s="6" customFormat="1" ht="12.75" x14ac:dyDescent="0.2">
      <c r="A37" s="5"/>
      <c r="C37" s="44" t="s">
        <v>29</v>
      </c>
      <c r="D37" s="45">
        <f>IFERROR(D$36/D$11,"")</f>
        <v>9.3400380000000318</v>
      </c>
      <c r="E37" s="46">
        <f>IFERROR(E$36/E$11,"")</f>
        <v>0</v>
      </c>
    </row>
    <row r="38" spans="1:9" s="6" customFormat="1" ht="13.5" thickBot="1" x14ac:dyDescent="0.25">
      <c r="A38" s="5"/>
      <c r="C38" s="29" t="s">
        <v>25</v>
      </c>
      <c r="D38" s="71">
        <f>+IFERROR(SUM($D$36:$E$36)/SUM($D$11:$E$11),"")</f>
        <v>4.6700190000000159</v>
      </c>
      <c r="E38" s="72"/>
    </row>
    <row r="39" spans="1:9" s="16" customFormat="1" ht="12.75" x14ac:dyDescent="0.2">
      <c r="A39" s="5"/>
      <c r="B39" s="6"/>
      <c r="C39" s="48" t="s">
        <v>30</v>
      </c>
      <c r="D39" s="50">
        <f>+IFERROR(D$36/D$14,"")</f>
        <v>6.2266920000000212</v>
      </c>
      <c r="E39" s="51">
        <f>+IFERROR(E$36/E$14,"")</f>
        <v>0</v>
      </c>
      <c r="F39" s="6"/>
      <c r="G39" s="6"/>
      <c r="H39" s="6"/>
      <c r="I39" s="6"/>
    </row>
    <row r="40" spans="1:9" s="16" customFormat="1" ht="13.5" thickBot="1" x14ac:dyDescent="0.25">
      <c r="A40" s="5"/>
      <c r="C40" s="49" t="s">
        <v>26</v>
      </c>
      <c r="D40" s="73">
        <f>+IFERROR(SUM($D$36:$E$36)/SUM($D$14:$E$14),"")</f>
        <v>4.4476371428571575</v>
      </c>
      <c r="E40" s="74"/>
      <c r="F40" s="6"/>
      <c r="G40" s="6"/>
      <c r="H40" s="6"/>
      <c r="I40" s="6"/>
    </row>
    <row r="41" spans="1:9" s="16" customFormat="1" ht="13.5" thickBot="1" x14ac:dyDescent="0.25">
      <c r="A41" s="5"/>
      <c r="C41" s="15" t="str">
        <f>+IF(OR(D30+E30&gt;125000,D36+E36&gt;125000),"***Limit on all federal payments per Individual: $125,000; per couple: $250,000","")</f>
        <v/>
      </c>
      <c r="D41" s="17"/>
      <c r="E41" s="17"/>
    </row>
    <row r="42" spans="1:9" s="16" customFormat="1" ht="13.5" thickBot="1" x14ac:dyDescent="0.25">
      <c r="A42" s="5"/>
      <c r="C42" s="47" t="s">
        <v>35</v>
      </c>
      <c r="D42" s="52">
        <f>+IFERROR(MAX(0,D$28*D$12*(D$23-D$26))*(1-D$29),"")</f>
        <v>3528.4588000000026</v>
      </c>
      <c r="E42" s="53">
        <f>+IFERROR(MAX(0,E$28*E$12*(E$23-E$26))*(1-E$29),"")</f>
        <v>0</v>
      </c>
    </row>
    <row r="43" spans="1:9" s="16" customFormat="1" ht="12.75" x14ac:dyDescent="0.2">
      <c r="A43" s="5"/>
      <c r="C43" s="44" t="s">
        <v>36</v>
      </c>
      <c r="D43" s="45">
        <f>IFERROR(D$42/D$11,"")</f>
        <v>35.284588000000028</v>
      </c>
      <c r="E43" s="46">
        <f>IFERROR(E$42/E$11,"")</f>
        <v>0</v>
      </c>
    </row>
    <row r="44" spans="1:9" s="16" customFormat="1" ht="13.5" thickBot="1" x14ac:dyDescent="0.25">
      <c r="A44" s="5"/>
      <c r="C44" s="29" t="s">
        <v>25</v>
      </c>
      <c r="D44" s="71">
        <f>+IFERROR(SUM($D$42:$E$42)/SUM($D$11:$E$11),"")</f>
        <v>17.642294000000014</v>
      </c>
      <c r="E44" s="72"/>
    </row>
    <row r="45" spans="1:9" s="16" customFormat="1" ht="12.75" x14ac:dyDescent="0.2">
      <c r="A45" s="5"/>
      <c r="C45" s="48" t="s">
        <v>37</v>
      </c>
      <c r="D45" s="50">
        <f>+IFERROR(D$42/D$15,"")</f>
        <v>64.153796363636417</v>
      </c>
      <c r="E45" s="51">
        <f>+IFERROR(E$42/E$15,"")</f>
        <v>0</v>
      </c>
    </row>
    <row r="46" spans="1:9" s="16" customFormat="1" ht="13.5" thickBot="1" x14ac:dyDescent="0.25">
      <c r="A46" s="5"/>
      <c r="C46" s="49" t="s">
        <v>26</v>
      </c>
      <c r="D46" s="73">
        <f>+IFERROR(SUM($D$42:$E$42)/SUM($D$15:$E$15),"")</f>
        <v>16.802184761904773</v>
      </c>
      <c r="E46" s="74"/>
    </row>
    <row r="47" spans="1:9" s="16" customFormat="1" ht="13.5" thickBot="1" x14ac:dyDescent="0.25">
      <c r="A47" s="5"/>
      <c r="C47" s="15"/>
      <c r="D47" s="17"/>
      <c r="E47" s="17"/>
    </row>
    <row r="48" spans="1:9" s="16" customFormat="1" ht="13.5" thickBot="1" x14ac:dyDescent="0.25">
      <c r="A48" s="5"/>
      <c r="C48" s="47" t="s">
        <v>47</v>
      </c>
      <c r="D48" s="52">
        <f>+IFERROR(MAX(0,D$28*D$12*(D$23-D$27))*(1-D$29),"")</f>
        <v>3113.3460000000027</v>
      </c>
      <c r="E48" s="53">
        <f>+IFERROR(MAX(0,E$28*E$12*(E$23-E$27))*(1-E$29),"")</f>
        <v>0</v>
      </c>
    </row>
    <row r="49" spans="1:9" s="16" customFormat="1" ht="12.75" x14ac:dyDescent="0.2">
      <c r="A49" s="5"/>
      <c r="C49" s="65" t="s">
        <v>52</v>
      </c>
      <c r="D49" s="45">
        <f>IFERROR(D$48/D$11,"")</f>
        <v>31.133460000000028</v>
      </c>
      <c r="E49" s="46">
        <f>IFERROR(E$48/E$11,"")</f>
        <v>0</v>
      </c>
    </row>
    <row r="50" spans="1:9" s="16" customFormat="1" ht="13.5" thickBot="1" x14ac:dyDescent="0.25">
      <c r="A50" s="5"/>
      <c r="C50" s="29" t="s">
        <v>25</v>
      </c>
      <c r="D50" s="71">
        <f>+IFERROR(SUM($D$48:$E$48)/SUM($D$11:$E$11),"")</f>
        <v>15.566730000000014</v>
      </c>
      <c r="E50" s="72"/>
    </row>
    <row r="51" spans="1:9" s="16" customFormat="1" ht="12.75" x14ac:dyDescent="0.2">
      <c r="A51" s="5"/>
      <c r="C51" s="66" t="s">
        <v>53</v>
      </c>
      <c r="D51" s="50">
        <f>+IFERROR(D$48/D$16,"")</f>
        <v>34.592733333333364</v>
      </c>
      <c r="E51" s="51">
        <f>+IFERROR(E$48/E$16,"")</f>
        <v>0</v>
      </c>
    </row>
    <row r="52" spans="1:9" s="16" customFormat="1" ht="13.5" thickBot="1" x14ac:dyDescent="0.25">
      <c r="A52" s="5"/>
      <c r="C52" s="49" t="s">
        <v>26</v>
      </c>
      <c r="D52" s="73">
        <f>+IFERROR(SUM($D$42:$E$42)/SUM($D$16:$E$16),"")</f>
        <v>16.802184761904773</v>
      </c>
      <c r="E52" s="74"/>
    </row>
    <row r="53" spans="1:9" s="16" customFormat="1" ht="12.75" x14ac:dyDescent="0.2">
      <c r="A53" s="5"/>
      <c r="C53" s="15"/>
      <c r="D53" s="17"/>
      <c r="E53" s="17"/>
    </row>
    <row r="54" spans="1:9" s="16" customFormat="1" ht="12.75" x14ac:dyDescent="0.2">
      <c r="A54" s="5"/>
      <c r="C54" s="61" t="s">
        <v>43</v>
      </c>
      <c r="D54" s="6"/>
      <c r="E54" s="17"/>
    </row>
    <row r="55" spans="1:9" s="16" customFormat="1" ht="12.75" x14ac:dyDescent="0.2">
      <c r="A55" s="5"/>
      <c r="C55" s="32" t="s">
        <v>9</v>
      </c>
      <c r="D55" s="6"/>
      <c r="E55" s="17"/>
    </row>
    <row r="56" spans="1:9" s="16" customFormat="1" ht="12.75" x14ac:dyDescent="0.2">
      <c r="A56" s="5"/>
      <c r="C56" s="61" t="s">
        <v>44</v>
      </c>
      <c r="E56" s="17"/>
    </row>
    <row r="57" spans="1:9" s="6" customFormat="1" ht="12.75" x14ac:dyDescent="0.2">
      <c r="A57" s="5"/>
      <c r="B57" s="16"/>
      <c r="C57" s="6" t="s">
        <v>22</v>
      </c>
      <c r="D57" s="18"/>
      <c r="E57" s="17"/>
      <c r="F57" s="16"/>
      <c r="G57" s="16"/>
      <c r="H57" s="16"/>
      <c r="I57" s="16"/>
    </row>
    <row r="58" spans="1:9" s="6" customFormat="1" ht="12.75" x14ac:dyDescent="0.2">
      <c r="A58" s="5"/>
      <c r="C58" s="36">
        <f ca="1">TODAY()</f>
        <v>43322</v>
      </c>
      <c r="D58" s="17"/>
      <c r="E58" s="17"/>
      <c r="F58" s="16"/>
      <c r="G58" s="16"/>
      <c r="H58" s="16"/>
      <c r="I58" s="16"/>
    </row>
    <row r="59" spans="1:9" s="6" customFormat="1" ht="14.25" customHeight="1" x14ac:dyDescent="0.2">
      <c r="A59" s="5"/>
      <c r="C59" s="35"/>
      <c r="D59" s="34"/>
      <c r="E59" s="34"/>
    </row>
    <row r="60" spans="1:9" s="6" customFormat="1" ht="12.75" x14ac:dyDescent="0.2">
      <c r="A60" s="5"/>
      <c r="C60" s="69" t="s">
        <v>41</v>
      </c>
      <c r="D60" s="69"/>
      <c r="E60" s="69"/>
      <c r="F60" s="69"/>
      <c r="G60" s="69"/>
      <c r="H60" s="69"/>
      <c r="I60" s="62"/>
    </row>
    <row r="61" spans="1:9" s="6" customFormat="1" ht="12.75" x14ac:dyDescent="0.2">
      <c r="A61" s="5"/>
      <c r="C61" s="69"/>
      <c r="D61" s="69"/>
      <c r="E61" s="69"/>
      <c r="F61" s="69"/>
      <c r="G61" s="69"/>
      <c r="H61" s="69"/>
      <c r="I61" s="62"/>
    </row>
    <row r="62" spans="1:9" s="6" customFormat="1" ht="12.75" x14ac:dyDescent="0.2">
      <c r="A62" s="5"/>
      <c r="C62" s="69"/>
      <c r="D62" s="69"/>
      <c r="E62" s="69"/>
      <c r="F62" s="69"/>
      <c r="G62" s="69"/>
      <c r="H62" s="69"/>
      <c r="I62" s="62"/>
    </row>
    <row r="63" spans="1:9" s="6" customFormat="1" ht="12.75" x14ac:dyDescent="0.2">
      <c r="A63" s="5"/>
    </row>
    <row r="64" spans="1:9" s="6" customFormat="1" ht="12.75" x14ac:dyDescent="0.2">
      <c r="A64" s="5"/>
    </row>
    <row r="65" spans="1:5" s="6" customFormat="1" ht="12.75" x14ac:dyDescent="0.2">
      <c r="A65" s="5"/>
      <c r="C65" s="19" t="s">
        <v>6</v>
      </c>
    </row>
    <row r="66" spans="1:5" s="6" customFormat="1" ht="12.75" hidden="1" x14ac:dyDescent="0.2">
      <c r="A66" s="5"/>
      <c r="C66" s="19"/>
    </row>
    <row r="67" spans="1:5" s="6" customFormat="1" ht="12.75" hidden="1" x14ac:dyDescent="0.2">
      <c r="A67" s="5"/>
      <c r="C67" s="67" t="s">
        <v>10</v>
      </c>
      <c r="D67" s="68"/>
    </row>
    <row r="68" spans="1:5" s="6" customFormat="1" ht="12.75" hidden="1" x14ac:dyDescent="0.2">
      <c r="A68" s="5"/>
      <c r="C68" s="20" t="s">
        <v>7</v>
      </c>
      <c r="D68" s="21" t="s">
        <v>8</v>
      </c>
    </row>
    <row r="69" spans="1:5" s="6" customFormat="1" ht="12.75" hidden="1" x14ac:dyDescent="0.2">
      <c r="A69" s="5"/>
      <c r="C69" s="22">
        <f>+ROUND(C72*0.85,2)</f>
        <v>3.07</v>
      </c>
      <c r="D69" s="23">
        <f t="shared" ref="D69:D75" si="1">+MAX(D$28*D$12*(D$23-MAX($D$22,C69)),0)*(1-$D$29)</f>
        <v>6538.0266000000029</v>
      </c>
      <c r="E69" s="15" t="str">
        <f>+IF(D69&gt;125000,"***","")</f>
        <v/>
      </c>
    </row>
    <row r="70" spans="1:5" s="6" customFormat="1" ht="12.75" hidden="1" x14ac:dyDescent="0.2">
      <c r="A70" s="5"/>
      <c r="C70" s="22">
        <f>+ROUND(C72*0.9,2)</f>
        <v>3.25</v>
      </c>
      <c r="D70" s="23">
        <f t="shared" si="1"/>
        <v>4670.0190000000011</v>
      </c>
      <c r="E70" s="15" t="str">
        <f t="shared" ref="E70:E75" si="2">+IF(D70&gt;125000,"***","")</f>
        <v/>
      </c>
    </row>
    <row r="71" spans="1:5" s="6" customFormat="1" ht="12.75" hidden="1" x14ac:dyDescent="0.2">
      <c r="A71" s="5"/>
      <c r="C71" s="22">
        <f>+ROUND(C72*0.95,2)</f>
        <v>3.43</v>
      </c>
      <c r="D71" s="23">
        <f t="shared" si="1"/>
        <v>2802.0113999999999</v>
      </c>
      <c r="E71" s="15" t="str">
        <f t="shared" si="2"/>
        <v/>
      </c>
    </row>
    <row r="72" spans="1:5" s="6" customFormat="1" ht="12.75" hidden="1" x14ac:dyDescent="0.2">
      <c r="A72" s="5"/>
      <c r="C72" s="24">
        <f>+D19</f>
        <v>3.61</v>
      </c>
      <c r="D72" s="25">
        <f t="shared" si="1"/>
        <v>934.00380000000314</v>
      </c>
      <c r="E72" s="15" t="str">
        <f t="shared" si="2"/>
        <v/>
      </c>
    </row>
    <row r="73" spans="1:5" s="6" customFormat="1" ht="12.75" hidden="1" x14ac:dyDescent="0.2">
      <c r="A73" s="5"/>
      <c r="C73" s="22">
        <f>+ROUND(C72*1.05,2)</f>
        <v>3.79</v>
      </c>
      <c r="D73" s="23">
        <f t="shared" si="1"/>
        <v>0</v>
      </c>
      <c r="E73" s="15" t="str">
        <f t="shared" si="2"/>
        <v/>
      </c>
    </row>
    <row r="74" spans="1:5" s="6" customFormat="1" ht="12.75" hidden="1" x14ac:dyDescent="0.2">
      <c r="A74" s="5"/>
      <c r="C74" s="22">
        <f>+ROUND(C72*1.1,2)</f>
        <v>3.97</v>
      </c>
      <c r="D74" s="23">
        <f t="shared" si="1"/>
        <v>0</v>
      </c>
      <c r="E74" s="15" t="str">
        <f t="shared" si="2"/>
        <v/>
      </c>
    </row>
    <row r="75" spans="1:5" s="6" customFormat="1" ht="13.5" hidden="1" thickBot="1" x14ac:dyDescent="0.25">
      <c r="A75" s="5"/>
      <c r="C75" s="26">
        <f>+ROUND(C72*1.15,2)</f>
        <v>4.1500000000000004</v>
      </c>
      <c r="D75" s="27">
        <f t="shared" si="1"/>
        <v>0</v>
      </c>
      <c r="E75" s="15" t="str">
        <f t="shared" si="2"/>
        <v/>
      </c>
    </row>
    <row r="76" spans="1:5" s="6" customFormat="1" ht="12.75" hidden="1" x14ac:dyDescent="0.2">
      <c r="A76" s="5"/>
      <c r="C76" s="15" t="str">
        <f>+IF(D69&gt;125000,"***Limit on all federal payments per Individual: $125,000; per couple: $250,000","")</f>
        <v/>
      </c>
    </row>
    <row r="77" spans="1:5" s="6" customFormat="1" ht="12.75" hidden="1" x14ac:dyDescent="0.2">
      <c r="A77" s="5"/>
      <c r="C77" s="15"/>
    </row>
    <row r="78" spans="1:5" s="6" customFormat="1" ht="12.75" hidden="1" x14ac:dyDescent="0.2">
      <c r="A78" s="5"/>
      <c r="C78" s="67" t="s">
        <v>11</v>
      </c>
      <c r="D78" s="68"/>
    </row>
    <row r="79" spans="1:5" s="6" customFormat="1" ht="12.75" hidden="1" x14ac:dyDescent="0.2">
      <c r="A79" s="5"/>
      <c r="C79" s="20" t="s">
        <v>7</v>
      </c>
      <c r="D79" s="21" t="s">
        <v>8</v>
      </c>
    </row>
    <row r="80" spans="1:5" s="6" customFormat="1" ht="12.75" hidden="1" x14ac:dyDescent="0.2">
      <c r="A80" s="5"/>
      <c r="C80" s="22">
        <f>+ROUND(C83*0.85,2)</f>
        <v>7.61</v>
      </c>
      <c r="D80" s="23">
        <f t="shared" ref="D80:D86" si="3">+MAX(E$28*E$12*(E$23-MAX($E$22,C80)),0)*(1-$E$29)</f>
        <v>2315.6006000000002</v>
      </c>
      <c r="E80" s="15" t="str">
        <f>+IF(D80&gt;125000,"***","")</f>
        <v/>
      </c>
    </row>
    <row r="81" spans="1:5" s="6" customFormat="1" ht="12.75" hidden="1" x14ac:dyDescent="0.2">
      <c r="A81" s="5"/>
      <c r="C81" s="22">
        <f>+ROUND(C83*0.9,2)</f>
        <v>8.06</v>
      </c>
      <c r="D81" s="23">
        <f t="shared" si="3"/>
        <v>996.5875999999995</v>
      </c>
      <c r="E81" s="15" t="str">
        <f t="shared" ref="E81:E86" si="4">+IF(D81&gt;125000,"***","")</f>
        <v/>
      </c>
    </row>
    <row r="82" spans="1:5" s="6" customFormat="1" ht="12.75" hidden="1" x14ac:dyDescent="0.2">
      <c r="A82" s="5"/>
      <c r="C82" s="22">
        <f>+ROUND(C83*0.95,2)</f>
        <v>8.5</v>
      </c>
      <c r="D82" s="23">
        <f t="shared" si="3"/>
        <v>0</v>
      </c>
      <c r="E82" s="15" t="str">
        <f t="shared" si="4"/>
        <v/>
      </c>
    </row>
    <row r="83" spans="1:5" s="6" customFormat="1" ht="12.75" hidden="1" x14ac:dyDescent="0.2">
      <c r="A83" s="5"/>
      <c r="C83" s="24">
        <f>+E19</f>
        <v>8.9499999999999993</v>
      </c>
      <c r="D83" s="25">
        <f t="shared" si="3"/>
        <v>0</v>
      </c>
      <c r="E83" s="15" t="str">
        <f t="shared" si="4"/>
        <v/>
      </c>
    </row>
    <row r="84" spans="1:5" s="6" customFormat="1" ht="12.75" hidden="1" x14ac:dyDescent="0.2">
      <c r="A84" s="5"/>
      <c r="C84" s="22">
        <f>+ROUND(C83*1.05,2)</f>
        <v>9.4</v>
      </c>
      <c r="D84" s="23">
        <f t="shared" si="3"/>
        <v>0</v>
      </c>
      <c r="E84" s="15" t="str">
        <f t="shared" si="4"/>
        <v/>
      </c>
    </row>
    <row r="85" spans="1:5" s="6" customFormat="1" ht="12.75" hidden="1" x14ac:dyDescent="0.2">
      <c r="A85" s="5"/>
      <c r="C85" s="22">
        <f>+ROUND(C83*1.1,2)</f>
        <v>9.85</v>
      </c>
      <c r="D85" s="23">
        <f t="shared" si="3"/>
        <v>0</v>
      </c>
      <c r="E85" s="15" t="str">
        <f t="shared" si="4"/>
        <v/>
      </c>
    </row>
    <row r="86" spans="1:5" s="6" customFormat="1" ht="13.5" hidden="1" thickBot="1" x14ac:dyDescent="0.25">
      <c r="A86" s="5"/>
      <c r="C86" s="26">
        <f>+ROUND(C83*1.15,2)</f>
        <v>10.29</v>
      </c>
      <c r="D86" s="27">
        <f t="shared" si="3"/>
        <v>0</v>
      </c>
      <c r="E86" s="15" t="str">
        <f t="shared" si="4"/>
        <v/>
      </c>
    </row>
    <row r="87" spans="1:5" s="6" customFormat="1" ht="12.75" hidden="1" x14ac:dyDescent="0.2">
      <c r="A87" s="5"/>
      <c r="C87" s="15" t="str">
        <f>+IF(D80&gt;125000,"***Limit on all federal payments per Individual: $125,000; per couple: $250,000","")</f>
        <v/>
      </c>
    </row>
    <row r="88" spans="1:5" s="6" customFormat="1" ht="13.5" thickBot="1" x14ac:dyDescent="0.25">
      <c r="A88" s="5"/>
    </row>
    <row r="89" spans="1:5" s="6" customFormat="1" ht="13.5" hidden="1" thickBot="1" x14ac:dyDescent="0.25">
      <c r="A89" s="5"/>
      <c r="C89" s="67" t="s">
        <v>33</v>
      </c>
      <c r="D89" s="68"/>
    </row>
    <row r="90" spans="1:5" s="6" customFormat="1" ht="13.5" hidden="1" thickBot="1" x14ac:dyDescent="0.25">
      <c r="A90" s="5"/>
      <c r="C90" s="20" t="s">
        <v>7</v>
      </c>
      <c r="D90" s="21" t="s">
        <v>8</v>
      </c>
    </row>
    <row r="91" spans="1:5" s="6" customFormat="1" ht="13.5" hidden="1" thickBot="1" x14ac:dyDescent="0.25">
      <c r="A91" s="5"/>
      <c r="C91" s="22">
        <f>+ROUND(C94*0.85,2)</f>
        <v>2.86</v>
      </c>
      <c r="D91" s="23">
        <f t="shared" ref="D91:D97" si="5">+MAX(D$28*D$12*(D$23-MAX($D$22,C91)),0)*(1-$D$29)</f>
        <v>8717.368800000002</v>
      </c>
      <c r="E91" s="15" t="str">
        <f>+IF(D91&gt;125000,"***","")</f>
        <v/>
      </c>
    </row>
    <row r="92" spans="1:5" s="6" customFormat="1" ht="13.5" hidden="1" thickBot="1" x14ac:dyDescent="0.25">
      <c r="A92" s="5"/>
      <c r="C92" s="22">
        <f>+ROUND(C94*0.9,2)</f>
        <v>3.02</v>
      </c>
      <c r="D92" s="23">
        <f t="shared" si="5"/>
        <v>7056.9176000000016</v>
      </c>
      <c r="E92" s="15" t="str">
        <f t="shared" ref="E92:E97" si="6">+IF(D92&gt;125000,"***","")</f>
        <v/>
      </c>
    </row>
    <row r="93" spans="1:5" s="6" customFormat="1" ht="13.5" hidden="1" thickBot="1" x14ac:dyDescent="0.25">
      <c r="A93" s="5"/>
      <c r="C93" s="22">
        <f>+ROUND(C94*0.95,2)</f>
        <v>3.19</v>
      </c>
      <c r="D93" s="23">
        <f t="shared" si="5"/>
        <v>5292.6882000000014</v>
      </c>
      <c r="E93" s="15" t="str">
        <f t="shared" si="6"/>
        <v/>
      </c>
    </row>
    <row r="94" spans="1:5" s="6" customFormat="1" ht="13.5" hidden="1" thickBot="1" x14ac:dyDescent="0.25">
      <c r="A94" s="5"/>
      <c r="C94" s="24">
        <f>+D26</f>
        <v>3.36</v>
      </c>
      <c r="D94" s="25">
        <f t="shared" si="5"/>
        <v>3528.4588000000026</v>
      </c>
      <c r="E94" s="15" t="str">
        <f t="shared" si="6"/>
        <v/>
      </c>
    </row>
    <row r="95" spans="1:5" s="6" customFormat="1" ht="13.5" hidden="1" thickBot="1" x14ac:dyDescent="0.25">
      <c r="A95" s="5"/>
      <c r="C95" s="22">
        <f>+ROUND(C94*1.05,2)</f>
        <v>3.53</v>
      </c>
      <c r="D95" s="23">
        <f t="shared" si="5"/>
        <v>1764.2294000000038</v>
      </c>
      <c r="E95" s="15" t="str">
        <f t="shared" si="6"/>
        <v/>
      </c>
    </row>
    <row r="96" spans="1:5" s="6" customFormat="1" ht="13.5" hidden="1" thickBot="1" x14ac:dyDescent="0.25">
      <c r="A96" s="5"/>
      <c r="C96" s="22">
        <f>+ROUND(C94*1.1,2)</f>
        <v>3.7</v>
      </c>
      <c r="D96" s="23">
        <f t="shared" si="5"/>
        <v>0</v>
      </c>
      <c r="E96" s="15" t="str">
        <f t="shared" si="6"/>
        <v/>
      </c>
    </row>
    <row r="97" spans="1:9" s="6" customFormat="1" ht="13.5" hidden="1" thickBot="1" x14ac:dyDescent="0.25">
      <c r="A97" s="5"/>
      <c r="C97" s="26">
        <f>+ROUND(C94*1.15,2)</f>
        <v>3.86</v>
      </c>
      <c r="D97" s="27">
        <f t="shared" si="5"/>
        <v>0</v>
      </c>
      <c r="E97" s="15" t="str">
        <f t="shared" si="6"/>
        <v/>
      </c>
    </row>
    <row r="98" spans="1:9" s="6" customFormat="1" ht="13.5" hidden="1" thickBot="1" x14ac:dyDescent="0.25">
      <c r="A98" s="5"/>
      <c r="C98" s="15" t="str">
        <f>+IF(D91&gt;125000,"***Limit on all federal payments per Individual: $125,000; per couple: $250,000","")</f>
        <v/>
      </c>
    </row>
    <row r="99" spans="1:9" s="6" customFormat="1" ht="13.5" hidden="1" thickBot="1" x14ac:dyDescent="0.25">
      <c r="A99" s="5"/>
      <c r="C99" s="15"/>
    </row>
    <row r="100" spans="1:9" s="6" customFormat="1" ht="13.5" hidden="1" thickBot="1" x14ac:dyDescent="0.25">
      <c r="A100" s="5"/>
      <c r="C100" s="67" t="s">
        <v>34</v>
      </c>
      <c r="D100" s="68"/>
    </row>
    <row r="101" spans="1:9" s="6" customFormat="1" ht="13.5" hidden="1" thickBot="1" x14ac:dyDescent="0.25">
      <c r="A101" s="5"/>
      <c r="C101" s="20" t="s">
        <v>7</v>
      </c>
      <c r="D101" s="21" t="s">
        <v>8</v>
      </c>
    </row>
    <row r="102" spans="1:9" s="6" customFormat="1" ht="13.5" hidden="1" thickBot="1" x14ac:dyDescent="0.25">
      <c r="A102" s="5"/>
      <c r="C102" s="22">
        <f>+ROUND(C105*0.85,2)</f>
        <v>8.0500000000000007</v>
      </c>
      <c r="D102" s="23">
        <f t="shared" ref="D102:D108" si="7">+MAX(E$28*E$12*(E$23-MAX($E$22,C102)),0)*(1-$E$29)</f>
        <v>1025.898999999999</v>
      </c>
      <c r="E102" s="15" t="str">
        <f>+IF(D102&gt;125000,"***","")</f>
        <v/>
      </c>
    </row>
    <row r="103" spans="1:9" s="6" customFormat="1" ht="13.5" hidden="1" thickBot="1" x14ac:dyDescent="0.25">
      <c r="A103" s="5"/>
      <c r="C103" s="22">
        <f>+ROUND(C105*0.9,2)</f>
        <v>8.52</v>
      </c>
      <c r="D103" s="23">
        <f t="shared" si="7"/>
        <v>0</v>
      </c>
      <c r="E103" s="15" t="str">
        <f t="shared" ref="E103:E108" si="8">+IF(D103&gt;125000,"***","")</f>
        <v/>
      </c>
    </row>
    <row r="104" spans="1:9" s="6" customFormat="1" ht="13.5" hidden="1" thickBot="1" x14ac:dyDescent="0.25">
      <c r="A104" s="5"/>
      <c r="C104" s="22">
        <f>+ROUND(C105*0.95,2)</f>
        <v>9</v>
      </c>
      <c r="D104" s="23">
        <f t="shared" si="7"/>
        <v>0</v>
      </c>
      <c r="E104" s="15" t="str">
        <f t="shared" si="8"/>
        <v/>
      </c>
    </row>
    <row r="105" spans="1:9" s="6" customFormat="1" ht="13.5" hidden="1" thickBot="1" x14ac:dyDescent="0.25">
      <c r="A105" s="5"/>
      <c r="C105" s="24">
        <f>+E26</f>
        <v>9.4700000000000006</v>
      </c>
      <c r="D105" s="25">
        <f t="shared" si="7"/>
        <v>0</v>
      </c>
      <c r="E105" s="15" t="str">
        <f t="shared" si="8"/>
        <v/>
      </c>
    </row>
    <row r="106" spans="1:9" s="6" customFormat="1" ht="13.5" hidden="1" thickBot="1" x14ac:dyDescent="0.25">
      <c r="A106" s="5"/>
      <c r="C106" s="22">
        <f>+ROUND(C105*1.05,2)</f>
        <v>9.94</v>
      </c>
      <c r="D106" s="23">
        <f t="shared" si="7"/>
        <v>0</v>
      </c>
      <c r="E106" s="15" t="str">
        <f t="shared" si="8"/>
        <v/>
      </c>
    </row>
    <row r="107" spans="1:9" s="6" customFormat="1" ht="13.5" hidden="1" thickBot="1" x14ac:dyDescent="0.25">
      <c r="A107" s="5"/>
      <c r="C107" s="22">
        <f>+ROUND(C105*1.1,2)</f>
        <v>10.42</v>
      </c>
      <c r="D107" s="23">
        <f t="shared" si="7"/>
        <v>0</v>
      </c>
      <c r="E107" s="15" t="str">
        <f t="shared" si="8"/>
        <v/>
      </c>
    </row>
    <row r="108" spans="1:9" ht="15" hidden="1" thickBot="1" x14ac:dyDescent="0.25">
      <c r="B108" s="6"/>
      <c r="C108" s="26">
        <f>+ROUND(C105*1.15,2)</f>
        <v>10.89</v>
      </c>
      <c r="D108" s="27">
        <f t="shared" si="7"/>
        <v>0</v>
      </c>
      <c r="E108" s="15" t="str">
        <f t="shared" si="8"/>
        <v/>
      </c>
      <c r="F108" s="6"/>
      <c r="G108" s="6"/>
      <c r="H108" s="6"/>
      <c r="I108" s="6"/>
    </row>
    <row r="109" spans="1:9" ht="15" hidden="1" thickBot="1" x14ac:dyDescent="0.25">
      <c r="C109" s="15" t="str">
        <f>+IF(D102&gt;125000,"***Limit on all federal payments per Individual: $125,000; per couple: $250,000","")</f>
        <v/>
      </c>
      <c r="D109" s="6"/>
      <c r="E109" s="6"/>
      <c r="F109" s="6"/>
      <c r="G109" s="6"/>
      <c r="H109" s="6"/>
      <c r="I109" s="6"/>
    </row>
    <row r="110" spans="1:9" ht="15" hidden="1" thickBot="1" x14ac:dyDescent="0.25"/>
    <row r="111" spans="1:9" x14ac:dyDescent="0.2">
      <c r="C111" s="67" t="s">
        <v>49</v>
      </c>
      <c r="D111" s="68"/>
    </row>
    <row r="112" spans="1:9" x14ac:dyDescent="0.2">
      <c r="C112" s="20" t="s">
        <v>7</v>
      </c>
      <c r="D112" s="21" t="s">
        <v>8</v>
      </c>
    </row>
    <row r="113" spans="3:4" x14ac:dyDescent="0.2">
      <c r="C113" s="22">
        <f>+ROUND(C116*0.85,2)</f>
        <v>2.89</v>
      </c>
      <c r="D113" s="23">
        <f t="shared" ref="D113:D119" si="9">+MAX(D$28*D$12*(D$23-MAX($D$22,C113)),0)*(1-$D$29)</f>
        <v>8406.0342000000001</v>
      </c>
    </row>
    <row r="114" spans="3:4" x14ac:dyDescent="0.2">
      <c r="C114" s="22">
        <f>+ROUND(C116*0.9,2)</f>
        <v>3.06</v>
      </c>
      <c r="D114" s="23">
        <f t="shared" si="9"/>
        <v>6641.8048000000008</v>
      </c>
    </row>
    <row r="115" spans="3:4" x14ac:dyDescent="0.2">
      <c r="C115" s="22">
        <f>+ROUND(C116*0.95,2)</f>
        <v>3.23</v>
      </c>
      <c r="D115" s="23">
        <f t="shared" si="9"/>
        <v>4877.5754000000024</v>
      </c>
    </row>
    <row r="116" spans="3:4" x14ac:dyDescent="0.2">
      <c r="C116" s="24">
        <f>+D27</f>
        <v>3.4</v>
      </c>
      <c r="D116" s="25">
        <f t="shared" si="9"/>
        <v>3113.3460000000027</v>
      </c>
    </row>
    <row r="117" spans="3:4" x14ac:dyDescent="0.2">
      <c r="C117" s="22">
        <f>+ROUND(C116*1.05,2)</f>
        <v>3.57</v>
      </c>
      <c r="D117" s="23">
        <f t="shared" si="9"/>
        <v>1349.1166000000035</v>
      </c>
    </row>
    <row r="118" spans="3:4" x14ac:dyDescent="0.2">
      <c r="C118" s="22">
        <f>+ROUND(C116*1.1,2)</f>
        <v>3.74</v>
      </c>
      <c r="D118" s="23">
        <f t="shared" si="9"/>
        <v>0</v>
      </c>
    </row>
    <row r="119" spans="3:4" ht="15" thickBot="1" x14ac:dyDescent="0.25">
      <c r="C119" s="26">
        <f>+ROUND(C116*1.15,2)</f>
        <v>3.91</v>
      </c>
      <c r="D119" s="27">
        <f t="shared" si="9"/>
        <v>0</v>
      </c>
    </row>
    <row r="120" spans="3:4" x14ac:dyDescent="0.2">
      <c r="C120" s="15" t="str">
        <f>+IF(D113&gt;125000,"***Limit on all federal payments per Individual: $125,000; per couple: $250,000","")</f>
        <v/>
      </c>
      <c r="D120" s="6"/>
    </row>
    <row r="121" spans="3:4" ht="15" thickBot="1" x14ac:dyDescent="0.25">
      <c r="C121" s="15"/>
      <c r="D121" s="6"/>
    </row>
    <row r="122" spans="3:4" x14ac:dyDescent="0.2">
      <c r="C122" s="67" t="s">
        <v>50</v>
      </c>
      <c r="D122" s="68"/>
    </row>
    <row r="123" spans="3:4" x14ac:dyDescent="0.2">
      <c r="C123" s="20" t="s">
        <v>7</v>
      </c>
      <c r="D123" s="21" t="s">
        <v>8</v>
      </c>
    </row>
    <row r="124" spans="3:4" x14ac:dyDescent="0.2">
      <c r="C124" s="22">
        <f>+ROUND(C127*0.85,2)</f>
        <v>7.95</v>
      </c>
      <c r="D124" s="23">
        <f t="shared" ref="D124:D130" si="10">+MAX(E$28*E$12*(E$23-MAX($E$22,C124)),0)*(1-$E$29)</f>
        <v>1319.0130000000004</v>
      </c>
    </row>
    <row r="125" spans="3:4" x14ac:dyDescent="0.2">
      <c r="C125" s="22">
        <f>+ROUND(C127*0.9,2)</f>
        <v>8.42</v>
      </c>
      <c r="D125" s="23">
        <f t="shared" si="10"/>
        <v>0</v>
      </c>
    </row>
    <row r="126" spans="3:4" x14ac:dyDescent="0.2">
      <c r="C126" s="22">
        <f>+ROUND(C127*0.95,2)</f>
        <v>8.8800000000000008</v>
      </c>
      <c r="D126" s="23">
        <f t="shared" si="10"/>
        <v>0</v>
      </c>
    </row>
    <row r="127" spans="3:4" x14ac:dyDescent="0.2">
      <c r="C127" s="24">
        <f>+E27</f>
        <v>9.35</v>
      </c>
      <c r="D127" s="25">
        <f t="shared" si="10"/>
        <v>0</v>
      </c>
    </row>
    <row r="128" spans="3:4" x14ac:dyDescent="0.2">
      <c r="C128" s="22">
        <f>+ROUND(C127*1.05,2)</f>
        <v>9.82</v>
      </c>
      <c r="D128" s="23">
        <f t="shared" si="10"/>
        <v>0</v>
      </c>
    </row>
    <row r="129" spans="3:4" x14ac:dyDescent="0.2">
      <c r="C129" s="22">
        <f>+ROUND(C127*1.1,2)</f>
        <v>10.29</v>
      </c>
      <c r="D129" s="23">
        <f t="shared" si="10"/>
        <v>0</v>
      </c>
    </row>
    <row r="130" spans="3:4" ht="15" thickBot="1" x14ac:dyDescent="0.25">
      <c r="C130" s="26">
        <f>+ROUND(C127*1.15,2)</f>
        <v>10.75</v>
      </c>
      <c r="D130" s="27">
        <f t="shared" si="10"/>
        <v>0</v>
      </c>
    </row>
  </sheetData>
  <sheetProtection password="C0C6" sheet="1" objects="1" scenarios="1"/>
  <mergeCells count="17">
    <mergeCell ref="C67:D67"/>
    <mergeCell ref="C3:G3"/>
    <mergeCell ref="D32:E32"/>
    <mergeCell ref="D34:E34"/>
    <mergeCell ref="D38:E38"/>
    <mergeCell ref="D40:E40"/>
    <mergeCell ref="D44:E44"/>
    <mergeCell ref="D46:E46"/>
    <mergeCell ref="D50:E50"/>
    <mergeCell ref="D52:E52"/>
    <mergeCell ref="C60:H61"/>
    <mergeCell ref="C62:H62"/>
    <mergeCell ref="C78:D78"/>
    <mergeCell ref="C89:D89"/>
    <mergeCell ref="C100:D100"/>
    <mergeCell ref="C111:D111"/>
    <mergeCell ref="C122:D122"/>
  </mergeCells>
  <hyperlinks>
    <hyperlink ref="C3" r:id="rId1" display="http://www.extension.iastate.edu/agdm/crops/pdf/a3-29.pdf"/>
    <hyperlink ref="C3:E3" r:id="rId2" display="See Information File A1-32, New Safety Net: PLC, ARC-CO, ARC-IC for more information."/>
    <hyperlink ref="C55" r:id="rId3"/>
  </hyperlinks>
  <pageMargins left="0.7" right="0.7" top="0.75" bottom="0.75" header="0.3" footer="0.3"/>
  <pageSetup scale="82" fitToWidth="2" fitToHeight="2" orientation="landscape" r:id="rId4"/>
  <headerFooter>
    <oddHeader>&amp;LIowa State University Extension and Outreach &amp;RAg Decision Maker File A1-32</oddHeader>
    <oddFooter>&amp;Lhttp://www.extension.iastate.edu/agdm/crops/html/a1-32.html</oddFooter>
  </headerFooter>
  <colBreaks count="1" manualBreakCount="1">
    <brk id="9" max="36"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isuimage</dc:creator>
  <cp:lastModifiedBy>Johanns, Ann M [ECONA]</cp:lastModifiedBy>
  <cp:lastPrinted>2015-07-31T22:49:33Z</cp:lastPrinted>
  <dcterms:created xsi:type="dcterms:W3CDTF">2015-05-29T15:41:11Z</dcterms:created>
  <dcterms:modified xsi:type="dcterms:W3CDTF">2018-08-10T13:19:39Z</dcterms:modified>
</cp:coreProperties>
</file>